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drawings/drawing2.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drawings/drawing3.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drawings/drawing5.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drawings/drawing6.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drawings/drawing7.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drawings/drawing8.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drawings/drawing9.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omments2.xml" ContentType="application/vnd.openxmlformats-officedocument.spreadsheetml.comments+xml"/>
  <Override PartName="/xl/drawings/drawing10.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drawings/drawing11.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drawings/drawing12.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drawings/drawing13.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14.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drawings/drawing15.xml" ContentType="application/vnd.openxmlformats-officedocument.drawing+xml"/>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drawings/drawing16.xml" ContentType="application/vnd.openxmlformats-officedocument.drawing+xml"/>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drawings/drawing17.xml" ContentType="application/vnd.openxmlformats-officedocument.drawing+xml"/>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drawings/drawing18.xml" ContentType="application/vnd.openxmlformats-officedocument.drawing+xml"/>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601" codeName="{009DFEA7-8C9C-09C3-8CAF-802165E75F88}"/>
  <workbookPr updateLinks="never" codeName="ThisWorkbook" defaultThemeVersion="124226"/>
  <mc:AlternateContent xmlns:mc="http://schemas.openxmlformats.org/markup-compatibility/2006">
    <mc:Choice Requires="x15">
      <x15ac:absPath xmlns:x15ac="http://schemas.microsoft.com/office/spreadsheetml/2010/11/ac" url="F:\KARINA\INVIERTE\METODOLOGIAS\AMBIENTE\FICHA LIMPIEZA PUBLICA\"/>
    </mc:Choice>
  </mc:AlternateContent>
  <xr:revisionPtr revIDLastSave="0" documentId="13_ncr:1_{FE252DD0-2C21-42C6-821D-C90281D8F6F7}" xr6:coauthVersionLast="43" xr6:coauthVersionMax="43" xr10:uidLastSave="{00000000-0000-0000-0000-000000000000}"/>
  <bookViews>
    <workbookView xWindow="-120" yWindow="-120" windowWidth="29040" windowHeight="15840" tabRatio="949" xr2:uid="{00000000-000D-0000-FFFF-FFFF00000000}"/>
  </bookViews>
  <sheets>
    <sheet name="FICHA" sheetId="199" r:id="rId1"/>
    <sheet name="BASE" sheetId="222" state="hidden" r:id="rId2"/>
    <sheet name="Condiciones Estándar" sheetId="224" r:id="rId3"/>
    <sheet name="DATOS" sheetId="201" r:id="rId4"/>
    <sheet name="Criterios Técnicos" sheetId="228" r:id="rId5"/>
    <sheet name="Estudios Básicos" sheetId="229" r:id="rId6"/>
    <sheet name="REQ. EJECU" sheetId="231" r:id="rId7"/>
    <sheet name="Población Y RR.SS" sheetId="202" r:id="rId8"/>
    <sheet name="Demanda Oferta" sheetId="210" r:id="rId9"/>
    <sheet name="Disp Final" sheetId="21" r:id="rId10"/>
    <sheet name="Planteamiento Técnico" sheetId="215" r:id="rId11"/>
    <sheet name="Costos Equip y Consul" sheetId="213" r:id="rId12"/>
    <sheet name="P. Val. Inor" sheetId="218" r:id="rId13"/>
    <sheet name="P.Val. Orgánico" sheetId="217" r:id="rId14"/>
    <sheet name="P. Relleno Sanitario" sheetId="216" r:id="rId15"/>
    <sheet name="Exp Técnico y otros" sheetId="219" r:id="rId16"/>
    <sheet name="O&amp;M" sheetId="225" r:id="rId17"/>
    <sheet name="REINV" sheetId="41" r:id="rId18"/>
    <sheet name="Costos Alter." sheetId="100" r:id="rId19"/>
    <sheet name="CEF-Tarifa" sheetId="106" r:id="rId20"/>
  </sheets>
  <externalReferences>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s>
  <definedNames>
    <definedName name="\A">[1]Principal!$N$1</definedName>
    <definedName name="\aa" localSheetId="1">#REF!</definedName>
    <definedName name="\aa" localSheetId="2">#REF!</definedName>
    <definedName name="\aa" localSheetId="18">#REF!</definedName>
    <definedName name="\aa" localSheetId="4">#REF!</definedName>
    <definedName name="\aa" localSheetId="3">#REF!</definedName>
    <definedName name="\aa" localSheetId="8">#REF!</definedName>
    <definedName name="\aa" localSheetId="5">#REF!</definedName>
    <definedName name="\aa" localSheetId="15">#REF!</definedName>
    <definedName name="\aa" localSheetId="14">#REF!</definedName>
    <definedName name="\aa" localSheetId="12">#REF!</definedName>
    <definedName name="\aa" localSheetId="13">#REF!</definedName>
    <definedName name="\aa" localSheetId="10">#REF!</definedName>
    <definedName name="\aa" localSheetId="7">#REF!</definedName>
    <definedName name="\aa">#REF!</definedName>
    <definedName name="\aaa" localSheetId="1">#REF!</definedName>
    <definedName name="\aaa" localSheetId="2">#REF!</definedName>
    <definedName name="\aaa" localSheetId="18">#REF!</definedName>
    <definedName name="\aaa" localSheetId="4">#REF!</definedName>
    <definedName name="\aaa" localSheetId="3">#REF!</definedName>
    <definedName name="\aaa" localSheetId="8">#REF!</definedName>
    <definedName name="\aaa" localSheetId="5">#REF!</definedName>
    <definedName name="\aaa" localSheetId="15">#REF!</definedName>
    <definedName name="\aaa" localSheetId="14">#REF!</definedName>
    <definedName name="\aaa" localSheetId="12">#REF!</definedName>
    <definedName name="\aaa" localSheetId="13">#REF!</definedName>
    <definedName name="\aaa" localSheetId="10">#REF!</definedName>
    <definedName name="\aaa" localSheetId="7">#REF!</definedName>
    <definedName name="\aaa">#REF!</definedName>
    <definedName name="\aaaa" localSheetId="1">#REF!</definedName>
    <definedName name="\aaaa" localSheetId="2">#REF!</definedName>
    <definedName name="\aaaa" localSheetId="18">#REF!</definedName>
    <definedName name="\aaaa" localSheetId="4">#REF!</definedName>
    <definedName name="\aaaa" localSheetId="3">#REF!</definedName>
    <definedName name="\aaaa" localSheetId="8">#REF!</definedName>
    <definedName name="\aaaa" localSheetId="5">#REF!</definedName>
    <definedName name="\aaaa" localSheetId="15">#REF!</definedName>
    <definedName name="\aaaa" localSheetId="14">#REF!</definedName>
    <definedName name="\aaaa" localSheetId="12">#REF!</definedName>
    <definedName name="\aaaa" localSheetId="13">#REF!</definedName>
    <definedName name="\aaaa" localSheetId="10">#REF!</definedName>
    <definedName name="\aaaa" localSheetId="7">#REF!</definedName>
    <definedName name="\aaaa">#REF!</definedName>
    <definedName name="\activa" localSheetId="1">'[1]Menu No. 3'!#REF!</definedName>
    <definedName name="\activa" localSheetId="2">'[1]Menu No. 3'!#REF!</definedName>
    <definedName name="\activa" localSheetId="18">'[1]Menu No. 3'!#REF!</definedName>
    <definedName name="\activa" localSheetId="4">'[1]Menu No. 3'!#REF!</definedName>
    <definedName name="\activa" localSheetId="3">'[1]Menu No. 3'!#REF!</definedName>
    <definedName name="\activa" localSheetId="8">'[1]Menu No. 3'!#REF!</definedName>
    <definedName name="\activa" localSheetId="5">'[1]Menu No. 3'!#REF!</definedName>
    <definedName name="\activa" localSheetId="15">'[1]Menu No. 3'!#REF!</definedName>
    <definedName name="\activa" localSheetId="14">'[1]Menu No. 3'!#REF!</definedName>
    <definedName name="\activa" localSheetId="12">'[1]Menu No. 3'!#REF!</definedName>
    <definedName name="\activa" localSheetId="13">'[1]Menu No. 3'!#REF!</definedName>
    <definedName name="\activa" localSheetId="10">'[1]Menu No. 3'!#REF!</definedName>
    <definedName name="\activa" localSheetId="7">'[1]Menu No. 3'!#REF!</definedName>
    <definedName name="\activa">'[1]Menu No. 3'!#REF!</definedName>
    <definedName name="\alcant" localSheetId="1">'[1]Menu No. 4'!#REF!</definedName>
    <definedName name="\alcant" localSheetId="2">'[1]Menu No. 4'!#REF!</definedName>
    <definedName name="\alcant" localSheetId="18">'[1]Menu No. 4'!#REF!</definedName>
    <definedName name="\alcant" localSheetId="4">'[1]Menu No. 4'!#REF!</definedName>
    <definedName name="\alcant" localSheetId="3">'[1]Menu No. 4'!#REF!</definedName>
    <definedName name="\alcant" localSheetId="8">'[1]Menu No. 4'!#REF!</definedName>
    <definedName name="\alcant" localSheetId="5">'[1]Menu No. 4'!#REF!</definedName>
    <definedName name="\alcant" localSheetId="15">'[1]Menu No. 4'!#REF!</definedName>
    <definedName name="\alcant" localSheetId="14">'[1]Menu No. 4'!#REF!</definedName>
    <definedName name="\alcant" localSheetId="12">'[1]Menu No. 4'!#REF!</definedName>
    <definedName name="\alcant" localSheetId="13">'[1]Menu No. 4'!#REF!</definedName>
    <definedName name="\alcant" localSheetId="10">'[1]Menu No. 4'!#REF!</definedName>
    <definedName name="\alcant" localSheetId="7">'[1]Menu No. 4'!#REF!</definedName>
    <definedName name="\alcant">'[1]Menu No. 4'!#REF!</definedName>
    <definedName name="\almace">'[1]Menu No. 4'!$BO$3:$BO$10</definedName>
    <definedName name="\b">[1]Principal!$R$1</definedName>
    <definedName name="\bb">'[1]Menu No. 4'!$CY$3</definedName>
    <definedName name="\bbb" localSheetId="1">'[1]Menu No. 4'!#REF!</definedName>
    <definedName name="\bbb" localSheetId="2">'[1]Menu No. 4'!#REF!</definedName>
    <definedName name="\bbb" localSheetId="18">'[1]Menu No. 4'!#REF!</definedName>
    <definedName name="\bbb" localSheetId="4">'[1]Menu No. 4'!#REF!</definedName>
    <definedName name="\bbb" localSheetId="3">'[1]Menu No. 4'!#REF!</definedName>
    <definedName name="\bbb" localSheetId="8">'[1]Menu No. 4'!#REF!</definedName>
    <definedName name="\bbb" localSheetId="5">'[1]Menu No. 4'!#REF!</definedName>
    <definedName name="\bbb" localSheetId="15">'[1]Menu No. 4'!#REF!</definedName>
    <definedName name="\bbb" localSheetId="14">'[1]Menu No. 4'!#REF!</definedName>
    <definedName name="\bbb" localSheetId="12">'[1]Menu No. 4'!#REF!</definedName>
    <definedName name="\bbb" localSheetId="13">'[1]Menu No. 4'!#REF!</definedName>
    <definedName name="\bbb" localSheetId="10">'[1]Menu No. 4'!#REF!</definedName>
    <definedName name="\bbb" localSheetId="7">'[1]Menu No. 4'!#REF!</definedName>
    <definedName name="\bbb">'[1]Menu No. 4'!#REF!</definedName>
    <definedName name="\bbbb" localSheetId="1">'[1]Menu No. 4'!#REF!</definedName>
    <definedName name="\bbbb" localSheetId="2">'[1]Menu No. 4'!#REF!</definedName>
    <definedName name="\bbbb" localSheetId="18">'[1]Menu No. 4'!#REF!</definedName>
    <definedName name="\bbbb" localSheetId="4">'[1]Menu No. 4'!#REF!</definedName>
    <definedName name="\bbbb" localSheetId="3">'[1]Menu No. 4'!#REF!</definedName>
    <definedName name="\bbbb" localSheetId="8">'[1]Menu No. 4'!#REF!</definedName>
    <definedName name="\bbbb" localSheetId="5">'[1]Menu No. 4'!#REF!</definedName>
    <definedName name="\bbbb" localSheetId="15">'[1]Menu No. 4'!#REF!</definedName>
    <definedName name="\bbbb" localSheetId="14">'[1]Menu No. 4'!#REF!</definedName>
    <definedName name="\bbbb" localSheetId="12">'[1]Menu No. 4'!#REF!</definedName>
    <definedName name="\bbbb" localSheetId="13">'[1]Menu No. 4'!#REF!</definedName>
    <definedName name="\bbbb" localSheetId="10">'[1]Menu No. 4'!#REF!</definedName>
    <definedName name="\bbbb" localSheetId="7">'[1]Menu No. 4'!#REF!</definedName>
    <definedName name="\bbbb">'[1]Menu No. 4'!#REF!</definedName>
    <definedName name="\bbbbb" localSheetId="1">'[1]Menu No. 4'!#REF!</definedName>
    <definedName name="\bbbbb" localSheetId="2">'[1]Menu No. 4'!#REF!</definedName>
    <definedName name="\bbbbb" localSheetId="18">'[1]Menu No. 4'!#REF!</definedName>
    <definedName name="\bbbbb" localSheetId="4">'[1]Menu No. 4'!#REF!</definedName>
    <definedName name="\bbbbb" localSheetId="3">'[1]Menu No. 4'!#REF!</definedName>
    <definedName name="\bbbbb" localSheetId="8">'[1]Menu No. 4'!#REF!</definedName>
    <definedName name="\bbbbb" localSheetId="5">'[1]Menu No. 4'!#REF!</definedName>
    <definedName name="\bbbbb" localSheetId="15">'[1]Menu No. 4'!#REF!</definedName>
    <definedName name="\bbbbb" localSheetId="14">'[1]Menu No. 4'!#REF!</definedName>
    <definedName name="\bbbbb" localSheetId="12">'[1]Menu No. 4'!#REF!</definedName>
    <definedName name="\bbbbb" localSheetId="13">'[1]Menu No. 4'!#REF!</definedName>
    <definedName name="\bbbbb" localSheetId="10">'[1]Menu No. 4'!#REF!</definedName>
    <definedName name="\bbbbb" localSheetId="7">'[1]Menu No. 4'!#REF!</definedName>
    <definedName name="\bbbbb">'[1]Menu No. 4'!#REF!</definedName>
    <definedName name="\bombe">'[1]Menu No. 4'!$DS$3:$DS$10</definedName>
    <definedName name="\capt">'[1]Menu No. 4'!$AA$3:$AA$11</definedName>
    <definedName name="\cond">'[1]Menu No. 4'!$BG$3:$BG$10</definedName>
    <definedName name="\cruda">'[1]Menu No. 4'!$AQ$3:$AQ$10</definedName>
    <definedName name="\d">[1]Principal!$V$1</definedName>
    <definedName name="\Dato" localSheetId="1">'[1]Menu No. 2'!#REF!</definedName>
    <definedName name="\Dato" localSheetId="2">'[1]Menu No. 2'!#REF!</definedName>
    <definedName name="\Dato" localSheetId="18">'[1]Menu No. 2'!#REF!</definedName>
    <definedName name="\Dato" localSheetId="4">'[1]Menu No. 2'!#REF!</definedName>
    <definedName name="\Dato" localSheetId="3">'[1]Menu No. 2'!#REF!</definedName>
    <definedName name="\Dato" localSheetId="8">'[1]Menu No. 2'!#REF!</definedName>
    <definedName name="\Dato" localSheetId="5">'[1]Menu No. 2'!#REF!</definedName>
    <definedName name="\Dato" localSheetId="15">'[1]Menu No. 2'!#REF!</definedName>
    <definedName name="\Dato" localSheetId="14">'[1]Menu No. 2'!#REF!</definedName>
    <definedName name="\Dato" localSheetId="12">'[1]Menu No. 2'!#REF!</definedName>
    <definedName name="\Dato" localSheetId="13">'[1]Menu No. 2'!#REF!</definedName>
    <definedName name="\Dato" localSheetId="10">'[1]Menu No. 2'!#REF!</definedName>
    <definedName name="\Dato" localSheetId="7">'[1]Menu No. 2'!#REF!</definedName>
    <definedName name="\Dato">'[1]Menu No. 2'!#REF!</definedName>
    <definedName name="\dd">'[1]Menu No. 4'!$P$10</definedName>
    <definedName name="\desa">'[1]Menu No. 4'!$EA$3:$EA$10</definedName>
    <definedName name="\Diag">'[1]Menu No. 4'!$V$3:$V$7</definedName>
    <definedName name="\e" localSheetId="1">[1]Principal!#REF!</definedName>
    <definedName name="\e" localSheetId="2">[1]Principal!#REF!</definedName>
    <definedName name="\e" localSheetId="18">[1]Principal!#REF!</definedName>
    <definedName name="\e" localSheetId="4">[1]Principal!#REF!</definedName>
    <definedName name="\e" localSheetId="3">[1]Principal!#REF!</definedName>
    <definedName name="\e" localSheetId="8">[1]Principal!#REF!</definedName>
    <definedName name="\e" localSheetId="5">[1]Principal!#REF!</definedName>
    <definedName name="\e" localSheetId="15">[1]Principal!#REF!</definedName>
    <definedName name="\e" localSheetId="14">[1]Principal!#REF!</definedName>
    <definedName name="\e" localSheetId="12">[1]Principal!#REF!</definedName>
    <definedName name="\e" localSheetId="13">[1]Principal!#REF!</definedName>
    <definedName name="\e" localSheetId="10">[1]Principal!#REF!</definedName>
    <definedName name="\e" localSheetId="7">[1]Principal!#REF!</definedName>
    <definedName name="\e">[1]Principal!#REF!</definedName>
    <definedName name="\lagu">'[1]Menu No. 4'!$DK$3:$DK$10</definedName>
    <definedName name="\m" localSheetId="1">'[1]Menu No. 4'!#REF!</definedName>
    <definedName name="\m" localSheetId="2">'[1]Menu No. 4'!#REF!</definedName>
    <definedName name="\m" localSheetId="18">'[1]Menu No. 4'!#REF!</definedName>
    <definedName name="\m" localSheetId="4">'[1]Menu No. 4'!#REF!</definedName>
    <definedName name="\m" localSheetId="3">'[1]Menu No. 4'!#REF!</definedName>
    <definedName name="\m" localSheetId="8">'[1]Menu No. 4'!#REF!</definedName>
    <definedName name="\m" localSheetId="5">'[1]Menu No. 4'!#REF!</definedName>
    <definedName name="\m" localSheetId="15">'[1]Menu No. 4'!#REF!</definedName>
    <definedName name="\m" localSheetId="14">'[1]Menu No. 4'!#REF!</definedName>
    <definedName name="\m" localSheetId="12">'[1]Menu No. 4'!#REF!</definedName>
    <definedName name="\m" localSheetId="13">'[1]Menu No. 4'!#REF!</definedName>
    <definedName name="\m" localSheetId="10">'[1]Menu No. 4'!#REF!</definedName>
    <definedName name="\m" localSheetId="7">'[1]Menu No. 4'!#REF!</definedName>
    <definedName name="\m">'[1]Menu No. 4'!#REF!</definedName>
    <definedName name="\medido">'[1]Menu No. 4'!$CM$3:$CM$18</definedName>
    <definedName name="\Metas" localSheetId="1">'[1]Menu No. 3'!#REF!</definedName>
    <definedName name="\Metas" localSheetId="2">'[1]Menu No. 3'!#REF!</definedName>
    <definedName name="\Metas" localSheetId="18">'[1]Menu No. 3'!#REF!</definedName>
    <definedName name="\Metas" localSheetId="4">'[1]Menu No. 3'!#REF!</definedName>
    <definedName name="\Metas" localSheetId="3">'[1]Menu No. 3'!#REF!</definedName>
    <definedName name="\Metas" localSheetId="8">'[1]Menu No. 3'!#REF!</definedName>
    <definedName name="\Metas" localSheetId="5">'[1]Menu No. 3'!#REF!</definedName>
    <definedName name="\Metas" localSheetId="15">'[1]Menu No. 3'!#REF!</definedName>
    <definedName name="\Metas" localSheetId="14">'[1]Menu No. 3'!#REF!</definedName>
    <definedName name="\Metas" localSheetId="12">'[1]Menu No. 3'!#REF!</definedName>
    <definedName name="\Metas" localSheetId="13">'[1]Menu No. 3'!#REF!</definedName>
    <definedName name="\Metas" localSheetId="10">'[1]Menu No. 3'!#REF!</definedName>
    <definedName name="\Metas" localSheetId="7">'[1]Menu No. 3'!#REF!</definedName>
    <definedName name="\Metas">'[1]Menu No. 3'!#REF!</definedName>
    <definedName name="\mm" localSheetId="1">'[1]Menu No. 4'!#REF!</definedName>
    <definedName name="\mm" localSheetId="2">'[1]Menu No. 4'!#REF!</definedName>
    <definedName name="\mm" localSheetId="18">'[1]Menu No. 4'!#REF!</definedName>
    <definedName name="\mm" localSheetId="4">'[1]Menu No. 4'!#REF!</definedName>
    <definedName name="\mm" localSheetId="3">'[1]Menu No. 4'!#REF!</definedName>
    <definedName name="\mm" localSheetId="8">'[1]Menu No. 4'!#REF!</definedName>
    <definedName name="\mm" localSheetId="5">'[1]Menu No. 4'!#REF!</definedName>
    <definedName name="\mm" localSheetId="15">'[1]Menu No. 4'!#REF!</definedName>
    <definedName name="\mm" localSheetId="14">'[1]Menu No. 4'!#REF!</definedName>
    <definedName name="\mm" localSheetId="12">'[1]Menu No. 4'!#REF!</definedName>
    <definedName name="\mm" localSheetId="13">'[1]Menu No. 4'!#REF!</definedName>
    <definedName name="\mm" localSheetId="10">'[1]Menu No. 4'!#REF!</definedName>
    <definedName name="\mm" localSheetId="7">'[1]Menu No. 4'!#REF!</definedName>
    <definedName name="\mm">'[1]Menu No. 4'!#REF!</definedName>
    <definedName name="\mmm" localSheetId="1">'[1]Menu No. 4'!#REF!</definedName>
    <definedName name="\mmm" localSheetId="2">'[1]Menu No. 4'!#REF!</definedName>
    <definedName name="\mmm" localSheetId="18">'[1]Menu No. 4'!#REF!</definedName>
    <definedName name="\mmm" localSheetId="4">'[1]Menu No. 4'!#REF!</definedName>
    <definedName name="\mmm" localSheetId="3">'[1]Menu No. 4'!#REF!</definedName>
    <definedName name="\mmm" localSheetId="8">'[1]Menu No. 4'!#REF!</definedName>
    <definedName name="\mmm" localSheetId="5">'[1]Menu No. 4'!#REF!</definedName>
    <definedName name="\mmm" localSheetId="15">'[1]Menu No. 4'!#REF!</definedName>
    <definedName name="\mmm" localSheetId="14">'[1]Menu No. 4'!#REF!</definedName>
    <definedName name="\mmm" localSheetId="12">'[1]Menu No. 4'!#REF!</definedName>
    <definedName name="\mmm" localSheetId="13">'[1]Menu No. 4'!#REF!</definedName>
    <definedName name="\mmm" localSheetId="10">'[1]Menu No. 4'!#REF!</definedName>
    <definedName name="\mmm" localSheetId="7">'[1]Menu No. 4'!#REF!</definedName>
    <definedName name="\mmm">'[1]Menu No. 4'!#REF!</definedName>
    <definedName name="\mmmm" localSheetId="1">'[1]Menu No. 4'!#REF!</definedName>
    <definedName name="\mmmm" localSheetId="2">'[1]Menu No. 4'!#REF!</definedName>
    <definedName name="\mmmm" localSheetId="18">'[1]Menu No. 4'!#REF!</definedName>
    <definedName name="\mmmm" localSheetId="4">'[1]Menu No. 4'!#REF!</definedName>
    <definedName name="\mmmm" localSheetId="3">'[1]Menu No. 4'!#REF!</definedName>
    <definedName name="\mmmm" localSheetId="8">'[1]Menu No. 4'!#REF!</definedName>
    <definedName name="\mmmm" localSheetId="5">'[1]Menu No. 4'!#REF!</definedName>
    <definedName name="\mmmm" localSheetId="15">'[1]Menu No. 4'!#REF!</definedName>
    <definedName name="\mmmm" localSheetId="14">'[1]Menu No. 4'!#REF!</definedName>
    <definedName name="\mmmm" localSheetId="12">'[1]Menu No. 4'!#REF!</definedName>
    <definedName name="\mmmm" localSheetId="13">'[1]Menu No. 4'!#REF!</definedName>
    <definedName name="\mmmm" localSheetId="10">'[1]Menu No. 4'!#REF!</definedName>
    <definedName name="\mmmm" localSheetId="7">'[1]Menu No. 4'!#REF!</definedName>
    <definedName name="\mmmm">'[1]Menu No. 4'!#REF!</definedName>
    <definedName name="\n" localSheetId="1">'[1]Menu No. 4'!#REF!</definedName>
    <definedName name="\n" localSheetId="2">'[1]Menu No. 4'!#REF!</definedName>
    <definedName name="\n" localSheetId="18">'[1]Menu No. 4'!#REF!</definedName>
    <definedName name="\n" localSheetId="4">'[1]Menu No. 4'!#REF!</definedName>
    <definedName name="\n" localSheetId="3">'[1]Menu No. 4'!#REF!</definedName>
    <definedName name="\n" localSheetId="8">'[1]Menu No. 4'!#REF!</definedName>
    <definedName name="\n" localSheetId="5">'[1]Menu No. 4'!#REF!</definedName>
    <definedName name="\n" localSheetId="15">'[1]Menu No. 4'!#REF!</definedName>
    <definedName name="\n" localSheetId="14">'[1]Menu No. 4'!#REF!</definedName>
    <definedName name="\n" localSheetId="12">'[1]Menu No. 4'!#REF!</definedName>
    <definedName name="\n" localSheetId="13">'[1]Menu No. 4'!#REF!</definedName>
    <definedName name="\n" localSheetId="10">'[1]Menu No. 4'!#REF!</definedName>
    <definedName name="\n" localSheetId="7">'[1]Menu No. 4'!#REF!</definedName>
    <definedName name="\n">'[1]Menu No. 4'!#REF!</definedName>
    <definedName name="\nn" localSheetId="1">'[1]Menu No. 4'!#REF!</definedName>
    <definedName name="\nn" localSheetId="2">'[1]Menu No. 4'!#REF!</definedName>
    <definedName name="\nn" localSheetId="18">'[1]Menu No. 4'!#REF!</definedName>
    <definedName name="\nn" localSheetId="4">'[1]Menu No. 4'!#REF!</definedName>
    <definedName name="\nn" localSheetId="3">'[1]Menu No. 4'!#REF!</definedName>
    <definedName name="\nn" localSheetId="8">'[1]Menu No. 4'!#REF!</definedName>
    <definedName name="\nn" localSheetId="5">'[1]Menu No. 4'!#REF!</definedName>
    <definedName name="\nn" localSheetId="15">'[1]Menu No. 4'!#REF!</definedName>
    <definedName name="\nn" localSheetId="14">'[1]Menu No. 4'!#REF!</definedName>
    <definedName name="\nn" localSheetId="12">'[1]Menu No. 4'!#REF!</definedName>
    <definedName name="\nn" localSheetId="13">'[1]Menu No. 4'!#REF!</definedName>
    <definedName name="\nn" localSheetId="10">'[1]Menu No. 4'!#REF!</definedName>
    <definedName name="\nn" localSheetId="7">'[1]Menu No. 4'!#REF!</definedName>
    <definedName name="\nn">'[1]Menu No. 4'!#REF!</definedName>
    <definedName name="\nnn" localSheetId="1">'[1]Menu No. 4'!#REF!</definedName>
    <definedName name="\nnn" localSheetId="2">'[1]Menu No. 4'!#REF!</definedName>
    <definedName name="\nnn" localSheetId="18">'[1]Menu No. 4'!#REF!</definedName>
    <definedName name="\nnn" localSheetId="4">'[1]Menu No. 4'!#REF!</definedName>
    <definedName name="\nnn" localSheetId="3">'[1]Menu No. 4'!#REF!</definedName>
    <definedName name="\nnn" localSheetId="8">'[1]Menu No. 4'!#REF!</definedName>
    <definedName name="\nnn" localSheetId="5">'[1]Menu No. 4'!#REF!</definedName>
    <definedName name="\nnn" localSheetId="15">'[1]Menu No. 4'!#REF!</definedName>
    <definedName name="\nnn" localSheetId="14">'[1]Menu No. 4'!#REF!</definedName>
    <definedName name="\nnn" localSheetId="12">'[1]Menu No. 4'!#REF!</definedName>
    <definedName name="\nnn" localSheetId="13">'[1]Menu No. 4'!#REF!</definedName>
    <definedName name="\nnn" localSheetId="10">'[1]Menu No. 4'!#REF!</definedName>
    <definedName name="\nnn" localSheetId="7">'[1]Menu No. 4'!#REF!</definedName>
    <definedName name="\nnn">'[1]Menu No. 4'!#REF!</definedName>
    <definedName name="\nnnn" localSheetId="1">'[1]Menu No. 4'!#REF!</definedName>
    <definedName name="\nnnn" localSheetId="2">'[1]Menu No. 4'!#REF!</definedName>
    <definedName name="\nnnn" localSheetId="18">'[1]Menu No. 4'!#REF!</definedName>
    <definedName name="\nnnn" localSheetId="4">'[1]Menu No. 4'!#REF!</definedName>
    <definedName name="\nnnn" localSheetId="3">'[1]Menu No. 4'!#REF!</definedName>
    <definedName name="\nnnn" localSheetId="8">'[1]Menu No. 4'!#REF!</definedName>
    <definedName name="\nnnn" localSheetId="5">'[1]Menu No. 4'!#REF!</definedName>
    <definedName name="\nnnn" localSheetId="15">'[1]Menu No. 4'!#REF!</definedName>
    <definedName name="\nnnn" localSheetId="14">'[1]Menu No. 4'!#REF!</definedName>
    <definedName name="\nnnn" localSheetId="12">'[1]Menu No. 4'!#REF!</definedName>
    <definedName name="\nnnn" localSheetId="13">'[1]Menu No. 4'!#REF!</definedName>
    <definedName name="\nnnn" localSheetId="10">'[1]Menu No. 4'!#REF!</definedName>
    <definedName name="\nnnn" localSheetId="7">'[1]Menu No. 4'!#REF!</definedName>
    <definedName name="\nnnn">'[1]Menu No. 4'!#REF!</definedName>
    <definedName name="\oferta" localSheetId="1">'[1]Menu No. 3'!#REF!</definedName>
    <definedName name="\oferta" localSheetId="2">'[1]Menu No. 3'!#REF!</definedName>
    <definedName name="\oferta" localSheetId="18">'[1]Menu No. 3'!#REF!</definedName>
    <definedName name="\oferta" localSheetId="4">'[1]Menu No. 3'!#REF!</definedName>
    <definedName name="\oferta" localSheetId="3">'[1]Menu No. 3'!#REF!</definedName>
    <definedName name="\oferta" localSheetId="8">'[1]Menu No. 3'!#REF!</definedName>
    <definedName name="\oferta" localSheetId="5">'[1]Menu No. 3'!#REF!</definedName>
    <definedName name="\oferta" localSheetId="15">'[1]Menu No. 3'!#REF!</definedName>
    <definedName name="\oferta" localSheetId="14">'[1]Menu No. 3'!#REF!</definedName>
    <definedName name="\oferta" localSheetId="12">'[1]Menu No. 3'!#REF!</definedName>
    <definedName name="\oferta" localSheetId="13">'[1]Menu No. 3'!#REF!</definedName>
    <definedName name="\oferta" localSheetId="10">'[1]Menu No. 3'!#REF!</definedName>
    <definedName name="\oferta" localSheetId="7">'[1]Menu No. 3'!#REF!</definedName>
    <definedName name="\oferta">'[1]Menu No. 3'!#REF!</definedName>
    <definedName name="\Pasiva" localSheetId="1">'[1]Menu No. 2'!#REF!</definedName>
    <definedName name="\Pasiva" localSheetId="2">'[1]Menu No. 2'!#REF!</definedName>
    <definedName name="\Pasiva" localSheetId="18">'[1]Menu No. 2'!#REF!</definedName>
    <definedName name="\Pasiva" localSheetId="4">'[1]Menu No. 2'!#REF!</definedName>
    <definedName name="\Pasiva" localSheetId="3">'[1]Menu No. 2'!#REF!</definedName>
    <definedName name="\Pasiva" localSheetId="8">'[1]Menu No. 2'!#REF!</definedName>
    <definedName name="\Pasiva" localSheetId="5">'[1]Menu No. 2'!#REF!</definedName>
    <definedName name="\Pasiva" localSheetId="15">'[1]Menu No. 2'!#REF!</definedName>
    <definedName name="\Pasiva" localSheetId="14">'[1]Menu No. 2'!#REF!</definedName>
    <definedName name="\Pasiva" localSheetId="12">'[1]Menu No. 2'!#REF!</definedName>
    <definedName name="\Pasiva" localSheetId="13">'[1]Menu No. 2'!#REF!</definedName>
    <definedName name="\Pasiva" localSheetId="10">'[1]Menu No. 2'!#REF!</definedName>
    <definedName name="\Pasiva" localSheetId="7">'[1]Menu No. 2'!#REF!</definedName>
    <definedName name="\Pasiva">'[1]Menu No. 2'!#REF!</definedName>
    <definedName name="\pobla" localSheetId="1">[1]Principal!#REF!</definedName>
    <definedName name="\pobla" localSheetId="2">[1]Principal!#REF!</definedName>
    <definedName name="\pobla" localSheetId="18">[1]Principal!#REF!</definedName>
    <definedName name="\pobla" localSheetId="4">[1]Principal!#REF!</definedName>
    <definedName name="\pobla" localSheetId="3">[1]Principal!#REF!</definedName>
    <definedName name="\pobla" localSheetId="8">[1]Principal!#REF!</definedName>
    <definedName name="\pobla" localSheetId="5">[1]Principal!#REF!</definedName>
    <definedName name="\pobla" localSheetId="15">[1]Principal!#REF!</definedName>
    <definedName name="\pobla" localSheetId="14">[1]Principal!#REF!</definedName>
    <definedName name="\pobla" localSheetId="12">[1]Principal!#REF!</definedName>
    <definedName name="\pobla" localSheetId="13">[1]Principal!#REF!</definedName>
    <definedName name="\pobla" localSheetId="10">[1]Principal!#REF!</definedName>
    <definedName name="\pobla" localSheetId="7">[1]Principal!#REF!</definedName>
    <definedName name="\pobla">[1]Principal!#REF!</definedName>
    <definedName name="\pre">'[1]Menu No. 4'!$AI$3:$AI$10</definedName>
    <definedName name="\prima">'[1]Menu No. 4'!$BW$3:$BW$26</definedName>
    <definedName name="\Q" localSheetId="1">[1]Principal!#REF!</definedName>
    <definedName name="\Q" localSheetId="2">[1]Principal!#REF!</definedName>
    <definedName name="\Q" localSheetId="18">[1]Principal!#REF!</definedName>
    <definedName name="\Q" localSheetId="4">[1]Principal!#REF!</definedName>
    <definedName name="\Q" localSheetId="3">[1]Principal!#REF!</definedName>
    <definedName name="\Q" localSheetId="8">[1]Principal!#REF!</definedName>
    <definedName name="\Q" localSheetId="5">[1]Principal!#REF!</definedName>
    <definedName name="\Q" localSheetId="15">[1]Principal!#REF!</definedName>
    <definedName name="\Q" localSheetId="14">[1]Principal!#REF!</definedName>
    <definedName name="\Q" localSheetId="12">[1]Principal!#REF!</definedName>
    <definedName name="\Q" localSheetId="13">[1]Principal!#REF!</definedName>
    <definedName name="\Q" localSheetId="10">[1]Principal!#REF!</definedName>
    <definedName name="\Q" localSheetId="7">[1]Principal!#REF!</definedName>
    <definedName name="\Q">[1]Principal!#REF!</definedName>
    <definedName name="\QQ" localSheetId="1">'[1]Menu No. 3'!#REF!</definedName>
    <definedName name="\QQ" localSheetId="2">'[1]Menu No. 3'!#REF!</definedName>
    <definedName name="\QQ" localSheetId="18">'[1]Menu No. 3'!#REF!</definedName>
    <definedName name="\QQ" localSheetId="4">'[1]Menu No. 3'!#REF!</definedName>
    <definedName name="\QQ" localSheetId="3">'[1]Menu No. 3'!#REF!</definedName>
    <definedName name="\QQ" localSheetId="8">'[1]Menu No. 3'!#REF!</definedName>
    <definedName name="\QQ" localSheetId="5">'[1]Menu No. 3'!#REF!</definedName>
    <definedName name="\QQ" localSheetId="15">'[1]Menu No. 3'!#REF!</definedName>
    <definedName name="\QQ" localSheetId="14">'[1]Menu No. 3'!#REF!</definedName>
    <definedName name="\QQ" localSheetId="12">'[1]Menu No. 3'!#REF!</definedName>
    <definedName name="\QQ" localSheetId="13">'[1]Menu No. 3'!#REF!</definedName>
    <definedName name="\QQ" localSheetId="10">'[1]Menu No. 3'!#REF!</definedName>
    <definedName name="\QQ" localSheetId="7">'[1]Menu No. 3'!#REF!</definedName>
    <definedName name="\QQ">'[1]Menu No. 3'!#REF!</definedName>
    <definedName name="\QQQ" localSheetId="1">'[1]Menu No. 4'!#REF!</definedName>
    <definedName name="\QQQ" localSheetId="2">'[1]Menu No. 4'!#REF!</definedName>
    <definedName name="\QQQ" localSheetId="18">'[1]Menu No. 4'!#REF!</definedName>
    <definedName name="\QQQ" localSheetId="4">'[1]Menu No. 4'!#REF!</definedName>
    <definedName name="\QQQ" localSheetId="3">'[1]Menu No. 4'!#REF!</definedName>
    <definedName name="\QQQ" localSheetId="8">'[1]Menu No. 4'!#REF!</definedName>
    <definedName name="\QQQ" localSheetId="5">'[1]Menu No. 4'!#REF!</definedName>
    <definedName name="\QQQ" localSheetId="15">'[1]Menu No. 4'!#REF!</definedName>
    <definedName name="\QQQ" localSheetId="14">'[1]Menu No. 4'!#REF!</definedName>
    <definedName name="\QQQ" localSheetId="12">'[1]Menu No. 4'!#REF!</definedName>
    <definedName name="\QQQ" localSheetId="13">'[1]Menu No. 4'!#REF!</definedName>
    <definedName name="\QQQ" localSheetId="10">'[1]Menu No. 4'!#REF!</definedName>
    <definedName name="\QQQ" localSheetId="7">'[1]Menu No. 4'!#REF!</definedName>
    <definedName name="\QQQ">'[1]Menu No. 4'!#REF!</definedName>
    <definedName name="\QQQQ" localSheetId="1">'[1]Menu No. 4'!#REF!</definedName>
    <definedName name="\QQQQ" localSheetId="2">'[1]Menu No. 4'!#REF!</definedName>
    <definedName name="\QQQQ" localSheetId="18">'[1]Menu No. 4'!#REF!</definedName>
    <definedName name="\QQQQ" localSheetId="4">'[1]Menu No. 4'!#REF!</definedName>
    <definedName name="\QQQQ" localSheetId="3">'[1]Menu No. 4'!#REF!</definedName>
    <definedName name="\QQQQ" localSheetId="8">'[1]Menu No. 4'!#REF!</definedName>
    <definedName name="\QQQQ" localSheetId="5">'[1]Menu No. 4'!#REF!</definedName>
    <definedName name="\QQQQ" localSheetId="15">'[1]Menu No. 4'!#REF!</definedName>
    <definedName name="\QQQQ" localSheetId="14">'[1]Menu No. 4'!#REF!</definedName>
    <definedName name="\QQQQ" localSheetId="12">'[1]Menu No. 4'!#REF!</definedName>
    <definedName name="\QQQQ" localSheetId="13">'[1]Menu No. 4'!#REF!</definedName>
    <definedName name="\QQQQ" localSheetId="10">'[1]Menu No. 4'!#REF!</definedName>
    <definedName name="\QQQQ" localSheetId="7">'[1]Menu No. 4'!#REF!</definedName>
    <definedName name="\QQQQ">'[1]Menu No. 4'!#REF!</definedName>
    <definedName name="\r" localSheetId="1">[1]Principal!#REF!</definedName>
    <definedName name="\r" localSheetId="2">[1]Principal!#REF!</definedName>
    <definedName name="\r" localSheetId="18">[1]Principal!#REF!</definedName>
    <definedName name="\r" localSheetId="4">[1]Principal!#REF!</definedName>
    <definedName name="\r" localSheetId="3">[1]Principal!#REF!</definedName>
    <definedName name="\r" localSheetId="8">[1]Principal!#REF!</definedName>
    <definedName name="\r" localSheetId="5">[1]Principal!#REF!</definedName>
    <definedName name="\r" localSheetId="15">[1]Principal!#REF!</definedName>
    <definedName name="\r" localSheetId="14">[1]Principal!#REF!</definedName>
    <definedName name="\r" localSheetId="12">[1]Principal!#REF!</definedName>
    <definedName name="\r" localSheetId="13">[1]Principal!#REF!</definedName>
    <definedName name="\r" localSheetId="10">[1]Principal!#REF!</definedName>
    <definedName name="\r" localSheetId="7">[1]Principal!#REF!</definedName>
    <definedName name="\r">[1]Principal!#REF!</definedName>
    <definedName name="\rr" localSheetId="1">[1]Principal!#REF!</definedName>
    <definedName name="\rr" localSheetId="2">[1]Principal!#REF!</definedName>
    <definedName name="\rr" localSheetId="18">[1]Principal!#REF!</definedName>
    <definedName name="\rr" localSheetId="4">[1]Principal!#REF!</definedName>
    <definedName name="\rr" localSheetId="3">[1]Principal!#REF!</definedName>
    <definedName name="\rr" localSheetId="8">[1]Principal!#REF!</definedName>
    <definedName name="\rr" localSheetId="5">[1]Principal!#REF!</definedName>
    <definedName name="\rr" localSheetId="15">[1]Principal!#REF!</definedName>
    <definedName name="\rr" localSheetId="14">[1]Principal!#REF!</definedName>
    <definedName name="\rr" localSheetId="12">[1]Principal!#REF!</definedName>
    <definedName name="\rr" localSheetId="13">[1]Principal!#REF!</definedName>
    <definedName name="\rr" localSheetId="10">[1]Principal!#REF!</definedName>
    <definedName name="\rr" localSheetId="7">[1]Principal!#REF!</definedName>
    <definedName name="\rr">[1]Principal!#REF!</definedName>
    <definedName name="\rrrr" localSheetId="1">'[1]Menu No. 2'!#REF!</definedName>
    <definedName name="\rrrr" localSheetId="2">'[1]Menu No. 2'!#REF!</definedName>
    <definedName name="\rrrr" localSheetId="18">'[1]Menu No. 2'!#REF!</definedName>
    <definedName name="\rrrr" localSheetId="4">'[1]Menu No. 2'!#REF!</definedName>
    <definedName name="\rrrr" localSheetId="3">'[1]Menu No. 2'!#REF!</definedName>
    <definedName name="\rrrr" localSheetId="8">'[1]Menu No. 2'!#REF!</definedName>
    <definedName name="\rrrr" localSheetId="5">'[1]Menu No. 2'!#REF!</definedName>
    <definedName name="\rrrr" localSheetId="15">'[1]Menu No. 2'!#REF!</definedName>
    <definedName name="\rrrr" localSheetId="14">'[1]Menu No. 2'!#REF!</definedName>
    <definedName name="\rrrr" localSheetId="12">'[1]Menu No. 2'!#REF!</definedName>
    <definedName name="\rrrr" localSheetId="13">'[1]Menu No. 2'!#REF!</definedName>
    <definedName name="\rrrr" localSheetId="10">'[1]Menu No. 2'!#REF!</definedName>
    <definedName name="\rrrr" localSheetId="7">'[1]Menu No. 2'!#REF!</definedName>
    <definedName name="\rrrr">'[1]Menu No. 2'!#REF!</definedName>
    <definedName name="\RRRRR" localSheetId="1">[1]Principal!#REF!</definedName>
    <definedName name="\RRRRR" localSheetId="2">[1]Principal!#REF!</definedName>
    <definedName name="\RRRRR" localSheetId="18">[1]Principal!#REF!</definedName>
    <definedName name="\RRRRR" localSheetId="4">[1]Principal!#REF!</definedName>
    <definedName name="\RRRRR" localSheetId="3">[1]Principal!#REF!</definedName>
    <definedName name="\RRRRR" localSheetId="8">[1]Principal!#REF!</definedName>
    <definedName name="\RRRRR" localSheetId="5">[1]Principal!#REF!</definedName>
    <definedName name="\RRRRR" localSheetId="15">[1]Principal!#REF!</definedName>
    <definedName name="\RRRRR" localSheetId="14">[1]Principal!#REF!</definedName>
    <definedName name="\RRRRR" localSheetId="12">[1]Principal!#REF!</definedName>
    <definedName name="\RRRRR" localSheetId="13">[1]Principal!#REF!</definedName>
    <definedName name="\RRRRR" localSheetId="10">[1]Principal!#REF!</definedName>
    <definedName name="\RRRRR" localSheetId="7">[1]Principal!#REF!</definedName>
    <definedName name="\RRRRR">[1]Principal!#REF!</definedName>
    <definedName name="\TOTAL" localSheetId="1">[1]Principal!#REF!</definedName>
    <definedName name="\TOTAL" localSheetId="2">[1]Principal!#REF!</definedName>
    <definedName name="\TOTAL" localSheetId="18">[1]Principal!#REF!</definedName>
    <definedName name="\TOTAL" localSheetId="4">[1]Principal!#REF!</definedName>
    <definedName name="\TOTAL" localSheetId="3">[1]Principal!#REF!</definedName>
    <definedName name="\TOTAL" localSheetId="8">[1]Principal!#REF!</definedName>
    <definedName name="\TOTAL" localSheetId="5">[1]Principal!#REF!</definedName>
    <definedName name="\TOTAL" localSheetId="15">[1]Principal!#REF!</definedName>
    <definedName name="\TOTAL" localSheetId="14">[1]Principal!#REF!</definedName>
    <definedName name="\TOTAL" localSheetId="12">[1]Principal!#REF!</definedName>
    <definedName name="\TOTAL" localSheetId="13">[1]Principal!#REF!</definedName>
    <definedName name="\TOTAL" localSheetId="10">[1]Principal!#REF!</definedName>
    <definedName name="\TOTAL" localSheetId="7">[1]Principal!#REF!</definedName>
    <definedName name="\TOTAL">[1]Principal!#REF!</definedName>
    <definedName name="\trata">'[1]Menu No. 4'!$AY$3:$AY$10</definedName>
    <definedName name="\tribu" localSheetId="1">'[1]Menu No. 3'!#REF!</definedName>
    <definedName name="\tribu" localSheetId="2">'[1]Menu No. 3'!#REF!</definedName>
    <definedName name="\tribu" localSheetId="18">'[1]Menu No. 3'!#REF!</definedName>
    <definedName name="\tribu" localSheetId="4">'[1]Menu No. 3'!#REF!</definedName>
    <definedName name="\tribu" localSheetId="3">'[1]Menu No. 3'!#REF!</definedName>
    <definedName name="\tribu" localSheetId="8">'[1]Menu No. 3'!#REF!</definedName>
    <definedName name="\tribu" localSheetId="5">'[1]Menu No. 3'!#REF!</definedName>
    <definedName name="\tribu" localSheetId="15">'[1]Menu No. 3'!#REF!</definedName>
    <definedName name="\tribu" localSheetId="14">'[1]Menu No. 3'!#REF!</definedName>
    <definedName name="\tribu" localSheetId="12">'[1]Menu No. 3'!#REF!</definedName>
    <definedName name="\tribu" localSheetId="13">'[1]Menu No. 3'!#REF!</definedName>
    <definedName name="\tribu" localSheetId="10">'[1]Menu No. 3'!#REF!</definedName>
    <definedName name="\tribu" localSheetId="7">'[1]Menu No. 3'!#REF!</definedName>
    <definedName name="\tribu">'[1]Menu No. 3'!#REF!</definedName>
    <definedName name="\tt" localSheetId="1">#REF!</definedName>
    <definedName name="\tt" localSheetId="2">#REF!</definedName>
    <definedName name="\tt" localSheetId="18">#REF!</definedName>
    <definedName name="\tt" localSheetId="4">#REF!</definedName>
    <definedName name="\tt" localSheetId="3">#REF!</definedName>
    <definedName name="\tt" localSheetId="8">#REF!</definedName>
    <definedName name="\tt" localSheetId="5">#REF!</definedName>
    <definedName name="\tt" localSheetId="15">#REF!</definedName>
    <definedName name="\tt" localSheetId="14">#REF!</definedName>
    <definedName name="\tt" localSheetId="12">#REF!</definedName>
    <definedName name="\tt" localSheetId="13">#REF!</definedName>
    <definedName name="\tt" localSheetId="10">#REF!</definedName>
    <definedName name="\tt" localSheetId="7">#REF!</definedName>
    <definedName name="\tt">#REF!</definedName>
    <definedName name="\ttt" localSheetId="1">#REF!</definedName>
    <definedName name="\ttt" localSheetId="2">#REF!</definedName>
    <definedName name="\ttt" localSheetId="18">#REF!</definedName>
    <definedName name="\ttt" localSheetId="4">#REF!</definedName>
    <definedName name="\ttt" localSheetId="3">#REF!</definedName>
    <definedName name="\ttt" localSheetId="8">#REF!</definedName>
    <definedName name="\ttt" localSheetId="5">#REF!</definedName>
    <definedName name="\ttt" localSheetId="15">#REF!</definedName>
    <definedName name="\ttt" localSheetId="14">#REF!</definedName>
    <definedName name="\ttt" localSheetId="12">#REF!</definedName>
    <definedName name="\ttt" localSheetId="13">#REF!</definedName>
    <definedName name="\ttt" localSheetId="10">#REF!</definedName>
    <definedName name="\ttt" localSheetId="7">#REF!</definedName>
    <definedName name="\ttt">#REF!</definedName>
    <definedName name="\tttt" localSheetId="1">[1]Principal!#REF!</definedName>
    <definedName name="\tttt" localSheetId="2">[1]Principal!#REF!</definedName>
    <definedName name="\tttt" localSheetId="18">[1]Principal!#REF!</definedName>
    <definedName name="\tttt" localSheetId="4">[1]Principal!#REF!</definedName>
    <definedName name="\tttt" localSheetId="3">[1]Principal!#REF!</definedName>
    <definedName name="\tttt" localSheetId="8">[1]Principal!#REF!</definedName>
    <definedName name="\tttt" localSheetId="5">[1]Principal!#REF!</definedName>
    <definedName name="\tttt" localSheetId="15">[1]Principal!#REF!</definedName>
    <definedName name="\tttt" localSheetId="14">[1]Principal!#REF!</definedName>
    <definedName name="\tttt" localSheetId="12">[1]Principal!#REF!</definedName>
    <definedName name="\tttt" localSheetId="13">[1]Principal!#REF!</definedName>
    <definedName name="\tttt" localSheetId="10">[1]Principal!#REF!</definedName>
    <definedName name="\tttt" localSheetId="7">[1]Principal!#REF!</definedName>
    <definedName name="\tttt">[1]Principal!#REF!</definedName>
    <definedName name="\UsuarP" localSheetId="1">'[1]Menu No. 2'!#REF!</definedName>
    <definedName name="\UsuarP" localSheetId="2">'[1]Menu No. 2'!#REF!</definedName>
    <definedName name="\UsuarP" localSheetId="18">'[1]Menu No. 2'!#REF!</definedName>
    <definedName name="\UsuarP" localSheetId="4">'[1]Menu No. 2'!#REF!</definedName>
    <definedName name="\UsuarP" localSheetId="3">'[1]Menu No. 2'!#REF!</definedName>
    <definedName name="\UsuarP" localSheetId="8">'[1]Menu No. 2'!#REF!</definedName>
    <definedName name="\UsuarP" localSheetId="5">'[1]Menu No. 2'!#REF!</definedName>
    <definedName name="\UsuarP" localSheetId="15">'[1]Menu No. 2'!#REF!</definedName>
    <definedName name="\UsuarP" localSheetId="14">'[1]Menu No. 2'!#REF!</definedName>
    <definedName name="\UsuarP" localSheetId="12">'[1]Menu No. 2'!#REF!</definedName>
    <definedName name="\UsuarP" localSheetId="13">'[1]Menu No. 2'!#REF!</definedName>
    <definedName name="\UsuarP" localSheetId="10">'[1]Menu No. 2'!#REF!</definedName>
    <definedName name="\UsuarP" localSheetId="7">'[1]Menu No. 2'!#REF!</definedName>
    <definedName name="\UsuarP">'[1]Menu No. 2'!#REF!</definedName>
    <definedName name="________F" localSheetId="1">[2]Hoja3!#REF!</definedName>
    <definedName name="________F" localSheetId="2">[2]Hoja3!#REF!</definedName>
    <definedName name="________F" localSheetId="4">[2]Hoja3!#REF!</definedName>
    <definedName name="________F" localSheetId="5">[2]Hoja3!#REF!</definedName>
    <definedName name="________F" localSheetId="15">[2]Hoja3!#REF!</definedName>
    <definedName name="________F" localSheetId="14">[2]Hoja3!#REF!</definedName>
    <definedName name="________F" localSheetId="12">[2]Hoja3!#REF!</definedName>
    <definedName name="________F" localSheetId="13">[2]Hoja3!#REF!</definedName>
    <definedName name="________F" localSheetId="10">[2]Hoja3!#REF!</definedName>
    <definedName name="________F">[2]Hoja3!#REF!</definedName>
    <definedName name="_______F" localSheetId="1">[2]Hoja3!#REF!</definedName>
    <definedName name="_______F" localSheetId="2">[2]Hoja3!#REF!</definedName>
    <definedName name="_______F" localSheetId="4">[2]Hoja3!#REF!</definedName>
    <definedName name="_______F" localSheetId="5">[2]Hoja3!#REF!</definedName>
    <definedName name="_______F" localSheetId="15">[2]Hoja3!#REF!</definedName>
    <definedName name="_______F" localSheetId="14">[2]Hoja3!#REF!</definedName>
    <definedName name="_______F" localSheetId="12">[2]Hoja3!#REF!</definedName>
    <definedName name="_______F" localSheetId="13">[2]Hoja3!#REF!</definedName>
    <definedName name="_______F" localSheetId="10">[2]Hoja3!#REF!</definedName>
    <definedName name="_______F">[2]Hoja3!#REF!</definedName>
    <definedName name="______F" localSheetId="1">[2]Hoja3!#REF!</definedName>
    <definedName name="______F" localSheetId="2">[2]Hoja3!#REF!</definedName>
    <definedName name="______F" localSheetId="4">[2]Hoja3!#REF!</definedName>
    <definedName name="______F" localSheetId="5">[2]Hoja3!#REF!</definedName>
    <definedName name="______F" localSheetId="15">[2]Hoja3!#REF!</definedName>
    <definedName name="______F" localSheetId="14">[2]Hoja3!#REF!</definedName>
    <definedName name="______F" localSheetId="12">[2]Hoja3!#REF!</definedName>
    <definedName name="______F" localSheetId="13">[2]Hoja3!#REF!</definedName>
    <definedName name="______F" localSheetId="10">[2]Hoja3!#REF!</definedName>
    <definedName name="______F">[2]Hoja3!#REF!</definedName>
    <definedName name="_____F" localSheetId="1">[2]Hoja3!#REF!</definedName>
    <definedName name="_____F" localSheetId="2">[2]Hoja3!#REF!</definedName>
    <definedName name="_____F" localSheetId="4">[2]Hoja3!#REF!</definedName>
    <definedName name="_____F" localSheetId="5">[2]Hoja3!#REF!</definedName>
    <definedName name="_____F" localSheetId="15">[2]Hoja3!#REF!</definedName>
    <definedName name="_____F" localSheetId="14">[2]Hoja3!#REF!</definedName>
    <definedName name="_____F" localSheetId="12">[2]Hoja3!#REF!</definedName>
    <definedName name="_____F" localSheetId="13">[2]Hoja3!#REF!</definedName>
    <definedName name="_____F" localSheetId="10">[2]Hoja3!#REF!</definedName>
    <definedName name="_____F">[2]Hoja3!#REF!</definedName>
    <definedName name="____F" localSheetId="1">[2]Hoja3!#REF!</definedName>
    <definedName name="____F" localSheetId="2">[2]Hoja3!#REF!</definedName>
    <definedName name="____F" localSheetId="4">[2]Hoja3!#REF!</definedName>
    <definedName name="____F" localSheetId="5">[2]Hoja3!#REF!</definedName>
    <definedName name="____F" localSheetId="15">[2]Hoja3!#REF!</definedName>
    <definedName name="____F" localSheetId="14">[2]Hoja3!#REF!</definedName>
    <definedName name="____F" localSheetId="12">[2]Hoja3!#REF!</definedName>
    <definedName name="____F" localSheetId="13">[2]Hoja3!#REF!</definedName>
    <definedName name="____F" localSheetId="10">[2]Hoja3!#REF!</definedName>
    <definedName name="____F">[2]Hoja3!#REF!</definedName>
    <definedName name="___F" localSheetId="1">[2]Hoja3!#REF!</definedName>
    <definedName name="___F" localSheetId="2">[2]Hoja3!#REF!</definedName>
    <definedName name="___F" localSheetId="4">[2]Hoja3!#REF!</definedName>
    <definedName name="___F" localSheetId="5">[2]Hoja3!#REF!</definedName>
    <definedName name="___F" localSheetId="15">[2]Hoja3!#REF!</definedName>
    <definedName name="___F" localSheetId="14">[2]Hoja3!#REF!</definedName>
    <definedName name="___F" localSheetId="12">[2]Hoja3!#REF!</definedName>
    <definedName name="___F" localSheetId="13">[2]Hoja3!#REF!</definedName>
    <definedName name="___F" localSheetId="10">[2]Hoja3!#REF!</definedName>
    <definedName name="___F">[2]Hoja3!#REF!</definedName>
    <definedName name="__123Graph_A" hidden="1">[1]ConexDesa!$R$11:$R$40</definedName>
    <definedName name="__123Graph_AGraph1" hidden="1">[1]Poblacion!$C$27:$F$27</definedName>
    <definedName name="__123Graph_AGraph10" hidden="1">[1]ConduCruda!$O$11:$O$41</definedName>
    <definedName name="__123Graph_AGraph11" hidden="1">[1]Tratamiento!$T$11:$T$40</definedName>
    <definedName name="__123Graph_AGraph12" hidden="1">[1]ConduTratada!$O$12:$O$41</definedName>
    <definedName name="__123Graph_AGraph13" hidden="1">[1]Almacena!$O$14:$O$43</definedName>
    <definedName name="__123Graph_AGraph14" hidden="1">[1]ConexDomici!$S$11:$S$40</definedName>
    <definedName name="__123Graph_AGraph15" hidden="1">[1]PMedidores!$S$11:$S$40</definedName>
    <definedName name="__123Graph_AGraph16" hidden="1">[1]Trat.AguasServ.!$X$12:$X$41</definedName>
    <definedName name="__123Graph_AGraph17" hidden="1">[1]Emisores!$V$10:$V$39</definedName>
    <definedName name="__123Graph_AGraph18" hidden="1">[1]ConexDesa!$R$11:$R$40</definedName>
    <definedName name="__123Graph_AGraph2" hidden="1">[1]Poblacion!$C$85:$F$85</definedName>
    <definedName name="__123Graph_AGraph3" hidden="1">[1]Poblacion!$B$148:$E$148</definedName>
    <definedName name="__123Graph_AGraph4" hidden="1">[1]Poblacion!$B$200:$B$232</definedName>
    <definedName name="__123Graph_AGraph5" hidden="1">'[1]Demanda Activa Agua'!$X$14:$X$44</definedName>
    <definedName name="__123Graph_AGraph6" hidden="1">'[1]Demanda Pasiva agua'!$X$14:$X$44</definedName>
    <definedName name="__123Graph_AGraph8" hidden="1">[1]Captacion!$S$10:$S$39</definedName>
    <definedName name="__123Graph_AGraph9" hidden="1">[1]PreTratamiento!$O$12:$O$42</definedName>
    <definedName name="__123Graph_B" hidden="1">[1]ConexDesa!$S$11:$S$40</definedName>
    <definedName name="__123Graph_BGraph1" hidden="1">[1]Poblacion!$C$28:$F$28</definedName>
    <definedName name="__123Graph_BGraph10" hidden="1">[1]ConduCruda!$P$11:$P$41</definedName>
    <definedName name="__123Graph_BGraph11" hidden="1">[1]Tratamiento!$U$11:$U$40</definedName>
    <definedName name="__123Graph_BGraph12" hidden="1">[1]ConduTratada!$P$12:$P$41</definedName>
    <definedName name="__123Graph_BGraph13" hidden="1">[1]Almacena!$P$14:$P$43</definedName>
    <definedName name="__123Graph_BGraph14" hidden="1">[1]ConexDomici!$T$11:$T$40</definedName>
    <definedName name="__123Graph_BGraph15" hidden="1">[1]PMedidores!$T$11:$T$40</definedName>
    <definedName name="__123Graph_BGraph16" hidden="1">[1]Trat.AguasServ.!$Y$12:$Y$41</definedName>
    <definedName name="__123Graph_BGraph17" hidden="1">[1]Emisores!$W$10:$W$39</definedName>
    <definedName name="__123Graph_BGraph18" hidden="1">[1]ConexDesa!$S$11:$S$40</definedName>
    <definedName name="__123Graph_BGraph2" hidden="1">[1]Poblacion!$C$86:$F$86</definedName>
    <definedName name="__123Graph_BGraph3" hidden="1">[1]Poblacion!$B$149:$E$149</definedName>
    <definedName name="__123Graph_BGraph4" hidden="1">[1]Poblacion!$C$200:$C$232</definedName>
    <definedName name="__123Graph_BGraph5" hidden="1">'[1]Demanda Activa Agua'!$W$14:$W$44</definedName>
    <definedName name="__123Graph_BGraph6" hidden="1">'[1]Demanda Pasiva agua'!$W$14:$W$44</definedName>
    <definedName name="__123Graph_BGraph8" hidden="1">[1]Captacion!$T$10:$T$39</definedName>
    <definedName name="__123Graph_BGraph9" hidden="1">[1]PreTratamiento!$P$12:$P$42</definedName>
    <definedName name="__123Graph_CGraph1" hidden="1">[1]Poblacion!$C$29:$F$29</definedName>
    <definedName name="__123Graph_CGraph2" hidden="1">[1]Poblacion!$C$87:$F$87</definedName>
    <definedName name="__123Graph_CGraph3" hidden="1">[1]Poblacion!$B$150:$E$150</definedName>
    <definedName name="__123Graph_CGraph4" hidden="1">[1]Poblacion!$D$200:$D$232</definedName>
    <definedName name="__123Graph_DGraph1" hidden="1">[1]Poblacion!$C$30:$F$30</definedName>
    <definedName name="__123Graph_DGraph2" hidden="1">[1]Poblacion!$C$88:$F$88</definedName>
    <definedName name="__123Graph_DGraph3" hidden="1">[1]Poblacion!$B$151:$E$151</definedName>
    <definedName name="__123Graph_DGraph4" hidden="1">[1]Poblacion!$E$200:$E$232</definedName>
    <definedName name="__123Graph_EGraph1" hidden="1">[1]Poblacion!$C$31:$F$31</definedName>
    <definedName name="__123Graph_EGraph2" hidden="1">[1]Poblacion!$C$89:$F$89</definedName>
    <definedName name="__123Graph_EGraph3" hidden="1">[1]Poblacion!$B$152:$E$152</definedName>
    <definedName name="__123Graph_EGraph4" hidden="1">[1]Poblacion!$F$200:$F$232</definedName>
    <definedName name="__123Graph_FGraph1" hidden="1">[1]Poblacion!$C$32:$F$32</definedName>
    <definedName name="__123Graph_FGraph2" hidden="1">[1]Poblacion!$C$90:$F$90</definedName>
    <definedName name="__123Graph_FGraph3" hidden="1">[1]Poblacion!$B$153:$E$153</definedName>
    <definedName name="__123Graph_X" hidden="1">[1]ConexDesa!$Q$11:$Q$40</definedName>
    <definedName name="__123Graph_XGraph2" hidden="1">[1]Poblacion!$C$84:$F$84</definedName>
    <definedName name="__123Graph_XGraph3" hidden="1">[1]Poblacion!$B$147:$E$147</definedName>
    <definedName name="__123Graph_XGraph4" hidden="1">[1]Poblacion!$A$200:$A$232</definedName>
    <definedName name="__F" localSheetId="1">[2]Hoja3!#REF!</definedName>
    <definedName name="__F" localSheetId="2">[2]Hoja3!#REF!</definedName>
    <definedName name="__F" localSheetId="4">[2]Hoja3!#REF!</definedName>
    <definedName name="__F" localSheetId="5">[2]Hoja3!#REF!</definedName>
    <definedName name="__F" localSheetId="15">[2]Hoja3!#REF!</definedName>
    <definedName name="__F" localSheetId="14">[2]Hoja3!#REF!</definedName>
    <definedName name="__F" localSheetId="12">[2]Hoja3!#REF!</definedName>
    <definedName name="__F" localSheetId="13">[2]Hoja3!#REF!</definedName>
    <definedName name="__F" localSheetId="10">[2]Hoja3!#REF!</definedName>
    <definedName name="__F">[2]Hoja3!#REF!</definedName>
    <definedName name="_ACC53" localSheetId="1">#REF!</definedName>
    <definedName name="_ACC53" localSheetId="2">#REF!</definedName>
    <definedName name="_ACC53" localSheetId="4">#REF!</definedName>
    <definedName name="_ACC53" localSheetId="5">#REF!</definedName>
    <definedName name="_ACC53" localSheetId="15">#REF!</definedName>
    <definedName name="_ACC53" localSheetId="14">#REF!</definedName>
    <definedName name="_ACC53" localSheetId="12">#REF!</definedName>
    <definedName name="_ACC53" localSheetId="13">#REF!</definedName>
    <definedName name="_ACC53" localSheetId="10">#REF!</definedName>
    <definedName name="_ACC53">#REF!</definedName>
    <definedName name="_ACC54" localSheetId="1">#REF!</definedName>
    <definedName name="_ACC54" localSheetId="2">#REF!</definedName>
    <definedName name="_ACC54" localSheetId="4">#REF!</definedName>
    <definedName name="_ACC54" localSheetId="5">#REF!</definedName>
    <definedName name="_ACC54" localSheetId="15">#REF!</definedName>
    <definedName name="_ACC54" localSheetId="14">#REF!</definedName>
    <definedName name="_ACC54" localSheetId="12">#REF!</definedName>
    <definedName name="_ACC54" localSheetId="13">#REF!</definedName>
    <definedName name="_ACC54" localSheetId="10">#REF!</definedName>
    <definedName name="_ACC54">#REF!</definedName>
    <definedName name="_ACC56" localSheetId="1">#REF!</definedName>
    <definedName name="_ACC56" localSheetId="2">#REF!</definedName>
    <definedName name="_ACC56" localSheetId="4">#REF!</definedName>
    <definedName name="_ACC56" localSheetId="5">#REF!</definedName>
    <definedName name="_ACC56" localSheetId="15">#REF!</definedName>
    <definedName name="_ACC56" localSheetId="14">#REF!</definedName>
    <definedName name="_ACC56" localSheetId="12">#REF!</definedName>
    <definedName name="_ACC56" localSheetId="13">#REF!</definedName>
    <definedName name="_ACC56" localSheetId="10">#REF!</definedName>
    <definedName name="_ACC56">#REF!</definedName>
    <definedName name="_AtRisk_SimSetting_AutomaticallyGenerateReports" hidden="1">FALSE</definedName>
    <definedName name="_AtRisk_SimSetting_AutomaticResultsDisplayMode" hidden="1">1</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dRecalcBehavior" hidden="1">0</definedName>
    <definedName name="_AtRisk_SimSetting_StdRecalcWithoutRiskStatic" hidden="1">0</definedName>
    <definedName name="_AtRisk_SimSetting_StdRecalcWithoutRiskStaticPercentile" hidden="1">0.5</definedName>
    <definedName name="_BUT38" localSheetId="1">#REF!</definedName>
    <definedName name="_BUT38" localSheetId="2">#REF!</definedName>
    <definedName name="_BUT38" localSheetId="4">#REF!</definedName>
    <definedName name="_BUT38" localSheetId="5">#REF!</definedName>
    <definedName name="_BUT38" localSheetId="15">#REF!</definedName>
    <definedName name="_BUT38" localSheetId="14">#REF!</definedName>
    <definedName name="_BUT38" localSheetId="12">#REF!</definedName>
    <definedName name="_BUT38" localSheetId="13">#REF!</definedName>
    <definedName name="_BUT38" localSheetId="10">#REF!</definedName>
    <definedName name="_BUT38">#REF!</definedName>
    <definedName name="_BUT78" localSheetId="1">#REF!</definedName>
    <definedName name="_BUT78" localSheetId="2">#REF!</definedName>
    <definedName name="_BUT78" localSheetId="4">#REF!</definedName>
    <definedName name="_BUT78" localSheetId="5">#REF!</definedName>
    <definedName name="_BUT78" localSheetId="15">#REF!</definedName>
    <definedName name="_BUT78" localSheetId="14">#REF!</definedName>
    <definedName name="_BUT78" localSheetId="12">#REF!</definedName>
    <definedName name="_BUT78" localSheetId="13">#REF!</definedName>
    <definedName name="_BUT78" localSheetId="10">#REF!</definedName>
    <definedName name="_BUT78">#REF!</definedName>
    <definedName name="_EJE01" localSheetId="1">#REF!</definedName>
    <definedName name="_EJE01" localSheetId="2">#REF!</definedName>
    <definedName name="_EJE01" localSheetId="4">#REF!</definedName>
    <definedName name="_EJE01" localSheetId="5">#REF!</definedName>
    <definedName name="_EJE01" localSheetId="15">#REF!</definedName>
    <definedName name="_EJE01" localSheetId="14">#REF!</definedName>
    <definedName name="_EJE01" localSheetId="12">#REF!</definedName>
    <definedName name="_EJE01" localSheetId="13">#REF!</definedName>
    <definedName name="_EJE01" localSheetId="10">#REF!</definedName>
    <definedName name="_EJE01">#REF!</definedName>
    <definedName name="_EJE02" localSheetId="1">#REF!</definedName>
    <definedName name="_EJE02" localSheetId="2">#REF!</definedName>
    <definedName name="_EJE02" localSheetId="4">#REF!</definedName>
    <definedName name="_EJE02" localSheetId="5">#REF!</definedName>
    <definedName name="_EJE02" localSheetId="15">#REF!</definedName>
    <definedName name="_EJE02" localSheetId="14">#REF!</definedName>
    <definedName name="_EJE02" localSheetId="12">#REF!</definedName>
    <definedName name="_EJE02" localSheetId="13">#REF!</definedName>
    <definedName name="_EJE02" localSheetId="10">#REF!</definedName>
    <definedName name="_EJE02">#REF!</definedName>
    <definedName name="_EJE03" localSheetId="1">#REF!</definedName>
    <definedName name="_EJE03" localSheetId="2">#REF!</definedName>
    <definedName name="_EJE03" localSheetId="4">#REF!</definedName>
    <definedName name="_EJE03" localSheetId="5">#REF!</definedName>
    <definedName name="_EJE03" localSheetId="15">#REF!</definedName>
    <definedName name="_EJE03" localSheetId="14">#REF!</definedName>
    <definedName name="_EJE03" localSheetId="12">#REF!</definedName>
    <definedName name="_EJE03" localSheetId="13">#REF!</definedName>
    <definedName name="_EJE03" localSheetId="10">#REF!</definedName>
    <definedName name="_EJE03">#REF!</definedName>
    <definedName name="_F" localSheetId="1">[2]Hoja3!#REF!</definedName>
    <definedName name="_F" localSheetId="2">[2]Hoja3!#REF!</definedName>
    <definedName name="_F" localSheetId="4">[2]Hoja3!#REF!</definedName>
    <definedName name="_F" localSheetId="5">[2]Hoja3!#REF!</definedName>
    <definedName name="_F" localSheetId="15">[2]Hoja3!#REF!</definedName>
    <definedName name="_F" localSheetId="14">[2]Hoja3!#REF!</definedName>
    <definedName name="_F" localSheetId="12">[2]Hoja3!#REF!</definedName>
    <definedName name="_F" localSheetId="13">[2]Hoja3!#REF!</definedName>
    <definedName name="_F" localSheetId="10">[2]Hoja3!#REF!</definedName>
    <definedName name="_F">[2]Hoja3!#REF!</definedName>
    <definedName name="_Fill" localSheetId="1" hidden="1">'[3]Tiraje Mix'!#REF!</definedName>
    <definedName name="_Fill" localSheetId="2" hidden="1">'[3]Tiraje Mix'!#REF!</definedName>
    <definedName name="_Fill" localSheetId="4" hidden="1">'[3]Tiraje Mix'!#REF!</definedName>
    <definedName name="_Fill" localSheetId="5" hidden="1">'[3]Tiraje Mix'!#REF!</definedName>
    <definedName name="_Fill" localSheetId="15" hidden="1">'[3]Tiraje Mix'!#REF!</definedName>
    <definedName name="_Fill" localSheetId="14" hidden="1">'[3]Tiraje Mix'!#REF!</definedName>
    <definedName name="_Fill" localSheetId="12" hidden="1">'[3]Tiraje Mix'!#REF!</definedName>
    <definedName name="_Fill" localSheetId="13" hidden="1">'[3]Tiraje Mix'!#REF!</definedName>
    <definedName name="_Fill" localSheetId="10" hidden="1">'[3]Tiraje Mix'!#REF!</definedName>
    <definedName name="_Fill" hidden="1">'[3]Tiraje Mix'!#REF!</definedName>
    <definedName name="_xlnm._FilterDatabase" localSheetId="19" hidden="1">'CEF-Tarifa'!$B$16:$M$23</definedName>
    <definedName name="_xlnm._FilterDatabase" localSheetId="11" hidden="1">'Costos Equip y Consul'!$B$2:$I$2</definedName>
    <definedName name="_xlnm._FilterDatabase" localSheetId="3" hidden="1">DATOS!#REF!</definedName>
    <definedName name="_xlnm._FilterDatabase" localSheetId="15" hidden="1">'Exp Técnico y otros'!$A$25:$G$29</definedName>
    <definedName name="_Key1" localSheetId="1" hidden="1">#REF!</definedName>
    <definedName name="_Key1" localSheetId="2" hidden="1">#REF!</definedName>
    <definedName name="_Key1" localSheetId="4" hidden="1">#REF!</definedName>
    <definedName name="_Key1" localSheetId="5" hidden="1">#REF!</definedName>
    <definedName name="_Key1" localSheetId="15" hidden="1">#REF!</definedName>
    <definedName name="_Key1" localSheetId="14" hidden="1">#REF!</definedName>
    <definedName name="_Key1" localSheetId="12" hidden="1">#REF!</definedName>
    <definedName name="_Key1" localSheetId="13" hidden="1">#REF!</definedName>
    <definedName name="_Key1" localSheetId="10" hidden="1">#REF!</definedName>
    <definedName name="_Key1" hidden="1">#REF!</definedName>
    <definedName name="_Key2" localSheetId="1" hidden="1">#REF!</definedName>
    <definedName name="_Key2" localSheetId="2" hidden="1">#REF!</definedName>
    <definedName name="_Key2" localSheetId="4" hidden="1">#REF!</definedName>
    <definedName name="_Key2" localSheetId="5" hidden="1">#REF!</definedName>
    <definedName name="_Key2" localSheetId="15" hidden="1">#REF!</definedName>
    <definedName name="_Key2" localSheetId="14" hidden="1">#REF!</definedName>
    <definedName name="_Key2" localSheetId="12" hidden="1">#REF!</definedName>
    <definedName name="_Key2" localSheetId="13" hidden="1">#REF!</definedName>
    <definedName name="_Key2" localSheetId="10" hidden="1">#REF!</definedName>
    <definedName name="_Key2" hidden="1">#REF!</definedName>
    <definedName name="_Order1" hidden="1">255</definedName>
    <definedName name="_Order2" hidden="1">255</definedName>
    <definedName name="_Regression_Out" localSheetId="1" hidden="1">#REF!</definedName>
    <definedName name="_Regression_Out" localSheetId="2" hidden="1">#REF!</definedName>
    <definedName name="_Regression_Out" localSheetId="4" hidden="1">#REF!</definedName>
    <definedName name="_Regression_Out" localSheetId="5" hidden="1">#REF!</definedName>
    <definedName name="_Regression_Out" localSheetId="15" hidden="1">#REF!</definedName>
    <definedName name="_Regression_Out" localSheetId="14" hidden="1">#REF!</definedName>
    <definedName name="_Regression_Out" localSheetId="12" hidden="1">#REF!</definedName>
    <definedName name="_Regression_Out" localSheetId="13" hidden="1">#REF!</definedName>
    <definedName name="_Regression_Out" localSheetId="10" hidden="1">#REF!</definedName>
    <definedName name="_Regression_Out" hidden="1">#REF!</definedName>
    <definedName name="_Regression_X" localSheetId="1" hidden="1">#REF!</definedName>
    <definedName name="_Regression_X" localSheetId="2" hidden="1">#REF!</definedName>
    <definedName name="_Regression_X" localSheetId="4" hidden="1">#REF!</definedName>
    <definedName name="_Regression_X" localSheetId="5" hidden="1">#REF!</definedName>
    <definedName name="_Regression_X" localSheetId="15" hidden="1">#REF!</definedName>
    <definedName name="_Regression_X" localSheetId="14" hidden="1">#REF!</definedName>
    <definedName name="_Regression_X" localSheetId="12" hidden="1">#REF!</definedName>
    <definedName name="_Regression_X" localSheetId="13" hidden="1">#REF!</definedName>
    <definedName name="_Regression_X" localSheetId="10" hidden="1">#REF!</definedName>
    <definedName name="_Regression_X" hidden="1">#REF!</definedName>
    <definedName name="_Regression_Y" localSheetId="1" hidden="1">#REF!</definedName>
    <definedName name="_Regression_Y" localSheetId="2" hidden="1">#REF!</definedName>
    <definedName name="_Regression_Y" localSheetId="4" hidden="1">#REF!</definedName>
    <definedName name="_Regression_Y" localSheetId="5" hidden="1">#REF!</definedName>
    <definedName name="_Regression_Y" localSheetId="15" hidden="1">#REF!</definedName>
    <definedName name="_Regression_Y" localSheetId="14" hidden="1">#REF!</definedName>
    <definedName name="_Regression_Y" localSheetId="12" hidden="1">#REF!</definedName>
    <definedName name="_Regression_Y" localSheetId="13" hidden="1">#REF!</definedName>
    <definedName name="_Regression_Y" localSheetId="10" hidden="1">#REF!</definedName>
    <definedName name="_Regression_Y" hidden="1">#REF!</definedName>
    <definedName name="_Sort" localSheetId="1" hidden="1">#REF!</definedName>
    <definedName name="_Sort" localSheetId="2" hidden="1">#REF!</definedName>
    <definedName name="_Sort" localSheetId="4" hidden="1">#REF!</definedName>
    <definedName name="_Sort" localSheetId="5" hidden="1">#REF!</definedName>
    <definedName name="_Sort" localSheetId="15" hidden="1">#REF!</definedName>
    <definedName name="_Sort" localSheetId="14" hidden="1">#REF!</definedName>
    <definedName name="_Sort" localSheetId="12" hidden="1">#REF!</definedName>
    <definedName name="_Sort" localSheetId="13" hidden="1">#REF!</definedName>
    <definedName name="_Sort" localSheetId="10" hidden="1">#REF!</definedName>
    <definedName name="_Sort" hidden="1">#REF!</definedName>
    <definedName name="_TCA704" localSheetId="1">#REF!</definedName>
    <definedName name="_TCA704" localSheetId="2">#REF!</definedName>
    <definedName name="_TCA704" localSheetId="4">#REF!</definedName>
    <definedName name="_TCA704" localSheetId="5">#REF!</definedName>
    <definedName name="_TCA704" localSheetId="15">#REF!</definedName>
    <definedName name="_TCA704" localSheetId="14">#REF!</definedName>
    <definedName name="_TCA704" localSheetId="12">#REF!</definedName>
    <definedName name="_TCA704" localSheetId="13">#REF!</definedName>
    <definedName name="_TCA704" localSheetId="10">#REF!</definedName>
    <definedName name="_TCA704">#REF!</definedName>
    <definedName name="_TOR10" localSheetId="1">#REF!</definedName>
    <definedName name="_TOR10" localSheetId="2">#REF!</definedName>
    <definedName name="_TOR10" localSheetId="4">#REF!</definedName>
    <definedName name="_TOR10" localSheetId="5">#REF!</definedName>
    <definedName name="_TOR10" localSheetId="15">#REF!</definedName>
    <definedName name="_TOR10" localSheetId="14">#REF!</definedName>
    <definedName name="_TOR10" localSheetId="12">#REF!</definedName>
    <definedName name="_TOR10" localSheetId="13">#REF!</definedName>
    <definedName name="_TOR10" localSheetId="10">#REF!</definedName>
    <definedName name="_TOR10">#REF!</definedName>
    <definedName name="_TOR14" localSheetId="1">#REF!</definedName>
    <definedName name="_TOR14" localSheetId="2">#REF!</definedName>
    <definedName name="_TOR14" localSheetId="4">#REF!</definedName>
    <definedName name="_TOR14" localSheetId="5">#REF!</definedName>
    <definedName name="_TOR14" localSheetId="15">#REF!</definedName>
    <definedName name="_TOR14" localSheetId="14">#REF!</definedName>
    <definedName name="_TOR14" localSheetId="12">#REF!</definedName>
    <definedName name="_TOR14" localSheetId="13">#REF!</definedName>
    <definedName name="_TOR14" localSheetId="10">#REF!</definedName>
    <definedName name="_TOR14">#REF!</definedName>
    <definedName name="_TR4" localSheetId="1">#REF!</definedName>
    <definedName name="_TR4" localSheetId="2">#REF!</definedName>
    <definedName name="_TR4" localSheetId="4">#REF!</definedName>
    <definedName name="_TR4" localSheetId="5">#REF!</definedName>
    <definedName name="_TR4" localSheetId="15">#REF!</definedName>
    <definedName name="_TR4" localSheetId="14">#REF!</definedName>
    <definedName name="_TR4" localSheetId="12">#REF!</definedName>
    <definedName name="_TR4" localSheetId="13">#REF!</definedName>
    <definedName name="_TR4" localSheetId="10">#REF!</definedName>
    <definedName name="_TR4">#REF!</definedName>
    <definedName name="a" localSheetId="1">'[1]Menu No. 4'!#REF!</definedName>
    <definedName name="a" localSheetId="2">'[1]Menu No. 4'!#REF!</definedName>
    <definedName name="a" localSheetId="4">'[1]Menu No. 4'!#REF!</definedName>
    <definedName name="a" localSheetId="3">'[1]Menu No. 4'!#REF!</definedName>
    <definedName name="a" localSheetId="8">'[1]Menu No. 4'!#REF!</definedName>
    <definedName name="a" localSheetId="5">'[1]Menu No. 4'!#REF!</definedName>
    <definedName name="a" localSheetId="15">'[1]Menu No. 4'!#REF!</definedName>
    <definedName name="a" localSheetId="14">'[1]Menu No. 4'!#REF!</definedName>
    <definedName name="a" localSheetId="12">'[1]Menu No. 4'!#REF!</definedName>
    <definedName name="a" localSheetId="13">'[1]Menu No. 4'!#REF!</definedName>
    <definedName name="a" localSheetId="10">'[1]Menu No. 4'!#REF!</definedName>
    <definedName name="a" localSheetId="7">'[1]Menu No. 4'!#REF!</definedName>
    <definedName name="a">'[1]Menu No. 4'!#REF!</definedName>
    <definedName name="A_001">[4]puni!$H$51</definedName>
    <definedName name="A_002">[4]puni!$H$97</definedName>
    <definedName name="A_003">[4]puni!$H$143</definedName>
    <definedName name="A_004">[4]puni!$H$189</definedName>
    <definedName name="A_005">[4]puni!$H$235</definedName>
    <definedName name="A_006">[4]puni!$H$281</definedName>
    <definedName name="A_007">[4]puni!$H$327</definedName>
    <definedName name="A_008">[4]puni!$H$373</definedName>
    <definedName name="A_009">[4]puni!$H$425</definedName>
    <definedName name="A_512">[5]puni!$H$143</definedName>
    <definedName name="A_IMPRESI_N_IM" localSheetId="1">#REF!</definedName>
    <definedName name="A_IMPRESI_N_IM" localSheetId="2">#REF!</definedName>
    <definedName name="A_IMPRESI_N_IM" localSheetId="4">#REF!</definedName>
    <definedName name="A_IMPRESI_N_IM" localSheetId="5">#REF!</definedName>
    <definedName name="A_IMPRESI_N_IM" localSheetId="15">#REF!</definedName>
    <definedName name="A_IMPRESI_N_IM" localSheetId="14">#REF!</definedName>
    <definedName name="A_IMPRESI_N_IM" localSheetId="12">#REF!</definedName>
    <definedName name="A_IMPRESI_N_IM" localSheetId="13">#REF!</definedName>
    <definedName name="A_IMPRESI_N_IM" localSheetId="10">#REF!</definedName>
    <definedName name="A_IMPRESI_N_IM">#REF!</definedName>
    <definedName name="A_IMPRESIÓN_IM" localSheetId="1">#REF!</definedName>
    <definedName name="A_IMPRESIÓN_IM" localSheetId="2">#REF!</definedName>
    <definedName name="A_IMPRESIÓN_IM" localSheetId="4">#REF!</definedName>
    <definedName name="A_IMPRESIÓN_IM" localSheetId="5">#REF!</definedName>
    <definedName name="A_IMPRESIÓN_IM" localSheetId="15">#REF!</definedName>
    <definedName name="A_IMPRESIÓN_IM" localSheetId="14">#REF!</definedName>
    <definedName name="A_IMPRESIÓN_IM" localSheetId="12">#REF!</definedName>
    <definedName name="A_IMPRESIÓN_IM" localSheetId="13">#REF!</definedName>
    <definedName name="A_IMPRESIÓN_IM" localSheetId="10">#REF!</definedName>
    <definedName name="A_IMPRESIÓN_IM">#REF!</definedName>
    <definedName name="AA" localSheetId="1">#REF!</definedName>
    <definedName name="AA" localSheetId="2">#REF!</definedName>
    <definedName name="AA" localSheetId="4">#REF!</definedName>
    <definedName name="AA" localSheetId="5">#REF!</definedName>
    <definedName name="AA" localSheetId="15">#REF!</definedName>
    <definedName name="AA" localSheetId="14">#REF!</definedName>
    <definedName name="AA" localSheetId="12">#REF!</definedName>
    <definedName name="AA" localSheetId="13">#REF!</definedName>
    <definedName name="AA" localSheetId="10">#REF!</definedName>
    <definedName name="AA">#REF!</definedName>
    <definedName name="AAA" localSheetId="1">'[1]Menu No. 4'!#REF!</definedName>
    <definedName name="AAA" localSheetId="2">'[1]Menu No. 4'!#REF!</definedName>
    <definedName name="AAA" localSheetId="4">'[1]Menu No. 4'!#REF!</definedName>
    <definedName name="AAA" localSheetId="3">'[1]Menu No. 4'!#REF!</definedName>
    <definedName name="AAA" localSheetId="8">'[1]Menu No. 4'!#REF!</definedName>
    <definedName name="AAA" localSheetId="5">'[1]Menu No. 4'!#REF!</definedName>
    <definedName name="AAA" localSheetId="15">'[1]Menu No. 4'!#REF!</definedName>
    <definedName name="AAA" localSheetId="14">'[1]Menu No. 4'!#REF!</definedName>
    <definedName name="AAA" localSheetId="12">'[1]Menu No. 4'!#REF!</definedName>
    <definedName name="AAA" localSheetId="13">'[1]Menu No. 4'!#REF!</definedName>
    <definedName name="AAA" localSheetId="10">'[1]Menu No. 4'!#REF!</definedName>
    <definedName name="AAA" localSheetId="7">'[1]Menu No. 4'!#REF!</definedName>
    <definedName name="AAA">'[1]Menu No. 4'!#REF!</definedName>
    <definedName name="ABRASIVO" localSheetId="1">#REF!</definedName>
    <definedName name="ABRASIVO" localSheetId="2">#REF!</definedName>
    <definedName name="ABRASIVO" localSheetId="4">#REF!</definedName>
    <definedName name="ABRASIVO" localSheetId="5">#REF!</definedName>
    <definedName name="ABRASIVO" localSheetId="15">#REF!</definedName>
    <definedName name="ABRASIVO" localSheetId="14">#REF!</definedName>
    <definedName name="ABRASIVO" localSheetId="12">#REF!</definedName>
    <definedName name="ABRASIVO" localSheetId="13">#REF!</definedName>
    <definedName name="ABRASIVO" localSheetId="10">#REF!</definedName>
    <definedName name="ABRASIVO">#REF!</definedName>
    <definedName name="ABRASIVO01" localSheetId="1">#REF!</definedName>
    <definedName name="ABRASIVO01" localSheetId="2">#REF!</definedName>
    <definedName name="ABRASIVO01" localSheetId="4">#REF!</definedName>
    <definedName name="ABRASIVO01" localSheetId="5">#REF!</definedName>
    <definedName name="ABRASIVO01" localSheetId="15">#REF!</definedName>
    <definedName name="ABRASIVO01" localSheetId="14">#REF!</definedName>
    <definedName name="ABRASIVO01" localSheetId="12">#REF!</definedName>
    <definedName name="ABRASIVO01" localSheetId="13">#REF!</definedName>
    <definedName name="ABRASIVO01" localSheetId="10">#REF!</definedName>
    <definedName name="ABRASIVO01">#REF!</definedName>
    <definedName name="ABRASIVO02" localSheetId="1">#REF!</definedName>
    <definedName name="ABRASIVO02" localSheetId="2">#REF!</definedName>
    <definedName name="ABRASIVO02" localSheetId="4">#REF!</definedName>
    <definedName name="ABRASIVO02" localSheetId="5">#REF!</definedName>
    <definedName name="ABRASIVO02" localSheetId="15">#REF!</definedName>
    <definedName name="ABRASIVO02" localSheetId="14">#REF!</definedName>
    <definedName name="ABRASIVO02" localSheetId="12">#REF!</definedName>
    <definedName name="ABRASIVO02" localSheetId="13">#REF!</definedName>
    <definedName name="ABRASIVO02" localSheetId="10">#REF!</definedName>
    <definedName name="ABRASIVO02">#REF!</definedName>
    <definedName name="ABRAZ" localSheetId="1">#REF!</definedName>
    <definedName name="ABRAZ" localSheetId="2">#REF!</definedName>
    <definedName name="ABRAZ" localSheetId="4">#REF!</definedName>
    <definedName name="ABRAZ" localSheetId="5">#REF!</definedName>
    <definedName name="ABRAZ" localSheetId="15">#REF!</definedName>
    <definedName name="ABRAZ" localSheetId="14">#REF!</definedName>
    <definedName name="ABRAZ" localSheetId="12">#REF!</definedName>
    <definedName name="ABRAZ" localSheetId="13">#REF!</definedName>
    <definedName name="ABRAZ" localSheetId="10">#REF!</definedName>
    <definedName name="ABRAZ">#REF!</definedName>
    <definedName name="ACABADO" localSheetId="1">#REF!</definedName>
    <definedName name="ACABADO" localSheetId="2">#REF!</definedName>
    <definedName name="ACABADO" localSheetId="4">#REF!</definedName>
    <definedName name="ACABADO" localSheetId="5">#REF!</definedName>
    <definedName name="ACABADO" localSheetId="15">#REF!</definedName>
    <definedName name="ACABADO" localSheetId="14">#REF!</definedName>
    <definedName name="ACABADO" localSheetId="12">#REF!</definedName>
    <definedName name="ACABADO" localSheetId="13">#REF!</definedName>
    <definedName name="ACABADO" localSheetId="10">#REF!</definedName>
    <definedName name="ACABADO">#REF!</definedName>
    <definedName name="ACAVADO" localSheetId="1">#REF!</definedName>
    <definedName name="ACAVADO" localSheetId="2">#REF!</definedName>
    <definedName name="ACAVADO" localSheetId="4">#REF!</definedName>
    <definedName name="ACAVADO" localSheetId="5">#REF!</definedName>
    <definedName name="ACAVADO" localSheetId="15">#REF!</definedName>
    <definedName name="ACAVADO" localSheetId="14">#REF!</definedName>
    <definedName name="ACAVADO" localSheetId="12">#REF!</definedName>
    <definedName name="ACAVADO" localSheetId="13">#REF!</definedName>
    <definedName name="ACAVADO" localSheetId="10">#REF!</definedName>
    <definedName name="ACAVADO">#REF!</definedName>
    <definedName name="ACCESORIOS" localSheetId="1">#REF!</definedName>
    <definedName name="ACCESORIOS" localSheetId="2">#REF!</definedName>
    <definedName name="ACCESORIOS" localSheetId="4">#REF!</definedName>
    <definedName name="ACCESORIOS" localSheetId="5">#REF!</definedName>
    <definedName name="ACCESORIOS" localSheetId="15">#REF!</definedName>
    <definedName name="ACCESORIOS" localSheetId="14">#REF!</definedName>
    <definedName name="ACCESORIOS" localSheetId="12">#REF!</definedName>
    <definedName name="ACCESORIOS" localSheetId="13">#REF!</definedName>
    <definedName name="ACCESORIOS" localSheetId="10">#REF!</definedName>
    <definedName name="ACCESORIOS">#REF!</definedName>
    <definedName name="ACER." localSheetId="1">#REF!</definedName>
    <definedName name="ACER." localSheetId="2">#REF!</definedName>
    <definedName name="ACER." localSheetId="4">#REF!</definedName>
    <definedName name="ACER." localSheetId="5">#REF!</definedName>
    <definedName name="ACER." localSheetId="15">#REF!</definedName>
    <definedName name="ACER." localSheetId="14">#REF!</definedName>
    <definedName name="ACER." localSheetId="12">#REF!</definedName>
    <definedName name="ACER." localSheetId="13">#REF!</definedName>
    <definedName name="ACER." localSheetId="10">#REF!</definedName>
    <definedName name="ACER.">#REF!</definedName>
    <definedName name="acero" localSheetId="1">#REF!</definedName>
    <definedName name="acero" localSheetId="2">#REF!</definedName>
    <definedName name="acero" localSheetId="4">#REF!</definedName>
    <definedName name="acero" localSheetId="5">#REF!</definedName>
    <definedName name="acero" localSheetId="15">#REF!</definedName>
    <definedName name="acero" localSheetId="14">#REF!</definedName>
    <definedName name="acero" localSheetId="12">#REF!</definedName>
    <definedName name="acero" localSheetId="13">#REF!</definedName>
    <definedName name="acero" localSheetId="10">#REF!</definedName>
    <definedName name="acero">#REF!</definedName>
    <definedName name="AE" localSheetId="1">#REF!</definedName>
    <definedName name="AE" localSheetId="2">#REF!</definedName>
    <definedName name="AE" localSheetId="4">#REF!</definedName>
    <definedName name="AE" localSheetId="5">#REF!</definedName>
    <definedName name="AE" localSheetId="15">#REF!</definedName>
    <definedName name="AE" localSheetId="14">#REF!</definedName>
    <definedName name="AE" localSheetId="12">#REF!</definedName>
    <definedName name="AE" localSheetId="13">#REF!</definedName>
    <definedName name="AE" localSheetId="10">#REF!</definedName>
    <definedName name="AE">#REF!</definedName>
    <definedName name="AFI" localSheetId="1">#REF!</definedName>
    <definedName name="AFI" localSheetId="2">#REF!</definedName>
    <definedName name="AFI" localSheetId="4">#REF!</definedName>
    <definedName name="AFI" localSheetId="5">#REF!</definedName>
    <definedName name="AFI" localSheetId="15">#REF!</definedName>
    <definedName name="AFI" localSheetId="14">#REF!</definedName>
    <definedName name="AFI" localSheetId="12">#REF!</definedName>
    <definedName name="AFI" localSheetId="13">#REF!</definedName>
    <definedName name="AFI" localSheetId="10">#REF!</definedName>
    <definedName name="AFI">#REF!</definedName>
    <definedName name="afirmado" localSheetId="1">#REF!</definedName>
    <definedName name="afirmado" localSheetId="2">#REF!</definedName>
    <definedName name="afirmado" localSheetId="4">#REF!</definedName>
    <definedName name="afirmado" localSheetId="5">#REF!</definedName>
    <definedName name="afirmado" localSheetId="15">#REF!</definedName>
    <definedName name="afirmado" localSheetId="14">#REF!</definedName>
    <definedName name="afirmado" localSheetId="12">#REF!</definedName>
    <definedName name="afirmado" localSheetId="13">#REF!</definedName>
    <definedName name="afirmado" localSheetId="10">#REF!</definedName>
    <definedName name="afirmado">#REF!</definedName>
    <definedName name="AFN" localSheetId="1">#REF!</definedName>
    <definedName name="AFN" localSheetId="2">#REF!</definedName>
    <definedName name="AFN" localSheetId="4">#REF!</definedName>
    <definedName name="AFN" localSheetId="5">#REF!</definedName>
    <definedName name="AFN" localSheetId="15">#REF!</definedName>
    <definedName name="AFN" localSheetId="14">#REF!</definedName>
    <definedName name="AFN" localSheetId="12">#REF!</definedName>
    <definedName name="AFN" localSheetId="13">#REF!</definedName>
    <definedName name="AFN" localSheetId="10">#REF!</definedName>
    <definedName name="AFN">#REF!</definedName>
    <definedName name="AFNIT" localSheetId="1">#REF!</definedName>
    <definedName name="AFNIT" localSheetId="2">#REF!</definedName>
    <definedName name="AFNIT" localSheetId="4">#REF!</definedName>
    <definedName name="AFNIT" localSheetId="5">#REF!</definedName>
    <definedName name="AFNIT" localSheetId="15">#REF!</definedName>
    <definedName name="AFNIT" localSheetId="14">#REF!</definedName>
    <definedName name="AFNIT" localSheetId="12">#REF!</definedName>
    <definedName name="AFNIT" localSheetId="13">#REF!</definedName>
    <definedName name="AFNIT" localSheetId="10">#REF!</definedName>
    <definedName name="AFNIT">#REF!</definedName>
    <definedName name="AFP" localSheetId="1">#REF!</definedName>
    <definedName name="AFP" localSheetId="2">#REF!</definedName>
    <definedName name="AFP" localSheetId="4">#REF!</definedName>
    <definedName name="AFP" localSheetId="5">#REF!</definedName>
    <definedName name="AFP" localSheetId="15">#REF!</definedName>
    <definedName name="AFP" localSheetId="14">#REF!</definedName>
    <definedName name="AFP" localSheetId="12">#REF!</definedName>
    <definedName name="AFP" localSheetId="13">#REF!</definedName>
    <definedName name="AFP" localSheetId="10">#REF!</definedName>
    <definedName name="AFP">#REF!</definedName>
    <definedName name="AFPYN" localSheetId="1">#REF!</definedName>
    <definedName name="AFPYN" localSheetId="2">#REF!</definedName>
    <definedName name="AFPYN" localSheetId="4">#REF!</definedName>
    <definedName name="AFPYN" localSheetId="5">#REF!</definedName>
    <definedName name="AFPYN" localSheetId="15">#REF!</definedName>
    <definedName name="AFPYN" localSheetId="14">#REF!</definedName>
    <definedName name="AFPYN" localSheetId="12">#REF!</definedName>
    <definedName name="AFPYN" localSheetId="13">#REF!</definedName>
    <definedName name="AFPYN" localSheetId="10">#REF!</definedName>
    <definedName name="AFPYN">#REF!</definedName>
    <definedName name="Agreg" localSheetId="1">[6]Costos!#REF!</definedName>
    <definedName name="Agreg" localSheetId="2">[6]Costos!#REF!</definedName>
    <definedName name="Agreg" localSheetId="4">[6]Costos!#REF!</definedName>
    <definedName name="Agreg" localSheetId="5">[6]Costos!#REF!</definedName>
    <definedName name="Agreg" localSheetId="15">[6]Costos!#REF!</definedName>
    <definedName name="Agreg" localSheetId="14">[6]Costos!#REF!</definedName>
    <definedName name="Agreg" localSheetId="12">[6]Costos!#REF!</definedName>
    <definedName name="Agreg" localSheetId="13">[6]Costos!#REF!</definedName>
    <definedName name="Agreg" localSheetId="10">[6]Costos!#REF!</definedName>
    <definedName name="Agreg">[6]Costos!#REF!</definedName>
    <definedName name="agreg1" localSheetId="1">[6]Costos!#REF!</definedName>
    <definedName name="agreg1" localSheetId="2">[6]Costos!#REF!</definedName>
    <definedName name="agreg1" localSheetId="4">[6]Costos!#REF!</definedName>
    <definedName name="agreg1" localSheetId="5">[6]Costos!#REF!</definedName>
    <definedName name="agreg1" localSheetId="15">[6]Costos!#REF!</definedName>
    <definedName name="agreg1" localSheetId="14">[6]Costos!#REF!</definedName>
    <definedName name="agreg1" localSheetId="12">[6]Costos!#REF!</definedName>
    <definedName name="agreg1" localSheetId="13">[6]Costos!#REF!</definedName>
    <definedName name="agreg1" localSheetId="10">[6]Costos!#REF!</definedName>
    <definedName name="agreg1">[6]Costos!#REF!</definedName>
    <definedName name="agreg2" localSheetId="1">[6]Costos!#REF!</definedName>
    <definedName name="agreg2" localSheetId="2">[6]Costos!#REF!</definedName>
    <definedName name="agreg2" localSheetId="4">[6]Costos!#REF!</definedName>
    <definedName name="agreg2" localSheetId="5">[6]Costos!#REF!</definedName>
    <definedName name="agreg2" localSheetId="15">[6]Costos!#REF!</definedName>
    <definedName name="agreg2" localSheetId="14">[6]Costos!#REF!</definedName>
    <definedName name="agreg2" localSheetId="12">[6]Costos!#REF!</definedName>
    <definedName name="agreg2" localSheetId="13">[6]Costos!#REF!</definedName>
    <definedName name="agreg2" localSheetId="10">[6]Costos!#REF!</definedName>
    <definedName name="agreg2">[6]Costos!#REF!</definedName>
    <definedName name="Agua" localSheetId="1">#REF!</definedName>
    <definedName name="Agua" localSheetId="2">#REF!</definedName>
    <definedName name="Agua" localSheetId="4">#REF!</definedName>
    <definedName name="Agua" localSheetId="5">#REF!</definedName>
    <definedName name="Agua" localSheetId="15">#REF!</definedName>
    <definedName name="Agua" localSheetId="14">#REF!</definedName>
    <definedName name="Agua" localSheetId="12">#REF!</definedName>
    <definedName name="Agua" localSheetId="13">#REF!</definedName>
    <definedName name="Agua" localSheetId="10">#REF!</definedName>
    <definedName name="Agua">#REF!</definedName>
    <definedName name="alambre" localSheetId="1">#REF!</definedName>
    <definedName name="alambre" localSheetId="2">#REF!</definedName>
    <definedName name="alambre" localSheetId="4">#REF!</definedName>
    <definedName name="alambre" localSheetId="5">#REF!</definedName>
    <definedName name="alambre" localSheetId="15">#REF!</definedName>
    <definedName name="alambre" localSheetId="14">#REF!</definedName>
    <definedName name="alambre" localSheetId="12">#REF!</definedName>
    <definedName name="alambre" localSheetId="13">#REF!</definedName>
    <definedName name="alambre" localSheetId="10">#REF!</definedName>
    <definedName name="alambre">#REF!</definedName>
    <definedName name="Alizadora" localSheetId="1">#REF!</definedName>
    <definedName name="Alizadora" localSheetId="2">#REF!</definedName>
    <definedName name="Alizadora" localSheetId="4">#REF!</definedName>
    <definedName name="Alizadora" localSheetId="5">#REF!</definedName>
    <definedName name="Alizadora" localSheetId="15">#REF!</definedName>
    <definedName name="Alizadora" localSheetId="14">#REF!</definedName>
    <definedName name="Alizadora" localSheetId="12">#REF!</definedName>
    <definedName name="Alizadora" localSheetId="13">#REF!</definedName>
    <definedName name="Alizadora" localSheetId="10">#REF!</definedName>
    <definedName name="Alizadora">#REF!</definedName>
    <definedName name="Almacén_sótano" localSheetId="1">#REF!</definedName>
    <definedName name="Almacén_sótano" localSheetId="2">#REF!</definedName>
    <definedName name="Almacén_sótano" localSheetId="4">#REF!</definedName>
    <definedName name="Almacén_sótano" localSheetId="5">#REF!</definedName>
    <definedName name="Almacén_sótano" localSheetId="15">#REF!</definedName>
    <definedName name="Almacén_sótano" localSheetId="14">#REF!</definedName>
    <definedName name="Almacén_sótano" localSheetId="12">#REF!</definedName>
    <definedName name="Almacén_sótano" localSheetId="13">#REF!</definedName>
    <definedName name="Almacén_sótano" localSheetId="10">#REF!</definedName>
    <definedName name="Almacén_sótano">#REF!</definedName>
    <definedName name="Almacen_tasa" localSheetId="1">#REF!</definedName>
    <definedName name="Almacen_tasa" localSheetId="2">#REF!</definedName>
    <definedName name="Almacen_tasa" localSheetId="4">#REF!</definedName>
    <definedName name="Almacen_tasa" localSheetId="3">#REF!</definedName>
    <definedName name="Almacen_tasa" localSheetId="8">#REF!</definedName>
    <definedName name="Almacen_tasa" localSheetId="5">#REF!</definedName>
    <definedName name="Almacen_tasa" localSheetId="15">#REF!</definedName>
    <definedName name="Almacen_tasa" localSheetId="14">#REF!</definedName>
    <definedName name="Almacen_tasa" localSheetId="12">#REF!</definedName>
    <definedName name="Almacen_tasa" localSheetId="13">#REF!</definedName>
    <definedName name="Almacen_tasa" localSheetId="10">#REF!</definedName>
    <definedName name="Almacen_tasa" localSheetId="7">#REF!</definedName>
    <definedName name="Almacen_tasa">#REF!</definedName>
    <definedName name="AMI" localSheetId="1">#REF!</definedName>
    <definedName name="AMI" localSheetId="2">#REF!</definedName>
    <definedName name="AMI" localSheetId="4">#REF!</definedName>
    <definedName name="AMI" localSheetId="5">#REF!</definedName>
    <definedName name="AMI" localSheetId="15">#REF!</definedName>
    <definedName name="AMI" localSheetId="14">#REF!</definedName>
    <definedName name="AMI" localSheetId="12">#REF!</definedName>
    <definedName name="AMI" localSheetId="13">#REF!</definedName>
    <definedName name="AMI" localSheetId="10">#REF!</definedName>
    <definedName name="AMI">#REF!</definedName>
    <definedName name="AN" localSheetId="1">#REF!</definedName>
    <definedName name="AN" localSheetId="2">#REF!</definedName>
    <definedName name="AN" localSheetId="4">#REF!</definedName>
    <definedName name="AN" localSheetId="5">#REF!</definedName>
    <definedName name="AN" localSheetId="15">#REF!</definedName>
    <definedName name="AN" localSheetId="14">#REF!</definedName>
    <definedName name="AN" localSheetId="12">#REF!</definedName>
    <definedName name="AN" localSheetId="13">#REF!</definedName>
    <definedName name="AN" localSheetId="10">#REF!</definedName>
    <definedName name="AN">#REF!</definedName>
    <definedName name="ANA_IE_17">[7]ANA_IE17_O2!$A$1:$H$1917</definedName>
    <definedName name="ANA_IE_17_CORREGIDOS">[8]ANA!$A$6:$I$434</definedName>
    <definedName name="ANAC" localSheetId="1">#REF!</definedName>
    <definedName name="ANAC" localSheetId="2">#REF!</definedName>
    <definedName name="ANAC" localSheetId="4">#REF!</definedName>
    <definedName name="ANAC" localSheetId="5">#REF!</definedName>
    <definedName name="ANAC" localSheetId="15">#REF!</definedName>
    <definedName name="ANAC" localSheetId="14">#REF!</definedName>
    <definedName name="ANAC" localSheetId="12">#REF!</definedName>
    <definedName name="ANAC" localSheetId="13">#REF!</definedName>
    <definedName name="ANAC" localSheetId="10">#REF!</definedName>
    <definedName name="ANAC">#REF!</definedName>
    <definedName name="ANGULO01" localSheetId="1">#REF!</definedName>
    <definedName name="ANGULO01" localSheetId="2">#REF!</definedName>
    <definedName name="ANGULO01" localSheetId="4">#REF!</definedName>
    <definedName name="ANGULO01" localSheetId="5">#REF!</definedName>
    <definedName name="ANGULO01" localSheetId="15">#REF!</definedName>
    <definedName name="ANGULO01" localSheetId="14">#REF!</definedName>
    <definedName name="ANGULO01" localSheetId="12">#REF!</definedName>
    <definedName name="ANGULO01" localSheetId="13">#REF!</definedName>
    <definedName name="ANGULO01" localSheetId="10">#REF!</definedName>
    <definedName name="ANGULO01">#REF!</definedName>
    <definedName name="ANGULO02" localSheetId="1">#REF!</definedName>
    <definedName name="ANGULO02" localSheetId="2">#REF!</definedName>
    <definedName name="ANGULO02" localSheetId="4">#REF!</definedName>
    <definedName name="ANGULO02" localSheetId="5">#REF!</definedName>
    <definedName name="ANGULO02" localSheetId="15">#REF!</definedName>
    <definedName name="ANGULO02" localSheetId="14">#REF!</definedName>
    <definedName name="ANGULO02" localSheetId="12">#REF!</definedName>
    <definedName name="ANGULO02" localSheetId="13">#REF!</definedName>
    <definedName name="ANGULO02" localSheetId="10">#REF!</definedName>
    <definedName name="ANGULO02">#REF!</definedName>
    <definedName name="ANGULO03" localSheetId="1">#REF!</definedName>
    <definedName name="ANGULO03" localSheetId="2">#REF!</definedName>
    <definedName name="ANGULO03" localSheetId="4">#REF!</definedName>
    <definedName name="ANGULO03" localSheetId="5">#REF!</definedName>
    <definedName name="ANGULO03" localSheetId="15">#REF!</definedName>
    <definedName name="ANGULO03" localSheetId="14">#REF!</definedName>
    <definedName name="ANGULO03" localSheetId="12">#REF!</definedName>
    <definedName name="ANGULO03" localSheetId="13">#REF!</definedName>
    <definedName name="ANGULO03" localSheetId="10">#REF!</definedName>
    <definedName name="ANGULO03">#REF!</definedName>
    <definedName name="ANGULOS" localSheetId="1">#REF!</definedName>
    <definedName name="ANGULOS" localSheetId="2">#REF!</definedName>
    <definedName name="ANGULOS" localSheetId="4">#REF!</definedName>
    <definedName name="ANGULOS" localSheetId="5">#REF!</definedName>
    <definedName name="ANGULOS" localSheetId="15">#REF!</definedName>
    <definedName name="ANGULOS" localSheetId="14">#REF!</definedName>
    <definedName name="ANGULOS" localSheetId="12">#REF!</definedName>
    <definedName name="ANGULOS" localSheetId="13">#REF!</definedName>
    <definedName name="ANGULOS" localSheetId="10">#REF!</definedName>
    <definedName name="ANGULOS">#REF!</definedName>
    <definedName name="ANTICORROSIVO" localSheetId="1">#REF!</definedName>
    <definedName name="ANTICORROSIVO" localSheetId="2">#REF!</definedName>
    <definedName name="ANTICORROSIVO" localSheetId="4">#REF!</definedName>
    <definedName name="ANTICORROSIVO" localSheetId="5">#REF!</definedName>
    <definedName name="ANTICORROSIVO" localSheetId="15">#REF!</definedName>
    <definedName name="ANTICORROSIVO" localSheetId="14">#REF!</definedName>
    <definedName name="ANTICORROSIVO" localSheetId="12">#REF!</definedName>
    <definedName name="ANTICORROSIVO" localSheetId="13">#REF!</definedName>
    <definedName name="ANTICORROSIVO" localSheetId="10">#REF!</definedName>
    <definedName name="ANTICORROSIVO">#REF!</definedName>
    <definedName name="apisonadora" localSheetId="1">#REF!</definedName>
    <definedName name="apisonadora" localSheetId="2">#REF!</definedName>
    <definedName name="apisonadora" localSheetId="4">#REF!</definedName>
    <definedName name="apisonadora" localSheetId="5">#REF!</definedName>
    <definedName name="apisonadora" localSheetId="15">#REF!</definedName>
    <definedName name="apisonadora" localSheetId="14">#REF!</definedName>
    <definedName name="apisonadora" localSheetId="12">#REF!</definedName>
    <definedName name="apisonadora" localSheetId="13">#REF!</definedName>
    <definedName name="apisonadora" localSheetId="10">#REF!</definedName>
    <definedName name="apisonadora">#REF!</definedName>
    <definedName name="ARANDELA01" localSheetId="1">#REF!</definedName>
    <definedName name="ARANDELA01" localSheetId="2">#REF!</definedName>
    <definedName name="ARANDELA01" localSheetId="4">#REF!</definedName>
    <definedName name="ARANDELA01" localSheetId="5">#REF!</definedName>
    <definedName name="ARANDELA01" localSheetId="15">#REF!</definedName>
    <definedName name="ARANDELA01" localSheetId="14">#REF!</definedName>
    <definedName name="ARANDELA01" localSheetId="12">#REF!</definedName>
    <definedName name="ARANDELA01" localSheetId="13">#REF!</definedName>
    <definedName name="ARANDELA01" localSheetId="10">#REF!</definedName>
    <definedName name="ARANDELA01">#REF!</definedName>
    <definedName name="ARANDELA02" localSheetId="1">#REF!</definedName>
    <definedName name="ARANDELA02" localSheetId="2">#REF!</definedName>
    <definedName name="ARANDELA02" localSheetId="4">#REF!</definedName>
    <definedName name="ARANDELA02" localSheetId="5">#REF!</definedName>
    <definedName name="ARANDELA02" localSheetId="15">#REF!</definedName>
    <definedName name="ARANDELA02" localSheetId="14">#REF!</definedName>
    <definedName name="ARANDELA02" localSheetId="12">#REF!</definedName>
    <definedName name="ARANDELA02" localSheetId="13">#REF!</definedName>
    <definedName name="ARANDELA02" localSheetId="10">#REF!</definedName>
    <definedName name="ARANDELA02">#REF!</definedName>
    <definedName name="ARANDELA03" localSheetId="1">#REF!</definedName>
    <definedName name="ARANDELA03" localSheetId="2">#REF!</definedName>
    <definedName name="ARANDELA03" localSheetId="4">#REF!</definedName>
    <definedName name="ARANDELA03" localSheetId="5">#REF!</definedName>
    <definedName name="ARANDELA03" localSheetId="15">#REF!</definedName>
    <definedName name="ARANDELA03" localSheetId="14">#REF!</definedName>
    <definedName name="ARANDELA03" localSheetId="12">#REF!</definedName>
    <definedName name="ARANDELA03" localSheetId="13">#REF!</definedName>
    <definedName name="ARANDELA03" localSheetId="10">#REF!</definedName>
    <definedName name="ARANDELA03">#REF!</definedName>
    <definedName name="AREA" localSheetId="1">#REF!</definedName>
    <definedName name="AREA" localSheetId="2">#REF!</definedName>
    <definedName name="AREA" localSheetId="4">#REF!</definedName>
    <definedName name="AREA" localSheetId="5">#REF!</definedName>
    <definedName name="AREA" localSheetId="15">#REF!</definedName>
    <definedName name="AREA" localSheetId="14">#REF!</definedName>
    <definedName name="AREA" localSheetId="12">#REF!</definedName>
    <definedName name="AREA" localSheetId="13">#REF!</definedName>
    <definedName name="AREA" localSheetId="10">#REF!</definedName>
    <definedName name="AREA">#REF!</definedName>
    <definedName name="AREA_COLUMNAS" localSheetId="1">#REF!</definedName>
    <definedName name="AREA_COLUMNAS" localSheetId="2">#REF!</definedName>
    <definedName name="AREA_COLUMNAS" localSheetId="4">#REF!</definedName>
    <definedName name="AREA_COLUMNAS" localSheetId="5">#REF!</definedName>
    <definedName name="AREA_COLUMNAS" localSheetId="15">#REF!</definedName>
    <definedName name="AREA_COLUMNAS" localSheetId="14">#REF!</definedName>
    <definedName name="AREA_COLUMNAS" localSheetId="12">#REF!</definedName>
    <definedName name="AREA_COLUMNAS" localSheetId="13">#REF!</definedName>
    <definedName name="AREA_COLUMNAS" localSheetId="10">#REF!</definedName>
    <definedName name="AREA_COLUMNAS">#REF!</definedName>
    <definedName name="_xlnm.Print_Area" localSheetId="1">BASE!$A$5:$P$417</definedName>
    <definedName name="_xlnm.Print_Area" localSheetId="19">'CEF-Tarifa'!$B$1:$P$106</definedName>
    <definedName name="_xlnm.Print_Area" localSheetId="2">'Condiciones Estándar'!$A$1:$AA$42</definedName>
    <definedName name="_xlnm.Print_Area" localSheetId="18">'Costos Alter.'!$B$1:$P$102</definedName>
    <definedName name="_xlnm.Print_Area" localSheetId="11">'Costos Equip y Consul'!$A$2:$J$363</definedName>
    <definedName name="_xlnm.Print_Area" localSheetId="4">#REF!</definedName>
    <definedName name="_xlnm.Print_Area" localSheetId="3">DATOS!$A$1:$AZ$280</definedName>
    <definedName name="_xlnm.Print_Area" localSheetId="8">'Demanda Oferta'!$A$1:$S$104</definedName>
    <definedName name="_xlnm.Print_Area" localSheetId="9">'Disp Final'!$A$1:$N$39</definedName>
    <definedName name="_xlnm.Print_Area" localSheetId="5">#REF!</definedName>
    <definedName name="_xlnm.Print_Area" localSheetId="15">'Exp Técnico y otros'!$A$2:$G$104</definedName>
    <definedName name="_xlnm.Print_Area" localSheetId="0">FICHA!$A$1:$BA$816</definedName>
    <definedName name="_xlnm.Print_Area" localSheetId="12">#REF!</definedName>
    <definedName name="_xlnm.Print_Area" localSheetId="13">'P.Val. Orgánico'!$A$1:$N$176</definedName>
    <definedName name="_xlnm.Print_Area" localSheetId="10">'Planteamiento Técnico'!$A$1:$O$625</definedName>
    <definedName name="_xlnm.Print_Area" localSheetId="7">'Población Y RR.SS'!$A$1:$F$32</definedName>
    <definedName name="_xlnm.Print_Area" localSheetId="17">REINV!$A$1:$N$185</definedName>
    <definedName name="_xlnm.Print_Area" localSheetId="6">'REQ. EJECU'!$A$1:$B$21</definedName>
    <definedName name="_xlnm.Print_Area">#REF!</definedName>
    <definedName name="Area_mezzanine" localSheetId="1">#REF!</definedName>
    <definedName name="Area_mezzanine" localSheetId="2">#REF!</definedName>
    <definedName name="Area_mezzanine" localSheetId="4">#REF!</definedName>
    <definedName name="Area_mezzanine" localSheetId="5">#REF!</definedName>
    <definedName name="Area_mezzanine" localSheetId="15">#REF!</definedName>
    <definedName name="Area_mezzanine" localSheetId="14">#REF!</definedName>
    <definedName name="Area_mezzanine" localSheetId="12">#REF!</definedName>
    <definedName name="Area_mezzanine" localSheetId="13">#REF!</definedName>
    <definedName name="Area_mezzanine" localSheetId="10">#REF!</definedName>
    <definedName name="Area_mezzanine">#REF!</definedName>
    <definedName name="Area_piso1" localSheetId="1">#REF!</definedName>
    <definedName name="Area_piso1" localSheetId="2">#REF!</definedName>
    <definedName name="Area_piso1" localSheetId="4">#REF!</definedName>
    <definedName name="Area_piso1" localSheetId="5">#REF!</definedName>
    <definedName name="Area_piso1" localSheetId="15">#REF!</definedName>
    <definedName name="Area_piso1" localSheetId="14">#REF!</definedName>
    <definedName name="Area_piso1" localSheetId="12">#REF!</definedName>
    <definedName name="Area_piso1" localSheetId="13">#REF!</definedName>
    <definedName name="Area_piso1" localSheetId="10">#REF!</definedName>
    <definedName name="Area_piso1">#REF!</definedName>
    <definedName name="Area_piso2" localSheetId="1">#REF!</definedName>
    <definedName name="Area_piso2" localSheetId="2">#REF!</definedName>
    <definedName name="Area_piso2" localSheetId="4">#REF!</definedName>
    <definedName name="Area_piso2" localSheetId="5">#REF!</definedName>
    <definedName name="Area_piso2" localSheetId="15">#REF!</definedName>
    <definedName name="Area_piso2" localSheetId="14">#REF!</definedName>
    <definedName name="Area_piso2" localSheetId="12">#REF!</definedName>
    <definedName name="Area_piso2" localSheetId="13">#REF!</definedName>
    <definedName name="Area_piso2" localSheetId="10">#REF!</definedName>
    <definedName name="Area_piso2">#REF!</definedName>
    <definedName name="Area_piso3" localSheetId="1">#REF!</definedName>
    <definedName name="Area_piso3" localSheetId="2">#REF!</definedName>
    <definedName name="Area_piso3" localSheetId="4">#REF!</definedName>
    <definedName name="Area_piso3" localSheetId="5">#REF!</definedName>
    <definedName name="Area_piso3" localSheetId="15">#REF!</definedName>
    <definedName name="Area_piso3" localSheetId="14">#REF!</definedName>
    <definedName name="Area_piso3" localSheetId="12">#REF!</definedName>
    <definedName name="Area_piso3" localSheetId="13">#REF!</definedName>
    <definedName name="Area_piso3" localSheetId="10">#REF!</definedName>
    <definedName name="Area_piso3">#REF!</definedName>
    <definedName name="Área_Techada" localSheetId="1">#REF!</definedName>
    <definedName name="Área_Techada" localSheetId="2">#REF!</definedName>
    <definedName name="Área_Techada" localSheetId="4">#REF!</definedName>
    <definedName name="Área_Techada" localSheetId="5">#REF!</definedName>
    <definedName name="Área_Techada" localSheetId="15">#REF!</definedName>
    <definedName name="Área_Techada" localSheetId="14">#REF!</definedName>
    <definedName name="Área_Techada" localSheetId="12">#REF!</definedName>
    <definedName name="Área_Techada" localSheetId="13">#REF!</definedName>
    <definedName name="Área_Techada" localSheetId="10">#REF!</definedName>
    <definedName name="Área_Techada">#REF!</definedName>
    <definedName name="Area_terreno" localSheetId="1">#REF!</definedName>
    <definedName name="Area_terreno" localSheetId="2">#REF!</definedName>
    <definedName name="Area_terreno" localSheetId="4">#REF!</definedName>
    <definedName name="Area_terreno" localSheetId="5">#REF!</definedName>
    <definedName name="Area_terreno" localSheetId="15">#REF!</definedName>
    <definedName name="Area_terreno" localSheetId="14">#REF!</definedName>
    <definedName name="Area_terreno" localSheetId="12">#REF!</definedName>
    <definedName name="Area_terreno" localSheetId="13">#REF!</definedName>
    <definedName name="Area_terreno" localSheetId="10">#REF!</definedName>
    <definedName name="Area_terreno">#REF!</definedName>
    <definedName name="Arena" localSheetId="1">[6]Costos!#REF!</definedName>
    <definedName name="Arena" localSheetId="2">[6]Costos!#REF!</definedName>
    <definedName name="Arena" localSheetId="4">[6]Costos!#REF!</definedName>
    <definedName name="Arena" localSheetId="5">[6]Costos!#REF!</definedName>
    <definedName name="Arena" localSheetId="15">[6]Costos!#REF!</definedName>
    <definedName name="Arena" localSheetId="14">[6]Costos!#REF!</definedName>
    <definedName name="Arena" localSheetId="12">[6]Costos!#REF!</definedName>
    <definedName name="Arena" localSheetId="13">[6]Costos!#REF!</definedName>
    <definedName name="Arena" localSheetId="10">[6]Costos!#REF!</definedName>
    <definedName name="Arena">[6]Costos!#REF!</definedName>
    <definedName name="arena1" localSheetId="1">[6]Costos!#REF!</definedName>
    <definedName name="arena1" localSheetId="2">[6]Costos!#REF!</definedName>
    <definedName name="arena1" localSheetId="4">[6]Costos!#REF!</definedName>
    <definedName name="arena1" localSheetId="5">[6]Costos!#REF!</definedName>
    <definedName name="arena1" localSheetId="15">[6]Costos!#REF!</definedName>
    <definedName name="arena1" localSheetId="14">[6]Costos!#REF!</definedName>
    <definedName name="arena1" localSheetId="12">[6]Costos!#REF!</definedName>
    <definedName name="arena1" localSheetId="13">[6]Costos!#REF!</definedName>
    <definedName name="arena1" localSheetId="10">[6]Costos!#REF!</definedName>
    <definedName name="arena1">[6]Costos!#REF!</definedName>
    <definedName name="arena2" localSheetId="1">[6]Costos!#REF!</definedName>
    <definedName name="arena2" localSheetId="2">[6]Costos!#REF!</definedName>
    <definedName name="arena2" localSheetId="4">[6]Costos!#REF!</definedName>
    <definedName name="arena2" localSheetId="5">[6]Costos!#REF!</definedName>
    <definedName name="arena2" localSheetId="15">[6]Costos!#REF!</definedName>
    <definedName name="arena2" localSheetId="14">[6]Costos!#REF!</definedName>
    <definedName name="arena2" localSheetId="12">[6]Costos!#REF!</definedName>
    <definedName name="arena2" localSheetId="13">[6]Costos!#REF!</definedName>
    <definedName name="arena2" localSheetId="10">[6]Costos!#REF!</definedName>
    <definedName name="arena2">[6]Costos!#REF!</definedName>
    <definedName name="ARENADO" localSheetId="1">#REF!</definedName>
    <definedName name="ARENADO" localSheetId="2">#REF!</definedName>
    <definedName name="ARENADO" localSheetId="4">#REF!</definedName>
    <definedName name="ARENADO" localSheetId="5">#REF!</definedName>
    <definedName name="ARENADO" localSheetId="15">#REF!</definedName>
    <definedName name="ARENADO" localSheetId="14">#REF!</definedName>
    <definedName name="ARENADO" localSheetId="12">#REF!</definedName>
    <definedName name="ARENADO" localSheetId="13">#REF!</definedName>
    <definedName name="ARENADO" localSheetId="10">#REF!</definedName>
    <definedName name="ARENADO">#REF!</definedName>
    <definedName name="arenag" localSheetId="1">#REF!</definedName>
    <definedName name="arenag" localSheetId="2">#REF!</definedName>
    <definedName name="arenag" localSheetId="4">#REF!</definedName>
    <definedName name="arenag" localSheetId="5">#REF!</definedName>
    <definedName name="arenag" localSheetId="15">#REF!</definedName>
    <definedName name="arenag" localSheetId="14">#REF!</definedName>
    <definedName name="arenag" localSheetId="12">#REF!</definedName>
    <definedName name="arenag" localSheetId="13">#REF!</definedName>
    <definedName name="arenag" localSheetId="10">#REF!</definedName>
    <definedName name="arenag">#REF!</definedName>
    <definedName name="ARTEFACTOS" localSheetId="1">#REF!</definedName>
    <definedName name="ARTEFACTOS" localSheetId="2">#REF!</definedName>
    <definedName name="ARTEFACTOS" localSheetId="4">#REF!</definedName>
    <definedName name="ARTEFACTOS" localSheetId="5">#REF!</definedName>
    <definedName name="ARTEFACTOS" localSheetId="15">#REF!</definedName>
    <definedName name="ARTEFACTOS" localSheetId="14">#REF!</definedName>
    <definedName name="ARTEFACTOS" localSheetId="12">#REF!</definedName>
    <definedName name="ARTEFACTOS" localSheetId="13">#REF!</definedName>
    <definedName name="ARTEFACTOS" localSheetId="10">#REF!</definedName>
    <definedName name="ARTEFACTOS">#REF!</definedName>
    <definedName name="Ay" localSheetId="1">#REF!</definedName>
    <definedName name="Ay" localSheetId="2">#REF!</definedName>
    <definedName name="Ay" localSheetId="4">#REF!</definedName>
    <definedName name="Ay" localSheetId="5">#REF!</definedName>
    <definedName name="Ay" localSheetId="15">#REF!</definedName>
    <definedName name="Ay" localSheetId="14">#REF!</definedName>
    <definedName name="Ay" localSheetId="12">#REF!</definedName>
    <definedName name="Ay" localSheetId="13">#REF!</definedName>
    <definedName name="Ay" localSheetId="10">#REF!</definedName>
    <definedName name="Ay">#REF!</definedName>
    <definedName name="B" localSheetId="1">'[9]pu Estructuras'!#REF!</definedName>
    <definedName name="B" localSheetId="2">'[9]pu Estructuras'!#REF!</definedName>
    <definedName name="B" localSheetId="4">'[9]pu Estructuras'!#REF!</definedName>
    <definedName name="B" localSheetId="5">'[9]pu Estructuras'!#REF!</definedName>
    <definedName name="B" localSheetId="15">'[9]pu Estructuras'!#REF!</definedName>
    <definedName name="B" localSheetId="14">'[9]pu Estructuras'!#REF!</definedName>
    <definedName name="B" localSheetId="12">'[9]pu Estructuras'!#REF!</definedName>
    <definedName name="B" localSheetId="13">'[9]pu Estructuras'!#REF!</definedName>
    <definedName name="B" localSheetId="10">'[9]pu Estructuras'!#REF!</definedName>
    <definedName name="B">'[9]pu Estructuras'!#REF!</definedName>
    <definedName name="BAJADA" localSheetId="1">#REF!</definedName>
    <definedName name="BAJADA" localSheetId="2">#REF!</definedName>
    <definedName name="BAJADA" localSheetId="4">#REF!</definedName>
    <definedName name="BAJADA" localSheetId="5">#REF!</definedName>
    <definedName name="BAJADA" localSheetId="15">#REF!</definedName>
    <definedName name="BAJADA" localSheetId="14">#REF!</definedName>
    <definedName name="BAJADA" localSheetId="12">#REF!</definedName>
    <definedName name="BAJADA" localSheetId="13">#REF!</definedName>
    <definedName name="BAJADA" localSheetId="10">#REF!</definedName>
    <definedName name="BAJADA">#REF!</definedName>
    <definedName name="barrenderos" localSheetId="1">#REF!</definedName>
    <definedName name="barrenderos" localSheetId="2">#REF!</definedName>
    <definedName name="barrenderos" localSheetId="4">#REF!</definedName>
    <definedName name="barrenderos" localSheetId="3">#REF!</definedName>
    <definedName name="barrenderos" localSheetId="8">#REF!</definedName>
    <definedName name="barrenderos" localSheetId="5">#REF!</definedName>
    <definedName name="barrenderos" localSheetId="15">#REF!</definedName>
    <definedName name="barrenderos" localSheetId="14">#REF!</definedName>
    <definedName name="barrenderos" localSheetId="12">#REF!</definedName>
    <definedName name="barrenderos" localSheetId="13">#REF!</definedName>
    <definedName name="barrenderos" localSheetId="10">#REF!</definedName>
    <definedName name="barrenderos" localSheetId="7">#REF!</definedName>
    <definedName name="barrenderos">#REF!</definedName>
    <definedName name="base2">[10]basedatos!$A:$IV</definedName>
    <definedName name="_xlnm.Database" localSheetId="1">'[3]Tiraje Mix'!#REF!</definedName>
    <definedName name="_xlnm.Database" localSheetId="2">'[3]Tiraje Mix'!#REF!</definedName>
    <definedName name="_xlnm.Database" localSheetId="4">'[3]Tiraje Mix'!#REF!</definedName>
    <definedName name="_xlnm.Database" localSheetId="5">'[3]Tiraje Mix'!#REF!</definedName>
    <definedName name="_xlnm.Database" localSheetId="15">'[3]Tiraje Mix'!#REF!</definedName>
    <definedName name="_xlnm.Database" localSheetId="14">'[3]Tiraje Mix'!#REF!</definedName>
    <definedName name="_xlnm.Database" localSheetId="12">'[3]Tiraje Mix'!#REF!</definedName>
    <definedName name="_xlnm.Database" localSheetId="13">'[3]Tiraje Mix'!#REF!</definedName>
    <definedName name="_xlnm.Database" localSheetId="10">'[3]Tiraje Mix'!#REF!</definedName>
    <definedName name="_xlnm.Database">'[3]Tiraje Mix'!#REF!</definedName>
    <definedName name="bitumen" localSheetId="1">#REF!</definedName>
    <definedName name="bitumen" localSheetId="2">#REF!</definedName>
    <definedName name="bitumen" localSheetId="4">#REF!</definedName>
    <definedName name="bitumen" localSheetId="5">#REF!</definedName>
    <definedName name="bitumen" localSheetId="15">#REF!</definedName>
    <definedName name="bitumen" localSheetId="14">#REF!</definedName>
    <definedName name="bitumen" localSheetId="12">#REF!</definedName>
    <definedName name="bitumen" localSheetId="13">#REF!</definedName>
    <definedName name="bitumen" localSheetId="10">#REF!</definedName>
    <definedName name="bitumen">#REF!</definedName>
    <definedName name="bomba" localSheetId="1">#REF!</definedName>
    <definedName name="bomba" localSheetId="2">#REF!</definedName>
    <definedName name="bomba" localSheetId="4">#REF!</definedName>
    <definedName name="bomba" localSheetId="5">#REF!</definedName>
    <definedName name="bomba" localSheetId="15">#REF!</definedName>
    <definedName name="bomba" localSheetId="14">#REF!</definedName>
    <definedName name="bomba" localSheetId="12">#REF!</definedName>
    <definedName name="bomba" localSheetId="13">#REF!</definedName>
    <definedName name="bomba" localSheetId="10">#REF!</definedName>
    <definedName name="bomba">#REF!</definedName>
    <definedName name="bridas" localSheetId="1">#REF!</definedName>
    <definedName name="bridas" localSheetId="2">#REF!</definedName>
    <definedName name="bridas" localSheetId="4">#REF!</definedName>
    <definedName name="bridas" localSheetId="5">#REF!</definedName>
    <definedName name="bridas" localSheetId="15">#REF!</definedName>
    <definedName name="bridas" localSheetId="14">#REF!</definedName>
    <definedName name="bridas" localSheetId="12">#REF!</definedName>
    <definedName name="bridas" localSheetId="13">#REF!</definedName>
    <definedName name="bridas" localSheetId="10">#REF!</definedName>
    <definedName name="bridas">#REF!</definedName>
    <definedName name="ca" localSheetId="1">#REF!</definedName>
    <definedName name="ca" localSheetId="2">#REF!</definedName>
    <definedName name="ca" localSheetId="18">#REF!</definedName>
    <definedName name="ca" localSheetId="4">#REF!</definedName>
    <definedName name="ca" localSheetId="3">#REF!</definedName>
    <definedName name="ca" localSheetId="8">#REF!</definedName>
    <definedName name="ca" localSheetId="5">#REF!</definedName>
    <definedName name="ca" localSheetId="15">#REF!</definedName>
    <definedName name="ca" localSheetId="14">#REF!</definedName>
    <definedName name="ca" localSheetId="12">#REF!</definedName>
    <definedName name="ca" localSheetId="13">#REF!</definedName>
    <definedName name="ca" localSheetId="10">#REF!</definedName>
    <definedName name="ca" localSheetId="7">#REF!</definedName>
    <definedName name="ca">#REF!</definedName>
    <definedName name="camion" localSheetId="1">#REF!</definedName>
    <definedName name="camion" localSheetId="2">#REF!</definedName>
    <definedName name="camion" localSheetId="4">#REF!</definedName>
    <definedName name="camion" localSheetId="5">#REF!</definedName>
    <definedName name="camion" localSheetId="15">#REF!</definedName>
    <definedName name="camion" localSheetId="14">#REF!</definedName>
    <definedName name="camion" localSheetId="12">#REF!</definedName>
    <definedName name="camion" localSheetId="13">#REF!</definedName>
    <definedName name="camion" localSheetId="10">#REF!</definedName>
    <definedName name="camion">#REF!</definedName>
    <definedName name="CANAL01" localSheetId="1">#REF!</definedName>
    <definedName name="CANAL01" localSheetId="2">#REF!</definedName>
    <definedName name="CANAL01" localSheetId="4">#REF!</definedName>
    <definedName name="CANAL01" localSheetId="5">#REF!</definedName>
    <definedName name="CANAL01" localSheetId="15">#REF!</definedName>
    <definedName name="CANAL01" localSheetId="14">#REF!</definedName>
    <definedName name="CANAL01" localSheetId="12">#REF!</definedName>
    <definedName name="CANAL01" localSheetId="13">#REF!</definedName>
    <definedName name="CANAL01" localSheetId="10">#REF!</definedName>
    <definedName name="CANAL01">#REF!</definedName>
    <definedName name="CANAL02" localSheetId="1">#REF!</definedName>
    <definedName name="CANAL02" localSheetId="2">#REF!</definedName>
    <definedName name="CANAL02" localSheetId="4">#REF!</definedName>
    <definedName name="CANAL02" localSheetId="5">#REF!</definedName>
    <definedName name="CANAL02" localSheetId="15">#REF!</definedName>
    <definedName name="CANAL02" localSheetId="14">#REF!</definedName>
    <definedName name="CANAL02" localSheetId="12">#REF!</definedName>
    <definedName name="CANAL02" localSheetId="13">#REF!</definedName>
    <definedName name="CANAL02" localSheetId="10">#REF!</definedName>
    <definedName name="CANAL02">#REF!</definedName>
    <definedName name="CANAL03" localSheetId="1">#REF!</definedName>
    <definedName name="CANAL03" localSheetId="2">#REF!</definedName>
    <definedName name="CANAL03" localSheetId="4">#REF!</definedName>
    <definedName name="CANAL03" localSheetId="5">#REF!</definedName>
    <definedName name="CANAL03" localSheetId="15">#REF!</definedName>
    <definedName name="CANAL03" localSheetId="14">#REF!</definedName>
    <definedName name="CANAL03" localSheetId="12">#REF!</definedName>
    <definedName name="CANAL03" localSheetId="13">#REF!</definedName>
    <definedName name="CANAL03" localSheetId="10">#REF!</definedName>
    <definedName name="CANAL03">#REF!</definedName>
    <definedName name="CANALETA" localSheetId="1">#REF!</definedName>
    <definedName name="CANALETA" localSheetId="2">#REF!</definedName>
    <definedName name="CANALETA" localSheetId="4">#REF!</definedName>
    <definedName name="CANALETA" localSheetId="5">#REF!</definedName>
    <definedName name="CANALETA" localSheetId="15">#REF!</definedName>
    <definedName name="CANALETA" localSheetId="14">#REF!</definedName>
    <definedName name="CANALETA" localSheetId="12">#REF!</definedName>
    <definedName name="CANALETA" localSheetId="13">#REF!</definedName>
    <definedName name="CANALETA" localSheetId="10">#REF!</definedName>
    <definedName name="CANALETA">#REF!</definedName>
    <definedName name="capacidad">[11]Hoja2!$B$13:$B$14</definedName>
    <definedName name="CAPU" localSheetId="1">#REF!</definedName>
    <definedName name="CAPU" localSheetId="2">#REF!</definedName>
    <definedName name="CAPU" localSheetId="4">#REF!</definedName>
    <definedName name="CAPU" localSheetId="5">#REF!</definedName>
    <definedName name="CAPU" localSheetId="15">#REF!</definedName>
    <definedName name="CAPU" localSheetId="14">#REF!</definedName>
    <definedName name="CAPU" localSheetId="12">#REF!</definedName>
    <definedName name="CAPU" localSheetId="13">#REF!</definedName>
    <definedName name="CAPU" localSheetId="10">#REF!</definedName>
    <definedName name="CAPU">#REF!</definedName>
    <definedName name="cargaretroexcavadora" localSheetId="1">#REF!</definedName>
    <definedName name="cargaretroexcavadora" localSheetId="2">#REF!</definedName>
    <definedName name="cargaretroexcavadora" localSheetId="4">#REF!</definedName>
    <definedName name="cargaretroexcavadora" localSheetId="5">#REF!</definedName>
    <definedName name="cargaretroexcavadora" localSheetId="15">#REF!</definedName>
    <definedName name="cargaretroexcavadora" localSheetId="14">#REF!</definedName>
    <definedName name="cargaretroexcavadora" localSheetId="12">#REF!</definedName>
    <definedName name="cargaretroexcavadora" localSheetId="13">#REF!</definedName>
    <definedName name="cargaretroexcavadora" localSheetId="10">#REF!</definedName>
    <definedName name="cargaretroexcavadora">#REF!</definedName>
    <definedName name="CARPINT" localSheetId="1">#REF!</definedName>
    <definedName name="CARPINT" localSheetId="2">#REF!</definedName>
    <definedName name="CARPINT" localSheetId="4">#REF!</definedName>
    <definedName name="CARPINT" localSheetId="5">#REF!</definedName>
    <definedName name="CARPINT" localSheetId="15">#REF!</definedName>
    <definedName name="CARPINT" localSheetId="14">#REF!</definedName>
    <definedName name="CARPINT" localSheetId="12">#REF!</definedName>
    <definedName name="CARPINT" localSheetId="13">#REF!</definedName>
    <definedName name="CARPINT" localSheetId="10">#REF!</definedName>
    <definedName name="CARPINT">#REF!</definedName>
    <definedName name="CCDXXXSP" localSheetId="1">'[9]pu Estructuras'!#REF!</definedName>
    <definedName name="CCDXXXSP" localSheetId="2">'[9]pu Estructuras'!#REF!</definedName>
    <definedName name="CCDXXXSP" localSheetId="4">'[9]pu Estructuras'!#REF!</definedName>
    <definedName name="CCDXXXSP" localSheetId="5">'[9]pu Estructuras'!#REF!</definedName>
    <definedName name="CCDXXXSP" localSheetId="15">'[9]pu Estructuras'!#REF!</definedName>
    <definedName name="CCDXXXSP" localSheetId="14">'[9]pu Estructuras'!#REF!</definedName>
    <definedName name="CCDXXXSP" localSheetId="12">'[9]pu Estructuras'!#REF!</definedName>
    <definedName name="CCDXXXSP" localSheetId="13">'[9]pu Estructuras'!#REF!</definedName>
    <definedName name="CCDXXXSP" localSheetId="10">'[9]pu Estructuras'!#REF!</definedName>
    <definedName name="CCDXXXSP">'[9]pu Estructuras'!#REF!</definedName>
    <definedName name="CCX" localSheetId="1">'[9]pu Estructuras'!#REF!</definedName>
    <definedName name="CCX" localSheetId="2">'[9]pu Estructuras'!#REF!</definedName>
    <definedName name="CCX" localSheetId="4">'[9]pu Estructuras'!#REF!</definedName>
    <definedName name="CCX" localSheetId="5">'[9]pu Estructuras'!#REF!</definedName>
    <definedName name="CCX" localSheetId="15">'[9]pu Estructuras'!#REF!</definedName>
    <definedName name="CCX" localSheetId="14">'[9]pu Estructuras'!#REF!</definedName>
    <definedName name="CCX" localSheetId="12">'[9]pu Estructuras'!#REF!</definedName>
    <definedName name="CCX" localSheetId="13">'[9]pu Estructuras'!#REF!</definedName>
    <definedName name="CCX" localSheetId="10">'[9]pu Estructuras'!#REF!</definedName>
    <definedName name="CCX">'[9]pu Estructuras'!#REF!</definedName>
    <definedName name="CCXC" localSheetId="1">'[9]pu Estructuras'!#REF!</definedName>
    <definedName name="CCXC" localSheetId="2">'[9]pu Estructuras'!#REF!</definedName>
    <definedName name="CCXC" localSheetId="4">'[9]pu Estructuras'!#REF!</definedName>
    <definedName name="CCXC" localSheetId="5">'[9]pu Estructuras'!#REF!</definedName>
    <definedName name="CCXC" localSheetId="15">'[9]pu Estructuras'!#REF!</definedName>
    <definedName name="CCXC" localSheetId="14">'[9]pu Estructuras'!#REF!</definedName>
    <definedName name="CCXC" localSheetId="12">'[9]pu Estructuras'!#REF!</definedName>
    <definedName name="CCXC" localSheetId="13">'[9]pu Estructuras'!#REF!</definedName>
    <definedName name="CCXC" localSheetId="10">'[9]pu Estructuras'!#REF!</definedName>
    <definedName name="CCXC">'[9]pu Estructuras'!#REF!</definedName>
    <definedName name="CDXXV" localSheetId="1">'[9]pu Estructuras'!#REF!</definedName>
    <definedName name="CDXXV" localSheetId="2">'[9]pu Estructuras'!#REF!</definedName>
    <definedName name="CDXXV" localSheetId="4">'[9]pu Estructuras'!#REF!</definedName>
    <definedName name="CDXXV" localSheetId="5">'[9]pu Estructuras'!#REF!</definedName>
    <definedName name="CDXXV" localSheetId="15">'[9]pu Estructuras'!#REF!</definedName>
    <definedName name="CDXXV" localSheetId="14">'[9]pu Estructuras'!#REF!</definedName>
    <definedName name="CDXXV" localSheetId="12">'[9]pu Estructuras'!#REF!</definedName>
    <definedName name="CDXXV" localSheetId="13">'[9]pu Estructuras'!#REF!</definedName>
    <definedName name="CDXXV" localSheetId="10">'[9]pu Estructuras'!#REF!</definedName>
    <definedName name="CDXXV">'[9]pu Estructuras'!#REF!</definedName>
    <definedName name="cemento1" localSheetId="1">#REF!</definedName>
    <definedName name="cemento1" localSheetId="2">#REF!</definedName>
    <definedName name="cemento1" localSheetId="4">#REF!</definedName>
    <definedName name="cemento1" localSheetId="5">#REF!</definedName>
    <definedName name="cemento1" localSheetId="15">#REF!</definedName>
    <definedName name="cemento1" localSheetId="14">#REF!</definedName>
    <definedName name="cemento1" localSheetId="12">#REF!</definedName>
    <definedName name="cemento1" localSheetId="13">#REF!</definedName>
    <definedName name="cemento1" localSheetId="10">#REF!</definedName>
    <definedName name="cemento1">#REF!</definedName>
    <definedName name="CENTROS" localSheetId="1">#REF!</definedName>
    <definedName name="CENTROS" localSheetId="2">#REF!</definedName>
    <definedName name="CENTROS" localSheetId="4">#REF!</definedName>
    <definedName name="CENTROS" localSheetId="5">#REF!</definedName>
    <definedName name="CENTROS" localSheetId="15">#REF!</definedName>
    <definedName name="CENTROS" localSheetId="14">#REF!</definedName>
    <definedName name="CENTROS" localSheetId="12">#REF!</definedName>
    <definedName name="CENTROS" localSheetId="13">#REF!</definedName>
    <definedName name="CENTROS" localSheetId="10">#REF!</definedName>
    <definedName name="CENTROS">#REF!</definedName>
    <definedName name="CERRADURAS" localSheetId="1">#REF!</definedName>
    <definedName name="CERRADURAS" localSheetId="2">#REF!</definedName>
    <definedName name="CERRADURAS" localSheetId="4">#REF!</definedName>
    <definedName name="CERRADURAS" localSheetId="5">#REF!</definedName>
    <definedName name="CERRADURAS" localSheetId="15">#REF!</definedName>
    <definedName name="CERRADURAS" localSheetId="14">#REF!</definedName>
    <definedName name="CERRADURAS" localSheetId="12">#REF!</definedName>
    <definedName name="CERRADURAS" localSheetId="13">#REF!</definedName>
    <definedName name="CERRADURAS" localSheetId="10">#REF!</definedName>
    <definedName name="CERRADURAS">#REF!</definedName>
    <definedName name="cfc100t1" localSheetId="1">#REF!</definedName>
    <definedName name="cfc100t1" localSheetId="2">#REF!</definedName>
    <definedName name="cfc100t1" localSheetId="4">#REF!</definedName>
    <definedName name="cfc100t1" localSheetId="5">#REF!</definedName>
    <definedName name="cfc100t1" localSheetId="15">#REF!</definedName>
    <definedName name="cfc100t1" localSheetId="14">#REF!</definedName>
    <definedName name="cfc100t1" localSheetId="12">#REF!</definedName>
    <definedName name="cfc100t1" localSheetId="13">#REF!</definedName>
    <definedName name="cfc100t1" localSheetId="10">#REF!</definedName>
    <definedName name="cfc100t1">#REF!</definedName>
    <definedName name="cfc2101l" localSheetId="1">#REF!</definedName>
    <definedName name="cfc2101l" localSheetId="2">#REF!</definedName>
    <definedName name="cfc2101l" localSheetId="4">#REF!</definedName>
    <definedName name="cfc2101l" localSheetId="5">#REF!</definedName>
    <definedName name="cfc2101l" localSheetId="15">#REF!</definedName>
    <definedName name="cfc2101l" localSheetId="14">#REF!</definedName>
    <definedName name="cfc2101l" localSheetId="12">#REF!</definedName>
    <definedName name="cfc2101l" localSheetId="13">#REF!</definedName>
    <definedName name="cfc2101l" localSheetId="10">#REF!</definedName>
    <definedName name="cfc2101l">#REF!</definedName>
    <definedName name="cfc2101p" localSheetId="1">#REF!</definedName>
    <definedName name="cfc2101p" localSheetId="2">#REF!</definedName>
    <definedName name="cfc2101p" localSheetId="4">#REF!</definedName>
    <definedName name="cfc2101p" localSheetId="5">#REF!</definedName>
    <definedName name="cfc2101p" localSheetId="15">#REF!</definedName>
    <definedName name="cfc2101p" localSheetId="14">#REF!</definedName>
    <definedName name="cfc2101p" localSheetId="12">#REF!</definedName>
    <definedName name="cfc2101p" localSheetId="13">#REF!</definedName>
    <definedName name="cfc2101p" localSheetId="10">#REF!</definedName>
    <definedName name="cfc2101p">#REF!</definedName>
    <definedName name="cfc210t1" localSheetId="1">#REF!</definedName>
    <definedName name="cfc210t1" localSheetId="2">#REF!</definedName>
    <definedName name="cfc210t1" localSheetId="4">#REF!</definedName>
    <definedName name="cfc210t1" localSheetId="5">#REF!</definedName>
    <definedName name="cfc210t1" localSheetId="15">#REF!</definedName>
    <definedName name="cfc210t1" localSheetId="14">#REF!</definedName>
    <definedName name="cfc210t1" localSheetId="12">#REF!</definedName>
    <definedName name="cfc210t1" localSheetId="13">#REF!</definedName>
    <definedName name="cfc210t1" localSheetId="10">#REF!</definedName>
    <definedName name="cfc210t1">#REF!</definedName>
    <definedName name="cfc210tv" localSheetId="1">#REF!</definedName>
    <definedName name="cfc210tv" localSheetId="2">#REF!</definedName>
    <definedName name="cfc210tv" localSheetId="4">#REF!</definedName>
    <definedName name="cfc210tv" localSheetId="5">#REF!</definedName>
    <definedName name="cfc210tv" localSheetId="15">#REF!</definedName>
    <definedName name="cfc210tv" localSheetId="14">#REF!</definedName>
    <definedName name="cfc210tv" localSheetId="12">#REF!</definedName>
    <definedName name="cfc210tv" localSheetId="13">#REF!</definedName>
    <definedName name="cfc210tv" localSheetId="10">#REF!</definedName>
    <definedName name="cfc210tv">#REF!</definedName>
    <definedName name="cfc245t1" localSheetId="1">#REF!</definedName>
    <definedName name="cfc245t1" localSheetId="2">#REF!</definedName>
    <definedName name="cfc245t1" localSheetId="4">#REF!</definedName>
    <definedName name="cfc245t1" localSheetId="5">#REF!</definedName>
    <definedName name="cfc245t1" localSheetId="15">#REF!</definedName>
    <definedName name="cfc245t1" localSheetId="14">#REF!</definedName>
    <definedName name="cfc245t1" localSheetId="12">#REF!</definedName>
    <definedName name="cfc245t1" localSheetId="13">#REF!</definedName>
    <definedName name="cfc245t1" localSheetId="10">#REF!</definedName>
    <definedName name="cfc245t1">#REF!</definedName>
    <definedName name="cfc245t1f" localSheetId="1">#REF!</definedName>
    <definedName name="cfc245t1f" localSheetId="2">#REF!</definedName>
    <definedName name="cfc245t1f" localSheetId="4">#REF!</definedName>
    <definedName name="cfc245t1f" localSheetId="5">#REF!</definedName>
    <definedName name="cfc245t1f" localSheetId="15">#REF!</definedName>
    <definedName name="cfc245t1f" localSheetId="14">#REF!</definedName>
    <definedName name="cfc245t1f" localSheetId="12">#REF!</definedName>
    <definedName name="cfc245t1f" localSheetId="13">#REF!</definedName>
    <definedName name="cfc245t1f" localSheetId="10">#REF!</definedName>
    <definedName name="cfc245t1f">#REF!</definedName>
    <definedName name="cfc245tv" localSheetId="1">#REF!</definedName>
    <definedName name="cfc245tv" localSheetId="2">#REF!</definedName>
    <definedName name="cfc245tv" localSheetId="4">#REF!</definedName>
    <definedName name="cfc245tv" localSheetId="5">#REF!</definedName>
    <definedName name="cfc245tv" localSheetId="15">#REF!</definedName>
    <definedName name="cfc245tv" localSheetId="14">#REF!</definedName>
    <definedName name="cfc245tv" localSheetId="12">#REF!</definedName>
    <definedName name="cfc245tv" localSheetId="13">#REF!</definedName>
    <definedName name="cfc245tv" localSheetId="10">#REF!</definedName>
    <definedName name="cfc245tv">#REF!</definedName>
    <definedName name="CI_almybarr_1_pm" localSheetId="1">#REF!</definedName>
    <definedName name="CI_almybarr_1_pm" localSheetId="2">#REF!</definedName>
    <definedName name="CI_almybarr_1_pm" localSheetId="4">#REF!</definedName>
    <definedName name="CI_almybarr_1_pm" localSheetId="3">#REF!</definedName>
    <definedName name="CI_almybarr_1_pm" localSheetId="8">#REF!</definedName>
    <definedName name="CI_almybarr_1_pm" localSheetId="5">#REF!</definedName>
    <definedName name="CI_almybarr_1_pm" localSheetId="15">#REF!</definedName>
    <definedName name="CI_almybarr_1_pm" localSheetId="14">#REF!</definedName>
    <definedName name="CI_almybarr_1_pm" localSheetId="12">#REF!</definedName>
    <definedName name="CI_almybarr_1_pm" localSheetId="13">#REF!</definedName>
    <definedName name="CI_almybarr_1_pm" localSheetId="10">'[12]19-CIA'!#REF!</definedName>
    <definedName name="CI_almybarr_1_pm" localSheetId="7">#REF!</definedName>
    <definedName name="CI_almybarr_1_pm">#REF!</definedName>
    <definedName name="CI_almybarr_1_ps" localSheetId="1">#REF!</definedName>
    <definedName name="CI_almybarr_1_ps" localSheetId="2">#REF!</definedName>
    <definedName name="CI_almybarr_1_ps" localSheetId="4">#REF!</definedName>
    <definedName name="CI_almybarr_1_ps" localSheetId="3">#REF!</definedName>
    <definedName name="CI_almybarr_1_ps" localSheetId="8">#REF!</definedName>
    <definedName name="CI_almybarr_1_ps" localSheetId="5">#REF!</definedName>
    <definedName name="CI_almybarr_1_ps" localSheetId="15">#REF!</definedName>
    <definedName name="CI_almybarr_1_ps" localSheetId="14">#REF!</definedName>
    <definedName name="CI_almybarr_1_ps" localSheetId="12">#REF!</definedName>
    <definedName name="CI_almybarr_1_ps" localSheetId="13">#REF!</definedName>
    <definedName name="CI_almybarr_1_ps" localSheetId="10">'[12]19-CIA'!#REF!</definedName>
    <definedName name="CI_almybarr_1_ps" localSheetId="7">#REF!</definedName>
    <definedName name="CI_almybarr_1_ps">#REF!</definedName>
    <definedName name="CI_almybarr_2_pm" localSheetId="1">#REF!</definedName>
    <definedName name="CI_almybarr_2_pm" localSheetId="2">#REF!</definedName>
    <definedName name="CI_almybarr_2_pm" localSheetId="4">#REF!</definedName>
    <definedName name="CI_almybarr_2_pm" localSheetId="3">#REF!</definedName>
    <definedName name="CI_almybarr_2_pm" localSheetId="8">#REF!</definedName>
    <definedName name="CI_almybarr_2_pm" localSheetId="5">#REF!</definedName>
    <definedName name="CI_almybarr_2_pm" localSheetId="15">#REF!</definedName>
    <definedName name="CI_almybarr_2_pm" localSheetId="14">#REF!</definedName>
    <definedName name="CI_almybarr_2_pm" localSheetId="12">#REF!</definedName>
    <definedName name="CI_almybarr_2_pm" localSheetId="13">#REF!</definedName>
    <definedName name="CI_almybarr_2_pm" localSheetId="10">#REF!</definedName>
    <definedName name="CI_almybarr_2_pm" localSheetId="7">#REF!</definedName>
    <definedName name="CI_almybarr_2_pm">#REF!</definedName>
    <definedName name="CI_almybarr_2_ps" localSheetId="1">#REF!</definedName>
    <definedName name="CI_almybarr_2_ps" localSheetId="2">#REF!</definedName>
    <definedName name="CI_almybarr_2_ps" localSheetId="4">#REF!</definedName>
    <definedName name="CI_almybarr_2_ps" localSheetId="3">#REF!</definedName>
    <definedName name="CI_almybarr_2_ps" localSheetId="8">#REF!</definedName>
    <definedName name="CI_almybarr_2_ps" localSheetId="5">#REF!</definedName>
    <definedName name="CI_almybarr_2_ps" localSheetId="15">#REF!</definedName>
    <definedName name="CI_almybarr_2_ps" localSheetId="14">#REF!</definedName>
    <definedName name="CI_almybarr_2_ps" localSheetId="12">#REF!</definedName>
    <definedName name="CI_almybarr_2_ps" localSheetId="13">#REF!</definedName>
    <definedName name="CI_almybarr_2_ps" localSheetId="10">#REF!</definedName>
    <definedName name="CI_almybarr_2_ps" localSheetId="7">#REF!</definedName>
    <definedName name="CI_almybarr_2_ps">#REF!</definedName>
    <definedName name="CI_DF_1_pm" localSheetId="1">#REF!</definedName>
    <definedName name="CI_DF_1_pm" localSheetId="2">#REF!</definedName>
    <definedName name="CI_DF_1_pm" localSheetId="4">#REF!</definedName>
    <definedName name="CI_DF_1_pm" localSheetId="3">#REF!</definedName>
    <definedName name="CI_DF_1_pm" localSheetId="8">#REF!</definedName>
    <definedName name="CI_DF_1_pm" localSheetId="5">#REF!</definedName>
    <definedName name="CI_DF_1_pm" localSheetId="15">#REF!</definedName>
    <definedName name="CI_DF_1_pm" localSheetId="14">#REF!</definedName>
    <definedName name="CI_DF_1_pm" localSheetId="12">#REF!</definedName>
    <definedName name="CI_DF_1_pm" localSheetId="13">#REF!</definedName>
    <definedName name="CI_DF_1_pm" localSheetId="10">#REF!</definedName>
    <definedName name="CI_DF_1_pm" localSheetId="7">#REF!</definedName>
    <definedName name="CI_DF_1_pm">#REF!</definedName>
    <definedName name="CI_DF_1_ps" localSheetId="1">#REF!</definedName>
    <definedName name="CI_DF_1_ps" localSheetId="2">#REF!</definedName>
    <definedName name="CI_DF_1_ps" localSheetId="4">#REF!</definedName>
    <definedName name="CI_DF_1_ps" localSheetId="3">#REF!</definedName>
    <definedName name="CI_DF_1_ps" localSheetId="8">#REF!</definedName>
    <definedName name="CI_DF_1_ps" localSheetId="5">#REF!</definedName>
    <definedName name="CI_DF_1_ps" localSheetId="15">#REF!</definedName>
    <definedName name="CI_DF_1_ps" localSheetId="14">#REF!</definedName>
    <definedName name="CI_DF_1_ps" localSheetId="12">#REF!</definedName>
    <definedName name="CI_DF_1_ps" localSheetId="13">#REF!</definedName>
    <definedName name="CI_DF_1_ps" localSheetId="10">#REF!</definedName>
    <definedName name="CI_DF_1_ps" localSheetId="7">#REF!</definedName>
    <definedName name="CI_DF_1_ps">#REF!</definedName>
    <definedName name="CI_DF_2_pm" localSheetId="1">#REF!</definedName>
    <definedName name="CI_DF_2_pm" localSheetId="2">#REF!</definedName>
    <definedName name="CI_DF_2_pm" localSheetId="4">#REF!</definedName>
    <definedName name="CI_DF_2_pm" localSheetId="3">#REF!</definedName>
    <definedName name="CI_DF_2_pm" localSheetId="8">#REF!</definedName>
    <definedName name="CI_DF_2_pm" localSheetId="5">#REF!</definedName>
    <definedName name="CI_DF_2_pm" localSheetId="15">#REF!</definedName>
    <definedName name="CI_DF_2_pm" localSheetId="14">#REF!</definedName>
    <definedName name="CI_DF_2_pm" localSheetId="12">#REF!</definedName>
    <definedName name="CI_DF_2_pm" localSheetId="13">#REF!</definedName>
    <definedName name="CI_DF_2_pm" localSheetId="10">'[12]31-CIEDF_Alt 1'!#REF!</definedName>
    <definedName name="CI_DF_2_pm" localSheetId="7">#REF!</definedName>
    <definedName name="CI_DF_2_pm">#REF!</definedName>
    <definedName name="CI_DF_2_ps" localSheetId="1">#REF!</definedName>
    <definedName name="CI_DF_2_ps" localSheetId="2">#REF!</definedName>
    <definedName name="CI_DF_2_ps" localSheetId="4">#REF!</definedName>
    <definedName name="CI_DF_2_ps" localSheetId="3">#REF!</definedName>
    <definedName name="CI_DF_2_ps" localSheetId="8">#REF!</definedName>
    <definedName name="CI_DF_2_ps" localSheetId="5">#REF!</definedName>
    <definedName name="CI_DF_2_ps" localSheetId="15">#REF!</definedName>
    <definedName name="CI_DF_2_ps" localSheetId="14">#REF!</definedName>
    <definedName name="CI_DF_2_ps" localSheetId="12">#REF!</definedName>
    <definedName name="CI_DF_2_ps" localSheetId="13">#REF!</definedName>
    <definedName name="CI_DF_2_ps" localSheetId="10">#REF!</definedName>
    <definedName name="CI_DF_2_ps" localSheetId="7">#REF!</definedName>
    <definedName name="CI_DF_2_ps">#REF!</definedName>
    <definedName name="CI_Reaprov_1_pm" localSheetId="1">#REF!</definedName>
    <definedName name="CI_Reaprov_1_pm" localSheetId="2">#REF!</definedName>
    <definedName name="CI_Reaprov_1_pm" localSheetId="4">#REF!</definedName>
    <definedName name="CI_Reaprov_1_pm" localSheetId="3">#REF!</definedName>
    <definedName name="CI_Reaprov_1_pm" localSheetId="8">#REF!</definedName>
    <definedName name="CI_Reaprov_1_pm" localSheetId="5">#REF!</definedName>
    <definedName name="CI_Reaprov_1_pm" localSheetId="15">#REF!</definedName>
    <definedName name="CI_Reaprov_1_pm" localSheetId="14">#REF!</definedName>
    <definedName name="CI_Reaprov_1_pm" localSheetId="12">#REF!</definedName>
    <definedName name="CI_Reaprov_1_pm" localSheetId="13">#REF!</definedName>
    <definedName name="CI_Reaprov_1_pm" localSheetId="10">#REF!</definedName>
    <definedName name="CI_Reaprov_1_pm" localSheetId="7">#REF!</definedName>
    <definedName name="CI_Reaprov_1_pm">#REF!</definedName>
    <definedName name="CI_Reaprov_1_ps" localSheetId="7">#REF!</definedName>
    <definedName name="CI_Reaprov_1_ps">'[13](27)- CIRAE'!$J$37</definedName>
    <definedName name="CI_Reaprov_2_pm" localSheetId="1">#REF!</definedName>
    <definedName name="CI_Reaprov_2_pm" localSheetId="2">#REF!</definedName>
    <definedName name="CI_Reaprov_2_pm" localSheetId="4">#REF!</definedName>
    <definedName name="CI_Reaprov_2_pm" localSheetId="3">#REF!</definedName>
    <definedName name="CI_Reaprov_2_pm" localSheetId="8">#REF!</definedName>
    <definedName name="CI_Reaprov_2_pm" localSheetId="5">#REF!</definedName>
    <definedName name="CI_Reaprov_2_pm" localSheetId="15">#REF!</definedName>
    <definedName name="CI_Reaprov_2_pm" localSheetId="14">#REF!</definedName>
    <definedName name="CI_Reaprov_2_pm" localSheetId="12">#REF!</definedName>
    <definedName name="CI_Reaprov_2_pm" localSheetId="13">#REF!</definedName>
    <definedName name="CI_Reaprov_2_pm" localSheetId="10">#REF!</definedName>
    <definedName name="CI_Reaprov_2_pm" localSheetId="7">#REF!</definedName>
    <definedName name="CI_Reaprov_2_pm">#REF!</definedName>
    <definedName name="CI_Reaprov_2_ps" localSheetId="1">#REF!</definedName>
    <definedName name="CI_Reaprov_2_ps" localSheetId="2">#REF!</definedName>
    <definedName name="CI_Reaprov_2_ps" localSheetId="4">#REF!</definedName>
    <definedName name="CI_Reaprov_2_ps" localSheetId="3">#REF!</definedName>
    <definedName name="CI_Reaprov_2_ps" localSheetId="8">#REF!</definedName>
    <definedName name="CI_Reaprov_2_ps" localSheetId="5">#REF!</definedName>
    <definedName name="CI_Reaprov_2_ps" localSheetId="15">#REF!</definedName>
    <definedName name="CI_Reaprov_2_ps" localSheetId="14">#REF!</definedName>
    <definedName name="CI_Reaprov_2_ps" localSheetId="12">#REF!</definedName>
    <definedName name="CI_Reaprov_2_ps" localSheetId="13">#REF!</definedName>
    <definedName name="CI_Reaprov_2_ps" localSheetId="10">#REF!</definedName>
    <definedName name="CI_Reaprov_2_ps" localSheetId="7">#REF!</definedName>
    <definedName name="CI_Reaprov_2_ps">#REF!</definedName>
    <definedName name="CI_recolec_1_pm" localSheetId="1">#REF!</definedName>
    <definedName name="CI_recolec_1_pm" localSheetId="2">#REF!</definedName>
    <definedName name="CI_recolec_1_pm" localSheetId="4">#REF!</definedName>
    <definedName name="CI_recolec_1_pm" localSheetId="3">#REF!</definedName>
    <definedName name="CI_recolec_1_pm" localSheetId="8">#REF!</definedName>
    <definedName name="CI_recolec_1_pm" localSheetId="5">#REF!</definedName>
    <definedName name="CI_recolec_1_pm" localSheetId="15">#REF!</definedName>
    <definedName name="CI_recolec_1_pm" localSheetId="14">#REF!</definedName>
    <definedName name="CI_recolec_1_pm" localSheetId="12">#REF!</definedName>
    <definedName name="CI_recolec_1_pm" localSheetId="13">#REF!</definedName>
    <definedName name="CI_recolec_1_pm" localSheetId="10">#REF!</definedName>
    <definedName name="CI_recolec_1_pm" localSheetId="7">#REF!</definedName>
    <definedName name="CI_recolec_1_pm">#REF!</definedName>
    <definedName name="CI_recolec_1_ps" localSheetId="1">#REF!</definedName>
    <definedName name="CI_recolec_1_ps" localSheetId="2">#REF!</definedName>
    <definedName name="CI_recolec_1_ps" localSheetId="4">#REF!</definedName>
    <definedName name="CI_recolec_1_ps" localSheetId="3">#REF!</definedName>
    <definedName name="CI_recolec_1_ps" localSheetId="8">#REF!</definedName>
    <definedName name="CI_recolec_1_ps" localSheetId="5">#REF!</definedName>
    <definedName name="CI_recolec_1_ps" localSheetId="15">#REF!</definedName>
    <definedName name="CI_recolec_1_ps" localSheetId="14">#REF!</definedName>
    <definedName name="CI_recolec_1_ps" localSheetId="12">#REF!</definedName>
    <definedName name="CI_recolec_1_ps" localSheetId="13">#REF!</definedName>
    <definedName name="CI_recolec_1_ps" localSheetId="10">#REF!</definedName>
    <definedName name="CI_recolec_1_ps" localSheetId="7">#REF!</definedName>
    <definedName name="CI_recolec_1_ps">#REF!</definedName>
    <definedName name="CI_recolec_2_pm" localSheetId="1">#REF!</definedName>
    <definedName name="CI_recolec_2_pm" localSheetId="2">#REF!</definedName>
    <definedName name="CI_recolec_2_pm" localSheetId="4">#REF!</definedName>
    <definedName name="CI_recolec_2_pm" localSheetId="3">#REF!</definedName>
    <definedName name="CI_recolec_2_pm" localSheetId="8">#REF!</definedName>
    <definedName name="CI_recolec_2_pm" localSheetId="5">#REF!</definedName>
    <definedName name="CI_recolec_2_pm" localSheetId="15">#REF!</definedName>
    <definedName name="CI_recolec_2_pm" localSheetId="14">#REF!</definedName>
    <definedName name="CI_recolec_2_pm" localSheetId="12">#REF!</definedName>
    <definedName name="CI_recolec_2_pm" localSheetId="13">#REF!</definedName>
    <definedName name="CI_recolec_2_pm" localSheetId="10">#REF!</definedName>
    <definedName name="CI_recolec_2_pm" localSheetId="7">#REF!</definedName>
    <definedName name="CI_recolec_2_pm">#REF!</definedName>
    <definedName name="CI_recolec_2_ps" localSheetId="1">#REF!</definedName>
    <definedName name="CI_recolec_2_ps" localSheetId="2">#REF!</definedName>
    <definedName name="CI_recolec_2_ps" localSheetId="4">#REF!</definedName>
    <definedName name="CI_recolec_2_ps" localSheetId="3">#REF!</definedName>
    <definedName name="CI_recolec_2_ps" localSheetId="8">#REF!</definedName>
    <definedName name="CI_recolec_2_ps" localSheetId="5">#REF!</definedName>
    <definedName name="CI_recolec_2_ps" localSheetId="15">#REF!</definedName>
    <definedName name="CI_recolec_2_ps" localSheetId="14">#REF!</definedName>
    <definedName name="CI_recolec_2_ps" localSheetId="12">#REF!</definedName>
    <definedName name="CI_recolec_2_ps" localSheetId="13">#REF!</definedName>
    <definedName name="CI_recolec_2_ps" localSheetId="10">#REF!</definedName>
    <definedName name="CI_recolec_2_ps" localSheetId="7">#REF!</definedName>
    <definedName name="CI_recolec_2_ps">#REF!</definedName>
    <definedName name="CIZALLA" localSheetId="1">#REF!</definedName>
    <definedName name="CIZALLA" localSheetId="2">#REF!</definedName>
    <definedName name="CIZALLA" localSheetId="4">#REF!</definedName>
    <definedName name="CIZALLA" localSheetId="5">#REF!</definedName>
    <definedName name="CIZALLA" localSheetId="15">#REF!</definedName>
    <definedName name="CIZALLA" localSheetId="14">#REF!</definedName>
    <definedName name="CIZALLA" localSheetId="12">#REF!</definedName>
    <definedName name="CIZALLA" localSheetId="13">#REF!</definedName>
    <definedName name="CIZALLA" localSheetId="10">#REF!</definedName>
    <definedName name="CIZALLA">#REF!</definedName>
    <definedName name="CL">'[14]Encofrado BVR Unispan'!$C$9</definedName>
    <definedName name="clavos" localSheetId="1">#REF!</definedName>
    <definedName name="clavos" localSheetId="2">#REF!</definedName>
    <definedName name="clavos" localSheetId="4">#REF!</definedName>
    <definedName name="clavos" localSheetId="5">#REF!</definedName>
    <definedName name="clavos" localSheetId="15">#REF!</definedName>
    <definedName name="clavos" localSheetId="14">#REF!</definedName>
    <definedName name="clavos" localSheetId="12">#REF!</definedName>
    <definedName name="clavos" localSheetId="13">#REF!</definedName>
    <definedName name="clavos" localSheetId="10">#REF!</definedName>
    <definedName name="clavos">#REF!</definedName>
    <definedName name="CLOSETS" localSheetId="1">#REF!</definedName>
    <definedName name="CLOSETS" localSheetId="2">#REF!</definedName>
    <definedName name="CLOSETS" localSheetId="4">#REF!</definedName>
    <definedName name="CLOSETS" localSheetId="5">#REF!</definedName>
    <definedName name="CLOSETS" localSheetId="15">#REF!</definedName>
    <definedName name="CLOSETS" localSheetId="14">#REF!</definedName>
    <definedName name="CLOSETS" localSheetId="12">#REF!</definedName>
    <definedName name="CLOSETS" localSheetId="13">#REF!</definedName>
    <definedName name="CLOSETS" localSheetId="10">#REF!</definedName>
    <definedName name="CLOSETS">#REF!</definedName>
    <definedName name="CNI" localSheetId="1">#REF!</definedName>
    <definedName name="CNI" localSheetId="2">#REF!</definedName>
    <definedName name="CNI" localSheetId="4">#REF!</definedName>
    <definedName name="CNI" localSheetId="5">#REF!</definedName>
    <definedName name="CNI" localSheetId="15">#REF!</definedName>
    <definedName name="CNI" localSheetId="14">#REF!</definedName>
    <definedName name="CNI" localSheetId="12">#REF!</definedName>
    <definedName name="CNI" localSheetId="13">#REF!</definedName>
    <definedName name="CNI" localSheetId="10">#REF!</definedName>
    <definedName name="CNI">#REF!</definedName>
    <definedName name="COCINAS" localSheetId="1">#REF!</definedName>
    <definedName name="COCINAS" localSheetId="2">#REF!</definedName>
    <definedName name="COCINAS" localSheetId="4">#REF!</definedName>
    <definedName name="COCINAS" localSheetId="5">#REF!</definedName>
    <definedName name="COCINAS" localSheetId="15">#REF!</definedName>
    <definedName name="COCINAS" localSheetId="14">#REF!</definedName>
    <definedName name="COCINAS" localSheetId="12">#REF!</definedName>
    <definedName name="COCINAS" localSheetId="13">#REF!</definedName>
    <definedName name="COCINAS" localSheetId="10">#REF!</definedName>
    <definedName name="COCINAS">#REF!</definedName>
    <definedName name="Columnas_sótano" localSheetId="1">#REF!</definedName>
    <definedName name="Columnas_sótano" localSheetId="2">#REF!</definedName>
    <definedName name="Columnas_sótano" localSheetId="4">#REF!</definedName>
    <definedName name="Columnas_sótano" localSheetId="5">#REF!</definedName>
    <definedName name="Columnas_sótano" localSheetId="15">#REF!</definedName>
    <definedName name="Columnas_sótano" localSheetId="14">#REF!</definedName>
    <definedName name="Columnas_sótano" localSheetId="12">#REF!</definedName>
    <definedName name="Columnas_sótano" localSheetId="13">#REF!</definedName>
    <definedName name="Columnas_sótano" localSheetId="10">#REF!</definedName>
    <definedName name="Columnas_sótano">#REF!</definedName>
    <definedName name="Columnas_tienda" localSheetId="1">#REF!</definedName>
    <definedName name="Columnas_tienda" localSheetId="2">#REF!</definedName>
    <definedName name="Columnas_tienda" localSheetId="4">#REF!</definedName>
    <definedName name="Columnas_tienda" localSheetId="5">#REF!</definedName>
    <definedName name="Columnas_tienda" localSheetId="15">#REF!</definedName>
    <definedName name="Columnas_tienda" localSheetId="14">#REF!</definedName>
    <definedName name="Columnas_tienda" localSheetId="12">#REF!</definedName>
    <definedName name="Columnas_tienda" localSheetId="13">#REF!</definedName>
    <definedName name="Columnas_tienda" localSheetId="10">#REF!</definedName>
    <definedName name="Columnas_tienda">#REF!</definedName>
    <definedName name="COMAS" localSheetId="1">#REF!</definedName>
    <definedName name="COMAS" localSheetId="2">#REF!</definedName>
    <definedName name="COMAS" localSheetId="4">#REF!</definedName>
    <definedName name="COMAS" localSheetId="5">#REF!</definedName>
    <definedName name="COMAS" localSheetId="15">#REF!</definedName>
    <definedName name="COMAS" localSheetId="14">#REF!</definedName>
    <definedName name="COMAS" localSheetId="12">#REF!</definedName>
    <definedName name="COMAS" localSheetId="13">#REF!</definedName>
    <definedName name="COMAS" localSheetId="10">#REF!</definedName>
    <definedName name="COMAS">#REF!</definedName>
    <definedName name="combust_camion" localSheetId="1">#REF!</definedName>
    <definedName name="combust_camion" localSheetId="2">#REF!</definedName>
    <definedName name="combust_camion" localSheetId="4">#REF!</definedName>
    <definedName name="combust_camion" localSheetId="3">#REF!</definedName>
    <definedName name="combust_camion" localSheetId="8">#REF!</definedName>
    <definedName name="combust_camion" localSheetId="5">#REF!</definedName>
    <definedName name="combust_camion" localSheetId="15">#REF!</definedName>
    <definedName name="combust_camion" localSheetId="14">#REF!</definedName>
    <definedName name="combust_camion" localSheetId="12">#REF!</definedName>
    <definedName name="combust_camion" localSheetId="13">#REF!</definedName>
    <definedName name="combust_camion" localSheetId="10">#REF!</definedName>
    <definedName name="combust_camion" localSheetId="7">#REF!</definedName>
    <definedName name="combust_camion">#REF!</definedName>
    <definedName name="combust_trimov" localSheetId="1">#REF!</definedName>
    <definedName name="combust_trimov" localSheetId="2">#REF!</definedName>
    <definedName name="combust_trimov" localSheetId="4">#REF!</definedName>
    <definedName name="combust_trimov" localSheetId="3">#REF!</definedName>
    <definedName name="combust_trimov" localSheetId="8">#REF!</definedName>
    <definedName name="combust_trimov" localSheetId="5">#REF!</definedName>
    <definedName name="combust_trimov" localSheetId="15">#REF!</definedName>
    <definedName name="combust_trimov" localSheetId="14">#REF!</definedName>
    <definedName name="combust_trimov" localSheetId="12">#REF!</definedName>
    <definedName name="combust_trimov" localSheetId="13">#REF!</definedName>
    <definedName name="combust_trimov" localSheetId="10">#REF!</definedName>
    <definedName name="combust_trimov" localSheetId="7">#REF!</definedName>
    <definedName name="combust_trimov">#REF!</definedName>
    <definedName name="COMP">'[15]PRECIOS MATERIALES'!$C$22</definedName>
    <definedName name="COMPE" localSheetId="1">#REF!</definedName>
    <definedName name="COMPE" localSheetId="2">#REF!</definedName>
    <definedName name="COMPE" localSheetId="4">#REF!</definedName>
    <definedName name="COMPE" localSheetId="5">#REF!</definedName>
    <definedName name="COMPE" localSheetId="15">#REF!</definedName>
    <definedName name="COMPE" localSheetId="14">#REF!</definedName>
    <definedName name="COMPE" localSheetId="12">#REF!</definedName>
    <definedName name="COMPE" localSheetId="13">#REF!</definedName>
    <definedName name="COMPE" localSheetId="10">#REF!</definedName>
    <definedName name="COMPE">#REF!</definedName>
    <definedName name="COMPI" localSheetId="1">#REF!</definedName>
    <definedName name="COMPI" localSheetId="2">#REF!</definedName>
    <definedName name="COMPI" localSheetId="4">#REF!</definedName>
    <definedName name="COMPI" localSheetId="5">#REF!</definedName>
    <definedName name="COMPI" localSheetId="15">#REF!</definedName>
    <definedName name="COMPI" localSheetId="14">#REF!</definedName>
    <definedName name="COMPI" localSheetId="12">#REF!</definedName>
    <definedName name="COMPI" localSheetId="13">#REF!</definedName>
    <definedName name="COMPI" localSheetId="10">#REF!</definedName>
    <definedName name="COMPI">#REF!</definedName>
    <definedName name="Compresora" localSheetId="1">#REF!</definedName>
    <definedName name="Compresora" localSheetId="2">#REF!</definedName>
    <definedName name="Compresora" localSheetId="4">#REF!</definedName>
    <definedName name="Compresora" localSheetId="5">#REF!</definedName>
    <definedName name="Compresora" localSheetId="15">#REF!</definedName>
    <definedName name="Compresora" localSheetId="14">#REF!</definedName>
    <definedName name="Compresora" localSheetId="12">#REF!</definedName>
    <definedName name="Compresora" localSheetId="13">#REF!</definedName>
    <definedName name="Compresora" localSheetId="10">#REF!</definedName>
    <definedName name="Compresora">#REF!</definedName>
    <definedName name="confilm" localSheetId="1">#REF!</definedName>
    <definedName name="confilm" localSheetId="2">#REF!</definedName>
    <definedName name="confilm" localSheetId="4">#REF!</definedName>
    <definedName name="confilm" localSheetId="5">#REF!</definedName>
    <definedName name="confilm" localSheetId="15">#REF!</definedName>
    <definedName name="confilm" localSheetId="14">#REF!</definedName>
    <definedName name="confilm" localSheetId="12">#REF!</definedName>
    <definedName name="confilm" localSheetId="13">#REF!</definedName>
    <definedName name="confilm" localSheetId="10">#REF!</definedName>
    <definedName name="confilm">#REF!</definedName>
    <definedName name="Consul_alamac1_pm" localSheetId="1">#REF!</definedName>
    <definedName name="Consul_alamac1_pm" localSheetId="2">#REF!</definedName>
    <definedName name="Consul_alamac1_pm" localSheetId="4">#REF!</definedName>
    <definedName name="Consul_alamac1_pm" localSheetId="3">#REF!</definedName>
    <definedName name="Consul_alamac1_pm" localSheetId="8">#REF!</definedName>
    <definedName name="Consul_alamac1_pm" localSheetId="5">#REF!</definedName>
    <definedName name="Consul_alamac1_pm" localSheetId="15">#REF!</definedName>
    <definedName name="Consul_alamac1_pm" localSheetId="14">#REF!</definedName>
    <definedName name="Consul_alamac1_pm" localSheetId="12">#REF!</definedName>
    <definedName name="Consul_alamac1_pm" localSheetId="13">#REF!</definedName>
    <definedName name="Consul_alamac1_pm" localSheetId="10">#REF!</definedName>
    <definedName name="Consul_alamac1_pm" localSheetId="7">#REF!</definedName>
    <definedName name="Consul_alamac1_pm">#REF!</definedName>
    <definedName name="Consul_alamac1_ps" localSheetId="1">#REF!</definedName>
    <definedName name="Consul_alamac1_ps" localSheetId="2">#REF!</definedName>
    <definedName name="Consul_alamac1_ps" localSheetId="4">#REF!</definedName>
    <definedName name="Consul_alamac1_ps" localSheetId="3">#REF!</definedName>
    <definedName name="Consul_alamac1_ps" localSheetId="8">#REF!</definedName>
    <definedName name="Consul_alamac1_ps" localSheetId="5">#REF!</definedName>
    <definedName name="Consul_alamac1_ps" localSheetId="15">#REF!</definedName>
    <definedName name="Consul_alamac1_ps" localSheetId="14">#REF!</definedName>
    <definedName name="Consul_alamac1_ps" localSheetId="12">#REF!</definedName>
    <definedName name="Consul_alamac1_ps" localSheetId="13">#REF!</definedName>
    <definedName name="Consul_alamac1_ps" localSheetId="10">#REF!</definedName>
    <definedName name="Consul_alamac1_ps" localSheetId="7">#REF!</definedName>
    <definedName name="Consul_alamac1_ps">#REF!</definedName>
    <definedName name="Consul_alamac2_pm" localSheetId="1">#REF!</definedName>
    <definedName name="Consul_alamac2_pm" localSheetId="2">#REF!</definedName>
    <definedName name="Consul_alamac2_pm" localSheetId="4">#REF!</definedName>
    <definedName name="Consul_alamac2_pm" localSheetId="3">#REF!</definedName>
    <definedName name="Consul_alamac2_pm" localSheetId="8">#REF!</definedName>
    <definedName name="Consul_alamac2_pm" localSheetId="5">#REF!</definedName>
    <definedName name="Consul_alamac2_pm" localSheetId="15">#REF!</definedName>
    <definedName name="Consul_alamac2_pm" localSheetId="14">#REF!</definedName>
    <definedName name="Consul_alamac2_pm" localSheetId="12">#REF!</definedName>
    <definedName name="Consul_alamac2_pm" localSheetId="13">#REF!</definedName>
    <definedName name="Consul_alamac2_pm" localSheetId="10">#REF!</definedName>
    <definedName name="Consul_alamac2_pm" localSheetId="7">#REF!</definedName>
    <definedName name="Consul_alamac2_pm">#REF!</definedName>
    <definedName name="Consul_alamac2_ps" localSheetId="1">#REF!</definedName>
    <definedName name="Consul_alamac2_ps" localSheetId="2">#REF!</definedName>
    <definedName name="Consul_alamac2_ps" localSheetId="4">#REF!</definedName>
    <definedName name="Consul_alamac2_ps" localSheetId="3">#REF!</definedName>
    <definedName name="Consul_alamac2_ps" localSheetId="8">#REF!</definedName>
    <definedName name="Consul_alamac2_ps" localSheetId="5">#REF!</definedName>
    <definedName name="Consul_alamac2_ps" localSheetId="15">#REF!</definedName>
    <definedName name="Consul_alamac2_ps" localSheetId="14">#REF!</definedName>
    <definedName name="Consul_alamac2_ps" localSheetId="12">#REF!</definedName>
    <definedName name="Consul_alamac2_ps" localSheetId="13">#REF!</definedName>
    <definedName name="Consul_alamac2_ps" localSheetId="10">#REF!</definedName>
    <definedName name="Consul_alamac2_ps" localSheetId="7">#REF!</definedName>
    <definedName name="Consul_alamac2_ps">#REF!</definedName>
    <definedName name="Consul_barrido1_pm" localSheetId="7">'[16]ANEXO 20 - C.I. BARRIDO'!$G$42</definedName>
    <definedName name="Consul_barrido1_pm">'[17]ANEXO 20 - C.I. BARRIDO'!$G$43</definedName>
    <definedName name="Consul_barrido1_ps" localSheetId="7">#REF!</definedName>
    <definedName name="Consul_barrido1_ps">'[17]ANEXO 20 - C.I. BARRIDO'!$J$43</definedName>
    <definedName name="Consul_barrido2_pm" localSheetId="7">#REF!</definedName>
    <definedName name="Consul_barrido2_pm">'[17]ANEXO 20 - C.I. BARRIDO'!$Q$43</definedName>
    <definedName name="Consul_barrido2_ps" localSheetId="7">#REF!</definedName>
    <definedName name="Consul_barrido2_ps">'[17]ANEXO 20 - C.I. BARRIDO'!$T$43</definedName>
    <definedName name="Consul_DF1_pm" localSheetId="1">#REF!</definedName>
    <definedName name="Consul_DF1_pm" localSheetId="2">#REF!</definedName>
    <definedName name="Consul_DF1_pm" localSheetId="4">#REF!</definedName>
    <definedName name="Consul_DF1_pm" localSheetId="3">#REF!</definedName>
    <definedName name="Consul_DF1_pm" localSheetId="8">#REF!</definedName>
    <definedName name="Consul_DF1_pm" localSheetId="5">#REF!</definedName>
    <definedName name="Consul_DF1_pm" localSheetId="15">#REF!</definedName>
    <definedName name="Consul_DF1_pm" localSheetId="14">#REF!</definedName>
    <definedName name="Consul_DF1_pm" localSheetId="12">#REF!</definedName>
    <definedName name="Consul_DF1_pm" localSheetId="13">#REF!</definedName>
    <definedName name="Consul_DF1_pm" localSheetId="10">'[12]31-CIEDF_Alt 1'!#REF!</definedName>
    <definedName name="Consul_DF1_pm" localSheetId="7">#REF!</definedName>
    <definedName name="Consul_DF1_pm">#REF!</definedName>
    <definedName name="Consul_DF1_ps" localSheetId="1">#REF!</definedName>
    <definedName name="Consul_DF1_ps" localSheetId="2">#REF!</definedName>
    <definedName name="Consul_DF1_ps" localSheetId="4">#REF!</definedName>
    <definedName name="Consul_DF1_ps" localSheetId="3">#REF!</definedName>
    <definedName name="Consul_DF1_ps" localSheetId="8">#REF!</definedName>
    <definedName name="Consul_DF1_ps" localSheetId="5">#REF!</definedName>
    <definedName name="Consul_DF1_ps" localSheetId="15">#REF!</definedName>
    <definedName name="Consul_DF1_ps" localSheetId="14">#REF!</definedName>
    <definedName name="Consul_DF1_ps" localSheetId="12">#REF!</definedName>
    <definedName name="Consul_DF1_ps" localSheetId="13">#REF!</definedName>
    <definedName name="Consul_DF1_ps" localSheetId="10">'[12]31-CIEDF_Alt 1'!#REF!</definedName>
    <definedName name="Consul_DF1_ps" localSheetId="7">#REF!</definedName>
    <definedName name="Consul_DF1_ps">#REF!</definedName>
    <definedName name="Consul_DF2_pm" localSheetId="1">#REF!</definedName>
    <definedName name="Consul_DF2_pm" localSheetId="2">#REF!</definedName>
    <definedName name="Consul_DF2_pm" localSheetId="4">#REF!</definedName>
    <definedName name="Consul_DF2_pm" localSheetId="3">#REF!</definedName>
    <definedName name="Consul_DF2_pm" localSheetId="8">#REF!</definedName>
    <definedName name="Consul_DF2_pm" localSheetId="5">#REF!</definedName>
    <definedName name="Consul_DF2_pm" localSheetId="15">#REF!</definedName>
    <definedName name="Consul_DF2_pm" localSheetId="14">#REF!</definedName>
    <definedName name="Consul_DF2_pm" localSheetId="12">#REF!</definedName>
    <definedName name="Consul_DF2_pm" localSheetId="13">#REF!</definedName>
    <definedName name="Consul_DF2_pm" localSheetId="10">'[12]31-CIEDF_Alt 1'!#REF!</definedName>
    <definedName name="Consul_DF2_pm" localSheetId="7">#REF!</definedName>
    <definedName name="Consul_DF2_pm">#REF!</definedName>
    <definedName name="Consul_DF2_ps" localSheetId="1">#REF!</definedName>
    <definedName name="Consul_DF2_ps" localSheetId="2">#REF!</definedName>
    <definedName name="Consul_DF2_ps" localSheetId="4">#REF!</definedName>
    <definedName name="Consul_DF2_ps" localSheetId="3">#REF!</definedName>
    <definedName name="Consul_DF2_ps" localSheetId="8">#REF!</definedName>
    <definedName name="Consul_DF2_ps" localSheetId="5">#REF!</definedName>
    <definedName name="Consul_DF2_ps" localSheetId="15">#REF!</definedName>
    <definedName name="Consul_DF2_ps" localSheetId="14">#REF!</definedName>
    <definedName name="Consul_DF2_ps" localSheetId="12">#REF!</definedName>
    <definedName name="Consul_DF2_ps" localSheetId="13">#REF!</definedName>
    <definedName name="Consul_DF2_ps" localSheetId="10">#REF!</definedName>
    <definedName name="Consul_DF2_ps" localSheetId="7">#REF!</definedName>
    <definedName name="Consul_DF2_ps">#REF!</definedName>
    <definedName name="Consul_GestAFT_1_pm" localSheetId="1">#REF!</definedName>
    <definedName name="Consul_GestAFT_1_pm" localSheetId="2">#REF!</definedName>
    <definedName name="Consul_GestAFT_1_pm" localSheetId="4">#REF!</definedName>
    <definedName name="Consul_GestAFT_1_pm" localSheetId="8">#REF!</definedName>
    <definedName name="Consul_GestAFT_1_pm" localSheetId="5">#REF!</definedName>
    <definedName name="Consul_GestAFT_1_pm" localSheetId="15">#REF!</definedName>
    <definedName name="Consul_GestAFT_1_pm" localSheetId="14">#REF!</definedName>
    <definedName name="Consul_GestAFT_1_pm" localSheetId="12">#REF!</definedName>
    <definedName name="Consul_GestAFT_1_pm" localSheetId="13">#REF!</definedName>
    <definedName name="Consul_GestAFT_1_pm" localSheetId="10">'[12]33-CI GATF'!$G$5</definedName>
    <definedName name="Consul_GestAFT_1_pm" localSheetId="7">#REF!</definedName>
    <definedName name="Consul_GestAFT_1_pm">#REF!</definedName>
    <definedName name="Consul_GestAFT_1_ps" localSheetId="1">#REF!</definedName>
    <definedName name="Consul_GestAFT_1_ps" localSheetId="2">#REF!</definedName>
    <definedName name="Consul_GestAFT_1_ps" localSheetId="4">#REF!</definedName>
    <definedName name="Consul_GestAFT_1_ps" localSheetId="3">'[18]7. Consultoria'!#REF!</definedName>
    <definedName name="Consul_GestAFT_1_ps" localSheetId="8">#REF!</definedName>
    <definedName name="Consul_GestAFT_1_ps" localSheetId="5">#REF!</definedName>
    <definedName name="Consul_GestAFT_1_ps" localSheetId="15">#REF!</definedName>
    <definedName name="Consul_GestAFT_1_ps" localSheetId="14">#REF!</definedName>
    <definedName name="Consul_GestAFT_1_ps" localSheetId="12">#REF!</definedName>
    <definedName name="Consul_GestAFT_1_ps" localSheetId="13">#REF!</definedName>
    <definedName name="Consul_GestAFT_1_ps" localSheetId="10">'[12]33-CI GATF'!$I$5</definedName>
    <definedName name="Consul_GestAFT_1_ps" localSheetId="7">#REF!</definedName>
    <definedName name="Consul_GestAFT_1_ps">#REF!</definedName>
    <definedName name="Consul_GestAFT_2_pm" localSheetId="1">#REF!</definedName>
    <definedName name="Consul_GestAFT_2_pm" localSheetId="2">#REF!</definedName>
    <definedName name="Consul_GestAFT_2_pm" localSheetId="4">#REF!</definedName>
    <definedName name="Consul_GestAFT_2_pm" localSheetId="3">#REF!</definedName>
    <definedName name="Consul_GestAFT_2_pm" localSheetId="8">#REF!</definedName>
    <definedName name="Consul_GestAFT_2_pm" localSheetId="5">#REF!</definedName>
    <definedName name="Consul_GestAFT_2_pm" localSheetId="15">#REF!</definedName>
    <definedName name="Consul_GestAFT_2_pm" localSheetId="14">#REF!</definedName>
    <definedName name="Consul_GestAFT_2_pm" localSheetId="12">#REF!</definedName>
    <definedName name="Consul_GestAFT_2_pm" localSheetId="13">#REF!</definedName>
    <definedName name="Consul_GestAFT_2_pm" localSheetId="10">#REF!</definedName>
    <definedName name="Consul_GestAFT_2_pm" localSheetId="7">#REF!</definedName>
    <definedName name="Consul_GestAFT_2_pm">#REF!</definedName>
    <definedName name="Consul_GestAFT_2_ps" localSheetId="1">#REF!</definedName>
    <definedName name="Consul_GestAFT_2_ps" localSheetId="2">#REF!</definedName>
    <definedName name="Consul_GestAFT_2_ps" localSheetId="4">#REF!</definedName>
    <definedName name="Consul_GestAFT_2_ps" localSheetId="3">'[18]7. Consultoria'!#REF!</definedName>
    <definedName name="Consul_GestAFT_2_ps" localSheetId="8">#REF!</definedName>
    <definedName name="Consul_GestAFT_2_ps" localSheetId="5">#REF!</definedName>
    <definedName name="Consul_GestAFT_2_ps" localSheetId="15">#REF!</definedName>
    <definedName name="Consul_GestAFT_2_ps" localSheetId="14">#REF!</definedName>
    <definedName name="Consul_GestAFT_2_ps" localSheetId="12">#REF!</definedName>
    <definedName name="Consul_GestAFT_2_ps" localSheetId="13">#REF!</definedName>
    <definedName name="Consul_GestAFT_2_ps" localSheetId="10">'[12]33-CI GATF'!#REF!</definedName>
    <definedName name="Consul_GestAFT_2_ps" localSheetId="7">#REF!</definedName>
    <definedName name="Consul_GestAFT_2_ps">#REF!</definedName>
    <definedName name="Consul_reaprov1_pm" localSheetId="1">#REF!</definedName>
    <definedName name="Consul_reaprov1_pm" localSheetId="2">#REF!</definedName>
    <definedName name="Consul_reaprov1_pm" localSheetId="4">#REF!</definedName>
    <definedName name="Consul_reaprov1_pm" localSheetId="3">#REF!</definedName>
    <definedName name="Consul_reaprov1_pm" localSheetId="8">#REF!</definedName>
    <definedName name="Consul_reaprov1_pm" localSheetId="5">#REF!</definedName>
    <definedName name="Consul_reaprov1_pm" localSheetId="15">#REF!</definedName>
    <definedName name="Consul_reaprov1_pm" localSheetId="14">#REF!</definedName>
    <definedName name="Consul_reaprov1_pm" localSheetId="12">#REF!</definedName>
    <definedName name="Consul_reaprov1_pm" localSheetId="13">#REF!</definedName>
    <definedName name="Consul_reaprov1_pm" localSheetId="10">#REF!</definedName>
    <definedName name="Consul_reaprov1_pm" localSheetId="7">#REF!</definedName>
    <definedName name="Consul_reaprov1_pm">#REF!</definedName>
    <definedName name="Consul_reaprov1_ps" localSheetId="1">'[13](27)- CIRAE'!#REF!</definedName>
    <definedName name="Consul_reaprov1_ps" localSheetId="2">'[13](27)- CIRAE'!#REF!</definedName>
    <definedName name="Consul_reaprov1_ps" localSheetId="18">#REF!</definedName>
    <definedName name="Consul_reaprov1_ps" localSheetId="4">'[13](27)- CIRAE'!#REF!</definedName>
    <definedName name="Consul_reaprov1_ps" localSheetId="3">'[13](27)- CIRAE'!#REF!</definedName>
    <definedName name="Consul_reaprov1_ps" localSheetId="8">'[13](27)- CIRAE'!#REF!</definedName>
    <definedName name="Consul_reaprov1_ps" localSheetId="5">'[13](27)- CIRAE'!#REF!</definedName>
    <definedName name="Consul_reaprov1_ps" localSheetId="15">'[13](27)- CIRAE'!#REF!</definedName>
    <definedName name="Consul_reaprov1_ps" localSheetId="14">'[13](27)- CIRAE'!#REF!</definedName>
    <definedName name="Consul_reaprov1_ps" localSheetId="12">'[13](27)- CIRAE'!#REF!</definedName>
    <definedName name="Consul_reaprov1_ps" localSheetId="13">'[13](27)- CIRAE'!#REF!</definedName>
    <definedName name="Consul_reaprov1_ps" localSheetId="10">'[13](27)- CIRAE'!#REF!</definedName>
    <definedName name="Consul_reaprov1_ps" localSheetId="7">#REF!</definedName>
    <definedName name="Consul_reaprov1_ps">'[13](27)- CIRAE'!#REF!</definedName>
    <definedName name="Consul_reaprov2_pm" localSheetId="1">#REF!</definedName>
    <definedName name="Consul_reaprov2_pm" localSheetId="2">#REF!</definedName>
    <definedName name="Consul_reaprov2_pm" localSheetId="18">#REF!</definedName>
    <definedName name="Consul_reaprov2_pm" localSheetId="4">#REF!</definedName>
    <definedName name="Consul_reaprov2_pm" localSheetId="3">#REF!</definedName>
    <definedName name="Consul_reaprov2_pm" localSheetId="8">#REF!</definedName>
    <definedName name="Consul_reaprov2_pm" localSheetId="5">#REF!</definedName>
    <definedName name="Consul_reaprov2_pm" localSheetId="15">#REF!</definedName>
    <definedName name="Consul_reaprov2_pm" localSheetId="14">#REF!</definedName>
    <definedName name="Consul_reaprov2_pm" localSheetId="12">#REF!</definedName>
    <definedName name="Consul_reaprov2_pm" localSheetId="13">#REF!</definedName>
    <definedName name="Consul_reaprov2_pm" localSheetId="10">#REF!</definedName>
    <definedName name="Consul_reaprov2_pm" localSheetId="7">#REF!</definedName>
    <definedName name="Consul_reaprov2_pm">#REF!</definedName>
    <definedName name="Consul_reaprov2_ps" localSheetId="1">#REF!</definedName>
    <definedName name="Consul_reaprov2_ps" localSheetId="2">#REF!</definedName>
    <definedName name="Consul_reaprov2_ps" localSheetId="18">#REF!</definedName>
    <definedName name="Consul_reaprov2_ps" localSheetId="4">#REF!</definedName>
    <definedName name="Consul_reaprov2_ps" localSheetId="3">#REF!</definedName>
    <definedName name="Consul_reaprov2_ps" localSheetId="8">#REF!</definedName>
    <definedName name="Consul_reaprov2_ps" localSheetId="5">#REF!</definedName>
    <definedName name="Consul_reaprov2_ps" localSheetId="15">#REF!</definedName>
    <definedName name="Consul_reaprov2_ps" localSheetId="14">#REF!</definedName>
    <definedName name="Consul_reaprov2_ps" localSheetId="12">#REF!</definedName>
    <definedName name="Consul_reaprov2_ps" localSheetId="13">#REF!</definedName>
    <definedName name="Consul_reaprov2_ps" localSheetId="10">#REF!</definedName>
    <definedName name="Consul_reaprov2_ps" localSheetId="7">#REF!</definedName>
    <definedName name="Consul_reaprov2_ps">#REF!</definedName>
    <definedName name="Consul_recolec1_pm" localSheetId="1">#REF!</definedName>
    <definedName name="Consul_recolec1_pm" localSheetId="2">#REF!</definedName>
    <definedName name="Consul_recolec1_pm" localSheetId="4">#REF!</definedName>
    <definedName name="Consul_recolec1_pm" localSheetId="3">#REF!</definedName>
    <definedName name="Consul_recolec1_pm" localSheetId="8">#REF!</definedName>
    <definedName name="Consul_recolec1_pm" localSheetId="5">#REF!</definedName>
    <definedName name="Consul_recolec1_pm" localSheetId="15">#REF!</definedName>
    <definedName name="Consul_recolec1_pm" localSheetId="14">#REF!</definedName>
    <definedName name="Consul_recolec1_pm" localSheetId="12">#REF!</definedName>
    <definedName name="Consul_recolec1_pm" localSheetId="13">#REF!</definedName>
    <definedName name="Consul_recolec1_pm" localSheetId="10">#REF!</definedName>
    <definedName name="Consul_recolec1_pm" localSheetId="7">#REF!</definedName>
    <definedName name="Consul_recolec1_pm">#REF!</definedName>
    <definedName name="Consul_recolec1_ps" localSheetId="1">#REF!</definedName>
    <definedName name="Consul_recolec1_ps" localSheetId="2">#REF!</definedName>
    <definedName name="Consul_recolec1_ps" localSheetId="4">#REF!</definedName>
    <definedName name="Consul_recolec1_ps" localSheetId="3">#REF!</definedName>
    <definedName name="Consul_recolec1_ps" localSheetId="8">#REF!</definedName>
    <definedName name="Consul_recolec1_ps" localSheetId="5">#REF!</definedName>
    <definedName name="Consul_recolec1_ps" localSheetId="15">#REF!</definedName>
    <definedName name="Consul_recolec1_ps" localSheetId="14">#REF!</definedName>
    <definedName name="Consul_recolec1_ps" localSheetId="12">#REF!</definedName>
    <definedName name="Consul_recolec1_ps" localSheetId="13">#REF!</definedName>
    <definedName name="Consul_recolec1_ps" localSheetId="10">#REF!</definedName>
    <definedName name="Consul_recolec1_ps" localSheetId="7">#REF!</definedName>
    <definedName name="Consul_recolec1_ps">#REF!</definedName>
    <definedName name="Consul_recolec2_pm" localSheetId="1">#REF!</definedName>
    <definedName name="Consul_recolec2_pm" localSheetId="2">#REF!</definedName>
    <definedName name="Consul_recolec2_pm" localSheetId="4">#REF!</definedName>
    <definedName name="Consul_recolec2_pm" localSheetId="3">#REF!</definedName>
    <definedName name="Consul_recolec2_pm" localSheetId="8">#REF!</definedName>
    <definedName name="Consul_recolec2_pm" localSheetId="5">#REF!</definedName>
    <definedName name="Consul_recolec2_pm" localSheetId="15">#REF!</definedName>
    <definedName name="Consul_recolec2_pm" localSheetId="14">#REF!</definedName>
    <definedName name="Consul_recolec2_pm" localSheetId="12">#REF!</definedName>
    <definedName name="Consul_recolec2_pm" localSheetId="13">#REF!</definedName>
    <definedName name="Consul_recolec2_pm" localSheetId="10">#REF!</definedName>
    <definedName name="Consul_recolec2_pm" localSheetId="7">#REF!</definedName>
    <definedName name="Consul_recolec2_pm">#REF!</definedName>
    <definedName name="Consul_recolec2_ps" localSheetId="1">#REF!</definedName>
    <definedName name="Consul_recolec2_ps" localSheetId="2">#REF!</definedName>
    <definedName name="Consul_recolec2_ps" localSheetId="4">#REF!</definedName>
    <definedName name="Consul_recolec2_ps" localSheetId="3">#REF!</definedName>
    <definedName name="Consul_recolec2_ps" localSheetId="8">#REF!</definedName>
    <definedName name="Consul_recolec2_ps" localSheetId="5">#REF!</definedName>
    <definedName name="Consul_recolec2_ps" localSheetId="15">#REF!</definedName>
    <definedName name="Consul_recolec2_ps" localSheetId="14">#REF!</definedName>
    <definedName name="Consul_recolec2_ps" localSheetId="12">#REF!</definedName>
    <definedName name="Consul_recolec2_ps" localSheetId="13">#REF!</definedName>
    <definedName name="Consul_recolec2_ps" localSheetId="10">#REF!</definedName>
    <definedName name="Consul_recolec2_ps" localSheetId="7">#REF!</definedName>
    <definedName name="Consul_recolec2_ps">#REF!</definedName>
    <definedName name="Consul_SensPob_1_pm" localSheetId="1">#REF!</definedName>
    <definedName name="Consul_SensPob_1_pm" localSheetId="2">#REF!</definedName>
    <definedName name="Consul_SensPob_1_pm" localSheetId="4">#REF!</definedName>
    <definedName name="Consul_SensPob_1_pm" localSheetId="3">#REF!</definedName>
    <definedName name="Consul_SensPob_1_pm" localSheetId="8">#REF!</definedName>
    <definedName name="Consul_SensPob_1_pm" localSheetId="5">#REF!</definedName>
    <definedName name="Consul_SensPob_1_pm" localSheetId="15">#REF!</definedName>
    <definedName name="Consul_SensPob_1_pm" localSheetId="14">#REF!</definedName>
    <definedName name="Consul_SensPob_1_pm" localSheetId="12">#REF!</definedName>
    <definedName name="Consul_SensPob_1_pm" localSheetId="13">#REF!</definedName>
    <definedName name="Consul_SensPob_1_pm" localSheetId="10">'[12]35-CI SENSIB PO'!$F$5</definedName>
    <definedName name="Consul_SensPob_1_pm" localSheetId="7">#REF!</definedName>
    <definedName name="Consul_SensPob_1_pm">#REF!</definedName>
    <definedName name="Consul_SensPob_1_ps" localSheetId="1">#REF!</definedName>
    <definedName name="Consul_SensPob_1_ps" localSheetId="2">#REF!</definedName>
    <definedName name="Consul_SensPob_1_ps" localSheetId="4">#REF!</definedName>
    <definedName name="Consul_SensPob_1_ps" localSheetId="3">#REF!</definedName>
    <definedName name="Consul_SensPob_1_ps" localSheetId="8">#REF!</definedName>
    <definedName name="Consul_SensPob_1_ps" localSheetId="5">#REF!</definedName>
    <definedName name="Consul_SensPob_1_ps" localSheetId="15">#REF!</definedName>
    <definedName name="Consul_SensPob_1_ps" localSheetId="14">#REF!</definedName>
    <definedName name="Consul_SensPob_1_ps" localSheetId="12">#REF!</definedName>
    <definedName name="Consul_SensPob_1_ps" localSheetId="13">#REF!</definedName>
    <definedName name="Consul_SensPob_1_ps" localSheetId="10">'[12]35-CI SENSIB PO'!$H$5</definedName>
    <definedName name="Consul_SensPob_1_ps" localSheetId="7">#REF!</definedName>
    <definedName name="Consul_SensPob_1_ps">#REF!</definedName>
    <definedName name="Consul_SensPob_2_pm" localSheetId="1">#REF!</definedName>
    <definedName name="Consul_SensPob_2_pm" localSheetId="2">#REF!</definedName>
    <definedName name="Consul_SensPob_2_pm" localSheetId="4">#REF!</definedName>
    <definedName name="Consul_SensPob_2_pm" localSheetId="3">#REF!</definedName>
    <definedName name="Consul_SensPob_2_pm" localSheetId="8">#REF!</definedName>
    <definedName name="Consul_SensPob_2_pm" localSheetId="5">#REF!</definedName>
    <definedName name="Consul_SensPob_2_pm" localSheetId="15">#REF!</definedName>
    <definedName name="Consul_SensPob_2_pm" localSheetId="14">#REF!</definedName>
    <definedName name="Consul_SensPob_2_pm" localSheetId="12">#REF!</definedName>
    <definedName name="Consul_SensPob_2_pm" localSheetId="13">#REF!</definedName>
    <definedName name="Consul_SensPob_2_pm" localSheetId="10">'[12]35-CI SENSIB PO'!#REF!</definedName>
    <definedName name="Consul_SensPob_2_pm" localSheetId="7">#REF!</definedName>
    <definedName name="Consul_SensPob_2_pm">#REF!</definedName>
    <definedName name="Consul_SensPob_2_ps" localSheetId="1">#REF!</definedName>
    <definedName name="Consul_SensPob_2_ps" localSheetId="2">#REF!</definedName>
    <definedName name="Consul_SensPob_2_ps" localSheetId="4">#REF!</definedName>
    <definedName name="Consul_SensPob_2_ps" localSheetId="3">#REF!</definedName>
    <definedName name="Consul_SensPob_2_ps" localSheetId="8">#REF!</definedName>
    <definedName name="Consul_SensPob_2_ps" localSheetId="5">#REF!</definedName>
    <definedName name="Consul_SensPob_2_ps" localSheetId="15">#REF!</definedName>
    <definedName name="Consul_SensPob_2_ps" localSheetId="14">#REF!</definedName>
    <definedName name="Consul_SensPob_2_ps" localSheetId="12">#REF!</definedName>
    <definedName name="Consul_SensPob_2_ps" localSheetId="13">#REF!</definedName>
    <definedName name="Consul_SensPob_2_ps" localSheetId="10">'[12]35-CI SENSIB PO'!#REF!</definedName>
    <definedName name="Consul_SensPob_2_ps" localSheetId="7">#REF!</definedName>
    <definedName name="Consul_SensPob_2_ps">#REF!</definedName>
    <definedName name="consult" localSheetId="1">'[19]33-CI SENSIB PO'!#REF!</definedName>
    <definedName name="consult" localSheetId="2">'[19]33-CI SENSIB PO'!#REF!</definedName>
    <definedName name="consult" localSheetId="4">'[19]33-CI SENSIB PO'!#REF!</definedName>
    <definedName name="consult" localSheetId="3">'[19]33-CI SENSIB PO'!#REF!</definedName>
    <definedName name="consult" localSheetId="8">'[19]33-CI SENSIB PO'!#REF!</definedName>
    <definedName name="consult" localSheetId="5">'[19]33-CI SENSIB PO'!#REF!</definedName>
    <definedName name="consult" localSheetId="15">'[19]33-CI SENSIB PO'!#REF!</definedName>
    <definedName name="consult" localSheetId="14">'[19]33-CI SENSIB PO'!#REF!</definedName>
    <definedName name="consult" localSheetId="12">'[19]33-CI SENSIB PO'!#REF!</definedName>
    <definedName name="consult" localSheetId="13">'[19]33-CI SENSIB PO'!#REF!</definedName>
    <definedName name="consult" localSheetId="10">'[19]33-CI SENSIB PO'!#REF!</definedName>
    <definedName name="consult" localSheetId="7">'[20]33-CI SENSIB PO'!#REF!</definedName>
    <definedName name="consult">'[19]33-CI SENSIB PO'!#REF!</definedName>
    <definedName name="cortadora" localSheetId="1">#REF!</definedName>
    <definedName name="cortadora" localSheetId="2">#REF!</definedName>
    <definedName name="cortadora" localSheetId="4">#REF!</definedName>
    <definedName name="cortadora" localSheetId="5">#REF!</definedName>
    <definedName name="cortadora" localSheetId="15">#REF!</definedName>
    <definedName name="cortadora" localSheetId="14">#REF!</definedName>
    <definedName name="cortadora" localSheetId="12">#REF!</definedName>
    <definedName name="cortadora" localSheetId="13">#REF!</definedName>
    <definedName name="cortadora" localSheetId="10">#REF!</definedName>
    <definedName name="cortadora">#REF!</definedName>
    <definedName name="corte" localSheetId="1">#REF!</definedName>
    <definedName name="corte" localSheetId="2">#REF!</definedName>
    <definedName name="corte" localSheetId="4">#REF!</definedName>
    <definedName name="corte" localSheetId="5">#REF!</definedName>
    <definedName name="corte" localSheetId="15">#REF!</definedName>
    <definedName name="corte" localSheetId="14">#REF!</definedName>
    <definedName name="corte" localSheetId="12">#REF!</definedName>
    <definedName name="corte" localSheetId="13">#REF!</definedName>
    <definedName name="corte" localSheetId="10">#REF!</definedName>
    <definedName name="corte">#REF!</definedName>
    <definedName name="Cp" localSheetId="1">#REF!</definedName>
    <definedName name="Cp" localSheetId="2">#REF!</definedName>
    <definedName name="Cp" localSheetId="4">#REF!</definedName>
    <definedName name="Cp" localSheetId="5">#REF!</definedName>
    <definedName name="Cp" localSheetId="15">#REF!</definedName>
    <definedName name="Cp" localSheetId="14">#REF!</definedName>
    <definedName name="Cp" localSheetId="12">#REF!</definedName>
    <definedName name="Cp" localSheetId="13">#REF!</definedName>
    <definedName name="Cp" localSheetId="10">#REF!</definedName>
    <definedName name="Cp">#REF!</definedName>
    <definedName name="cretex" localSheetId="1">#REF!</definedName>
    <definedName name="cretex" localSheetId="2">#REF!</definedName>
    <definedName name="cretex" localSheetId="4">#REF!</definedName>
    <definedName name="cretex" localSheetId="5">#REF!</definedName>
    <definedName name="cretex" localSheetId="15">#REF!</definedName>
    <definedName name="cretex" localSheetId="14">#REF!</definedName>
    <definedName name="cretex" localSheetId="12">#REF!</definedName>
    <definedName name="cretex" localSheetId="13">#REF!</definedName>
    <definedName name="cretex" localSheetId="10">#REF!</definedName>
    <definedName name="cretex">#REF!</definedName>
    <definedName name="CT_barrid1_pm" localSheetId="1">#REF!</definedName>
    <definedName name="CT_barrid1_pm" localSheetId="2">#REF!</definedName>
    <definedName name="CT_barrid1_pm" localSheetId="4">#REF!</definedName>
    <definedName name="CT_barrid1_pm" localSheetId="3">#REF!</definedName>
    <definedName name="CT_barrid1_pm" localSheetId="8">#REF!</definedName>
    <definedName name="CT_barrid1_pm" localSheetId="5">#REF!</definedName>
    <definedName name="CT_barrid1_pm" localSheetId="15">#REF!</definedName>
    <definedName name="CT_barrid1_pm" localSheetId="14">#REF!</definedName>
    <definedName name="CT_barrid1_pm" localSheetId="12">#REF!</definedName>
    <definedName name="CT_barrid1_pm" localSheetId="13">#REF!</definedName>
    <definedName name="CT_barrid1_pm" localSheetId="10">#REF!</definedName>
    <definedName name="CT_barrid1_pm" localSheetId="7">#REF!</definedName>
    <definedName name="CT_barrid1_pm">#REF!</definedName>
    <definedName name="CT_barrid1_ps" localSheetId="1">#REF!</definedName>
    <definedName name="CT_barrid1_ps" localSheetId="2">#REF!</definedName>
    <definedName name="CT_barrid1_ps" localSheetId="4">#REF!</definedName>
    <definedName name="CT_barrid1_ps" localSheetId="3">#REF!</definedName>
    <definedName name="CT_barrid1_ps" localSheetId="8">#REF!</definedName>
    <definedName name="CT_barrid1_ps" localSheetId="5">#REF!</definedName>
    <definedName name="CT_barrid1_ps" localSheetId="15">#REF!</definedName>
    <definedName name="CT_barrid1_ps" localSheetId="14">#REF!</definedName>
    <definedName name="CT_barrid1_ps" localSheetId="12">#REF!</definedName>
    <definedName name="CT_barrid1_ps" localSheetId="13">#REF!</definedName>
    <definedName name="CT_barrid1_ps" localSheetId="10">#REF!</definedName>
    <definedName name="CT_barrid1_ps" localSheetId="7">#REF!</definedName>
    <definedName name="CT_barrid1_ps">#REF!</definedName>
    <definedName name="CT_barrid2_pm" localSheetId="1">#REF!</definedName>
    <definedName name="CT_barrid2_pm" localSheetId="2">#REF!</definedName>
    <definedName name="CT_barrid2_pm" localSheetId="4">#REF!</definedName>
    <definedName name="CT_barrid2_pm" localSheetId="3">#REF!</definedName>
    <definedName name="CT_barrid2_pm" localSheetId="8">#REF!</definedName>
    <definedName name="CT_barrid2_pm" localSheetId="5">#REF!</definedName>
    <definedName name="CT_barrid2_pm" localSheetId="15">#REF!</definedName>
    <definedName name="CT_barrid2_pm" localSheetId="14">#REF!</definedName>
    <definedName name="CT_barrid2_pm" localSheetId="12">#REF!</definedName>
    <definedName name="CT_barrid2_pm" localSheetId="13">#REF!</definedName>
    <definedName name="CT_barrid2_pm" localSheetId="10">#REF!</definedName>
    <definedName name="CT_barrid2_pm" localSheetId="7">#REF!</definedName>
    <definedName name="CT_barrid2_pm">#REF!</definedName>
    <definedName name="CT_barrid2_ps" localSheetId="1">#REF!</definedName>
    <definedName name="CT_barrid2_ps" localSheetId="2">#REF!</definedName>
    <definedName name="CT_barrid2_ps" localSheetId="4">#REF!</definedName>
    <definedName name="CT_barrid2_ps" localSheetId="3">#REF!</definedName>
    <definedName name="CT_barrid2_ps" localSheetId="8">#REF!</definedName>
    <definedName name="CT_barrid2_ps" localSheetId="5">#REF!</definedName>
    <definedName name="CT_barrid2_ps" localSheetId="15">#REF!</definedName>
    <definedName name="CT_barrid2_ps" localSheetId="14">#REF!</definedName>
    <definedName name="CT_barrid2_ps" localSheetId="12">#REF!</definedName>
    <definedName name="CT_barrid2_ps" localSheetId="13">#REF!</definedName>
    <definedName name="CT_barrid2_ps" localSheetId="10">#REF!</definedName>
    <definedName name="CT_barrid2_ps" localSheetId="7">#REF!</definedName>
    <definedName name="CT_barrid2_ps">#REF!</definedName>
    <definedName name="CT_DF1_pm" localSheetId="1">#REF!</definedName>
    <definedName name="CT_DF1_pm" localSheetId="2">#REF!</definedName>
    <definedName name="CT_DF1_pm" localSheetId="4">#REF!</definedName>
    <definedName name="CT_DF1_pm" localSheetId="3">#REF!</definedName>
    <definedName name="CT_DF1_pm" localSheetId="8">#REF!</definedName>
    <definedName name="CT_DF1_pm" localSheetId="5">#REF!</definedName>
    <definedName name="CT_DF1_pm" localSheetId="15">#REF!</definedName>
    <definedName name="CT_DF1_pm" localSheetId="14">#REF!</definedName>
    <definedName name="CT_DF1_pm" localSheetId="12">#REF!</definedName>
    <definedName name="CT_DF1_pm" localSheetId="13">#REF!</definedName>
    <definedName name="CT_DF1_pm" localSheetId="10">#REF!</definedName>
    <definedName name="CT_DF1_pm" localSheetId="7">#REF!</definedName>
    <definedName name="CT_DF1_pm">#REF!</definedName>
    <definedName name="CT_DF1_ps" localSheetId="1">#REF!</definedName>
    <definedName name="CT_DF1_ps" localSheetId="2">#REF!</definedName>
    <definedName name="CT_DF1_ps" localSheetId="4">#REF!</definedName>
    <definedName name="CT_DF1_ps" localSheetId="3">#REF!</definedName>
    <definedName name="CT_DF1_ps" localSheetId="8">#REF!</definedName>
    <definedName name="CT_DF1_ps" localSheetId="5">#REF!</definedName>
    <definedName name="CT_DF1_ps" localSheetId="15">#REF!</definedName>
    <definedName name="CT_DF1_ps" localSheetId="14">#REF!</definedName>
    <definedName name="CT_DF1_ps" localSheetId="12">#REF!</definedName>
    <definedName name="CT_DF1_ps" localSheetId="13">#REF!</definedName>
    <definedName name="CT_DF1_ps" localSheetId="10">#REF!</definedName>
    <definedName name="CT_DF1_ps" localSheetId="7">#REF!</definedName>
    <definedName name="CT_DF1_ps">#REF!</definedName>
    <definedName name="CT_DF2_pm" localSheetId="1">#REF!</definedName>
    <definedName name="CT_DF2_pm" localSheetId="2">#REF!</definedName>
    <definedName name="CT_DF2_pm" localSheetId="4">#REF!</definedName>
    <definedName name="CT_DF2_pm" localSheetId="3">#REF!</definedName>
    <definedName name="CT_DF2_pm" localSheetId="8">#REF!</definedName>
    <definedName name="CT_DF2_pm" localSheetId="5">#REF!</definedName>
    <definedName name="CT_DF2_pm" localSheetId="15">#REF!</definedName>
    <definedName name="CT_DF2_pm" localSheetId="14">#REF!</definedName>
    <definedName name="CT_DF2_pm" localSheetId="12">#REF!</definedName>
    <definedName name="CT_DF2_pm" localSheetId="13">#REF!</definedName>
    <definedName name="CT_DF2_pm" localSheetId="10">#REF!</definedName>
    <definedName name="CT_DF2_pm" localSheetId="7">#REF!</definedName>
    <definedName name="CT_DF2_pm">#REF!</definedName>
    <definedName name="CT_DF2_ps" localSheetId="1">#REF!</definedName>
    <definedName name="CT_DF2_ps" localSheetId="2">#REF!</definedName>
    <definedName name="CT_DF2_ps" localSheetId="4">#REF!</definedName>
    <definedName name="CT_DF2_ps" localSheetId="3">#REF!</definedName>
    <definedName name="CT_DF2_ps" localSheetId="8">#REF!</definedName>
    <definedName name="CT_DF2_ps" localSheetId="5">#REF!</definedName>
    <definedName name="CT_DF2_ps" localSheetId="15">#REF!</definedName>
    <definedName name="CT_DF2_ps" localSheetId="14">#REF!</definedName>
    <definedName name="CT_DF2_ps" localSheetId="12">#REF!</definedName>
    <definedName name="CT_DF2_ps" localSheetId="13">#REF!</definedName>
    <definedName name="CT_DF2_ps" localSheetId="10">#REF!</definedName>
    <definedName name="CT_DF2_ps" localSheetId="7">#REF!</definedName>
    <definedName name="CT_DF2_ps">#REF!</definedName>
    <definedName name="CT_reaprov1_pm" localSheetId="1">#REF!</definedName>
    <definedName name="CT_reaprov1_pm" localSheetId="2">#REF!</definedName>
    <definedName name="CT_reaprov1_pm" localSheetId="4">#REF!</definedName>
    <definedName name="CT_reaprov1_pm" localSheetId="3">#REF!</definedName>
    <definedName name="CT_reaprov1_pm" localSheetId="8">#REF!</definedName>
    <definedName name="CT_reaprov1_pm" localSheetId="5">#REF!</definedName>
    <definedName name="CT_reaprov1_pm" localSheetId="15">#REF!</definedName>
    <definedName name="CT_reaprov1_pm" localSheetId="14">#REF!</definedName>
    <definedName name="CT_reaprov1_pm" localSheetId="12">#REF!</definedName>
    <definedName name="CT_reaprov1_pm" localSheetId="13">#REF!</definedName>
    <definedName name="CT_reaprov1_pm" localSheetId="10">#REF!</definedName>
    <definedName name="CT_reaprov1_pm" localSheetId="7">#REF!</definedName>
    <definedName name="CT_reaprov1_pm">#REF!</definedName>
    <definedName name="CT_reaprov1_ps" localSheetId="1">#REF!</definedName>
    <definedName name="CT_reaprov1_ps" localSheetId="2">#REF!</definedName>
    <definedName name="CT_reaprov1_ps" localSheetId="4">#REF!</definedName>
    <definedName name="CT_reaprov1_ps" localSheetId="3">#REF!</definedName>
    <definedName name="CT_reaprov1_ps" localSheetId="8">#REF!</definedName>
    <definedName name="CT_reaprov1_ps" localSheetId="5">#REF!</definedName>
    <definedName name="CT_reaprov1_ps" localSheetId="15">#REF!</definedName>
    <definedName name="CT_reaprov1_ps" localSheetId="14">#REF!</definedName>
    <definedName name="CT_reaprov1_ps" localSheetId="12">#REF!</definedName>
    <definedName name="CT_reaprov1_ps" localSheetId="13">#REF!</definedName>
    <definedName name="CT_reaprov1_ps" localSheetId="10">#REF!</definedName>
    <definedName name="CT_reaprov1_ps" localSheetId="7">#REF!</definedName>
    <definedName name="CT_reaprov1_ps">#REF!</definedName>
    <definedName name="CT_reaprov2_pm" localSheetId="1">#REF!</definedName>
    <definedName name="CT_reaprov2_pm" localSheetId="2">#REF!</definedName>
    <definedName name="CT_reaprov2_pm" localSheetId="4">#REF!</definedName>
    <definedName name="CT_reaprov2_pm" localSheetId="3">#REF!</definedName>
    <definedName name="CT_reaprov2_pm" localSheetId="8">#REF!</definedName>
    <definedName name="CT_reaprov2_pm" localSheetId="5">#REF!</definedName>
    <definedName name="CT_reaprov2_pm" localSheetId="15">#REF!</definedName>
    <definedName name="CT_reaprov2_pm" localSheetId="14">#REF!</definedName>
    <definedName name="CT_reaprov2_pm" localSheetId="12">#REF!</definedName>
    <definedName name="CT_reaprov2_pm" localSheetId="13">#REF!</definedName>
    <definedName name="CT_reaprov2_pm" localSheetId="10">#REF!</definedName>
    <definedName name="CT_reaprov2_pm" localSheetId="7">#REF!</definedName>
    <definedName name="CT_reaprov2_pm">#REF!</definedName>
    <definedName name="CT_reaprov2_ps" localSheetId="1">#REF!</definedName>
    <definedName name="CT_reaprov2_ps" localSheetId="2">#REF!</definedName>
    <definedName name="CT_reaprov2_ps" localSheetId="4">#REF!</definedName>
    <definedName name="CT_reaprov2_ps" localSheetId="3">#REF!</definedName>
    <definedName name="CT_reaprov2_ps" localSheetId="8">#REF!</definedName>
    <definedName name="CT_reaprov2_ps" localSheetId="5">#REF!</definedName>
    <definedName name="CT_reaprov2_ps" localSheetId="15">#REF!</definedName>
    <definedName name="CT_reaprov2_ps" localSheetId="14">#REF!</definedName>
    <definedName name="CT_reaprov2_ps" localSheetId="12">#REF!</definedName>
    <definedName name="CT_reaprov2_ps" localSheetId="13">#REF!</definedName>
    <definedName name="CT_reaprov2_ps" localSheetId="10">#REF!</definedName>
    <definedName name="CT_reaprov2_ps" localSheetId="7">#REF!</definedName>
    <definedName name="CT_reaprov2_ps">#REF!</definedName>
    <definedName name="CT_recolec1_pm" localSheetId="1">#REF!</definedName>
    <definedName name="CT_recolec1_pm" localSheetId="2">#REF!</definedName>
    <definedName name="CT_recolec1_pm" localSheetId="18">'[17]ANEXO 22 - C.I. RECOLECCIÓN'!#REF!</definedName>
    <definedName name="CT_recolec1_pm" localSheetId="4">#REF!</definedName>
    <definedName name="CT_recolec1_pm" localSheetId="3">#REF!</definedName>
    <definedName name="CT_recolec1_pm" localSheetId="8">#REF!</definedName>
    <definedName name="CT_recolec1_pm" localSheetId="5">#REF!</definedName>
    <definedName name="CT_recolec1_pm" localSheetId="15">#REF!</definedName>
    <definedName name="CT_recolec1_pm" localSheetId="14">#REF!</definedName>
    <definedName name="CT_recolec1_pm" localSheetId="12">#REF!</definedName>
    <definedName name="CT_recolec1_pm" localSheetId="13">#REF!</definedName>
    <definedName name="CT_recolec1_pm" localSheetId="10">#REF!</definedName>
    <definedName name="CT_recolec1_pm" localSheetId="7">#REF!</definedName>
    <definedName name="CT_recolec1_pm">#REF!</definedName>
    <definedName name="CT_recolec1_ps" localSheetId="1">#REF!</definedName>
    <definedName name="CT_recolec1_ps" localSheetId="2">#REF!</definedName>
    <definedName name="CT_recolec1_ps" localSheetId="18">'[17]ANEXO 22 - C.I. RECOLECCIÓN'!#REF!</definedName>
    <definedName name="CT_recolec1_ps" localSheetId="4">#REF!</definedName>
    <definedName name="CT_recolec1_ps" localSheetId="3">#REF!</definedName>
    <definedName name="CT_recolec1_ps" localSheetId="8">#REF!</definedName>
    <definedName name="CT_recolec1_ps" localSheetId="5">#REF!</definedName>
    <definedName name="CT_recolec1_ps" localSheetId="15">#REF!</definedName>
    <definedName name="CT_recolec1_ps" localSheetId="14">#REF!</definedName>
    <definedName name="CT_recolec1_ps" localSheetId="12">#REF!</definedName>
    <definedName name="CT_recolec1_ps" localSheetId="13">#REF!</definedName>
    <definedName name="CT_recolec1_ps" localSheetId="10">#REF!</definedName>
    <definedName name="CT_recolec1_ps" localSheetId="7">#REF!</definedName>
    <definedName name="CT_recolec1_ps">#REF!</definedName>
    <definedName name="CT_recolec2_pm" localSheetId="1">#REF!</definedName>
    <definedName name="CT_recolec2_pm" localSheetId="2">#REF!</definedName>
    <definedName name="CT_recolec2_pm" localSheetId="18">'[17]ANEXO 22 - C.I. RECOLECCIÓN'!#REF!</definedName>
    <definedName name="CT_recolec2_pm" localSheetId="4">#REF!</definedName>
    <definedName name="CT_recolec2_pm" localSheetId="3">#REF!</definedName>
    <definedName name="CT_recolec2_pm" localSheetId="8">#REF!</definedName>
    <definedName name="CT_recolec2_pm" localSheetId="5">#REF!</definedName>
    <definedName name="CT_recolec2_pm" localSheetId="15">#REF!</definedName>
    <definedName name="CT_recolec2_pm" localSheetId="14">#REF!</definedName>
    <definedName name="CT_recolec2_pm" localSheetId="12">#REF!</definedName>
    <definedName name="CT_recolec2_pm" localSheetId="13">#REF!</definedName>
    <definedName name="CT_recolec2_pm" localSheetId="10">#REF!</definedName>
    <definedName name="CT_recolec2_pm" localSheetId="7">#REF!</definedName>
    <definedName name="CT_recolec2_pm">#REF!</definedName>
    <definedName name="CT_recolec2_ps" localSheetId="1">#REF!</definedName>
    <definedName name="CT_recolec2_ps" localSheetId="2">#REF!</definedName>
    <definedName name="CT_recolec2_ps" localSheetId="18">'[17]ANEXO 22 - C.I. RECOLECCIÓN'!#REF!</definedName>
    <definedName name="CT_recolec2_ps" localSheetId="4">#REF!</definedName>
    <definedName name="CT_recolec2_ps" localSheetId="3">#REF!</definedName>
    <definedName name="CT_recolec2_ps" localSheetId="8">#REF!</definedName>
    <definedName name="CT_recolec2_ps" localSheetId="5">#REF!</definedName>
    <definedName name="CT_recolec2_ps" localSheetId="15">#REF!</definedName>
    <definedName name="CT_recolec2_ps" localSheetId="14">#REF!</definedName>
    <definedName name="CT_recolec2_ps" localSheetId="12">#REF!</definedName>
    <definedName name="CT_recolec2_ps" localSheetId="13">#REF!</definedName>
    <definedName name="CT_recolec2_ps" localSheetId="10">#REF!</definedName>
    <definedName name="CT_recolec2_ps" localSheetId="7">#REF!</definedName>
    <definedName name="CT_recolec2_ps">#REF!</definedName>
    <definedName name="Curador" localSheetId="1">#REF!</definedName>
    <definedName name="Curador" localSheetId="2">#REF!</definedName>
    <definedName name="Curador" localSheetId="4">#REF!</definedName>
    <definedName name="Curador" localSheetId="5">#REF!</definedName>
    <definedName name="Curador" localSheetId="15">#REF!</definedName>
    <definedName name="Curador" localSheetId="14">#REF!</definedName>
    <definedName name="Curador" localSheetId="12">#REF!</definedName>
    <definedName name="Curador" localSheetId="13">#REF!</definedName>
    <definedName name="Curador" localSheetId="10">#REF!</definedName>
    <definedName name="Curador">#REF!</definedName>
    <definedName name="D" localSheetId="1">#REF!</definedName>
    <definedName name="D" localSheetId="2">#REF!</definedName>
    <definedName name="D" localSheetId="4">#REF!</definedName>
    <definedName name="D" localSheetId="5">#REF!</definedName>
    <definedName name="D" localSheetId="15">#REF!</definedName>
    <definedName name="D" localSheetId="14">#REF!</definedName>
    <definedName name="D" localSheetId="12">#REF!</definedName>
    <definedName name="D" localSheetId="13">#REF!</definedName>
    <definedName name="D" localSheetId="10">#REF!</definedName>
    <definedName name="D">#REF!</definedName>
    <definedName name="DC" localSheetId="1">#REF!</definedName>
    <definedName name="DC" localSheetId="2">#REF!</definedName>
    <definedName name="DC" localSheetId="4">#REF!</definedName>
    <definedName name="DC" localSheetId="5">#REF!</definedName>
    <definedName name="DC" localSheetId="15">#REF!</definedName>
    <definedName name="DC" localSheetId="14">#REF!</definedName>
    <definedName name="DC" localSheetId="12">#REF!</definedName>
    <definedName name="DC" localSheetId="13">#REF!</definedName>
    <definedName name="DC" localSheetId="10">#REF!</definedName>
    <definedName name="DC">#REF!</definedName>
    <definedName name="DD" localSheetId="1">#REF!</definedName>
    <definedName name="DD" localSheetId="2">#REF!</definedName>
    <definedName name="DD" localSheetId="4">#REF!</definedName>
    <definedName name="DD" localSheetId="5">#REF!</definedName>
    <definedName name="DD" localSheetId="15">#REF!</definedName>
    <definedName name="DD" localSheetId="14">#REF!</definedName>
    <definedName name="DD" localSheetId="12">#REF!</definedName>
    <definedName name="DD" localSheetId="13">#REF!</definedName>
    <definedName name="DD" localSheetId="10">#REF!</definedName>
    <definedName name="DD">#REF!</definedName>
    <definedName name="DEFICIT">'[13](32)EVA y SEN '!$O$77</definedName>
    <definedName name="defla">[21]CIERRE!$E$17</definedName>
    <definedName name="dens_compactada" localSheetId="1">#REF!</definedName>
    <definedName name="dens_compactada" localSheetId="2">#REF!</definedName>
    <definedName name="dens_compactada" localSheetId="4">#REF!</definedName>
    <definedName name="dens_compactada" localSheetId="3">#REF!</definedName>
    <definedName name="dens_compactada" localSheetId="8">#REF!</definedName>
    <definedName name="dens_compactada" localSheetId="5">#REF!</definedName>
    <definedName name="dens_compactada" localSheetId="15">#REF!</definedName>
    <definedName name="dens_compactada" localSheetId="14">#REF!</definedName>
    <definedName name="dens_compactada" localSheetId="12">#REF!</definedName>
    <definedName name="dens_compactada" localSheetId="13">#REF!</definedName>
    <definedName name="dens_compactada" localSheetId="10">#REF!</definedName>
    <definedName name="dens_compactada" localSheetId="7">#REF!</definedName>
    <definedName name="dens_compactada">#REF!</definedName>
    <definedName name="dens_s_comp" localSheetId="1">#REF!</definedName>
    <definedName name="dens_s_comp" localSheetId="2">#REF!</definedName>
    <definedName name="dens_s_comp" localSheetId="18">'[17]ANEXO 7 - Almacenamiento'!#REF!</definedName>
    <definedName name="dens_s_comp" localSheetId="4">#REF!</definedName>
    <definedName name="dens_s_comp" localSheetId="3">#REF!</definedName>
    <definedName name="dens_s_comp" localSheetId="8">#REF!</definedName>
    <definedName name="dens_s_comp" localSheetId="5">#REF!</definedName>
    <definedName name="dens_s_comp" localSheetId="15">#REF!</definedName>
    <definedName name="dens_s_comp" localSheetId="14">#REF!</definedName>
    <definedName name="dens_s_comp" localSheetId="12">#REF!</definedName>
    <definedName name="dens_s_comp" localSheetId="13">#REF!</definedName>
    <definedName name="dens_s_comp" localSheetId="10">#REF!</definedName>
    <definedName name="dens_s_comp" localSheetId="7">#REF!</definedName>
    <definedName name="dens_s_comp">#REF!</definedName>
    <definedName name="Desmontaje" localSheetId="1">'[22]03 Desmontaje'!#REF!</definedName>
    <definedName name="Desmontaje" localSheetId="2">'[22]03 Desmontaje'!#REF!</definedName>
    <definedName name="Desmontaje" localSheetId="4">'[22]03 Desmontaje'!#REF!</definedName>
    <definedName name="Desmontaje" localSheetId="5">'[22]03 Desmontaje'!#REF!</definedName>
    <definedName name="Desmontaje" localSheetId="15">'[22]03 Desmontaje'!#REF!</definedName>
    <definedName name="Desmontaje" localSheetId="14">'[22]03 Desmontaje'!#REF!</definedName>
    <definedName name="Desmontaje" localSheetId="12">'[22]03 Desmontaje'!#REF!</definedName>
    <definedName name="Desmontaje" localSheetId="13">'[22]03 Desmontaje'!#REF!</definedName>
    <definedName name="Desmontaje" localSheetId="10">'[22]03 Desmontaje'!#REF!</definedName>
    <definedName name="Desmontaje">'[22]03 Desmontaje'!#REF!</definedName>
    <definedName name="DESPERDICIO" localSheetId="1">#REF!</definedName>
    <definedName name="DESPERDICIO" localSheetId="2">#REF!</definedName>
    <definedName name="DESPERDICIO" localSheetId="4">#REF!</definedName>
    <definedName name="DESPERDICIO" localSheetId="5">#REF!</definedName>
    <definedName name="DESPERDICIO" localSheetId="15">#REF!</definedName>
    <definedName name="DESPERDICIO" localSheetId="14">#REF!</definedName>
    <definedName name="DESPERDICIO" localSheetId="12">#REF!</definedName>
    <definedName name="DESPERDICIO" localSheetId="13">#REF!</definedName>
    <definedName name="DESPERDICIO" localSheetId="10">#REF!</definedName>
    <definedName name="DESPERDICIO">#REF!</definedName>
    <definedName name="DF">[11]Hoja2!$B$20:$B$21</definedName>
    <definedName name="DH" localSheetId="1">#REF!</definedName>
    <definedName name="DH" localSheetId="2">#REF!</definedName>
    <definedName name="DH" localSheetId="4">#REF!</definedName>
    <definedName name="DH" localSheetId="5">#REF!</definedName>
    <definedName name="DH" localSheetId="15">#REF!</definedName>
    <definedName name="DH" localSheetId="14">#REF!</definedName>
    <definedName name="DH" localSheetId="12">#REF!</definedName>
    <definedName name="DH" localSheetId="13">#REF!</definedName>
    <definedName name="DH" localSheetId="10">#REF!</definedName>
    <definedName name="DH">#REF!</definedName>
    <definedName name="disco" localSheetId="1">#REF!</definedName>
    <definedName name="disco" localSheetId="2">#REF!</definedName>
    <definedName name="disco" localSheetId="4">#REF!</definedName>
    <definedName name="disco" localSheetId="5">#REF!</definedName>
    <definedName name="disco" localSheetId="15">#REF!</definedName>
    <definedName name="disco" localSheetId="14">#REF!</definedName>
    <definedName name="disco" localSheetId="12">#REF!</definedName>
    <definedName name="disco" localSheetId="13">#REF!</definedName>
    <definedName name="disco" localSheetId="10">#REF!</definedName>
    <definedName name="disco">#REF!</definedName>
    <definedName name="disolvente" localSheetId="1">#REF!</definedName>
    <definedName name="disolvente" localSheetId="2">#REF!</definedName>
    <definedName name="disolvente" localSheetId="4">#REF!</definedName>
    <definedName name="disolvente" localSheetId="5">#REF!</definedName>
    <definedName name="disolvente" localSheetId="15">#REF!</definedName>
    <definedName name="disolvente" localSheetId="14">#REF!</definedName>
    <definedName name="disolvente" localSheetId="12">#REF!</definedName>
    <definedName name="disolvente" localSheetId="13">#REF!</definedName>
    <definedName name="disolvente" localSheetId="10">#REF!</definedName>
    <definedName name="disolvente">#REF!</definedName>
    <definedName name="DNT" localSheetId="1">#REF!</definedName>
    <definedName name="DNT" localSheetId="2">#REF!</definedName>
    <definedName name="DNT" localSheetId="4">#REF!</definedName>
    <definedName name="DNT" localSheetId="5">#REF!</definedName>
    <definedName name="DNT" localSheetId="15">#REF!</definedName>
    <definedName name="DNT" localSheetId="14">#REF!</definedName>
    <definedName name="DNT" localSheetId="12">#REF!</definedName>
    <definedName name="DNT" localSheetId="13">#REF!</definedName>
    <definedName name="DNT" localSheetId="10">#REF!</definedName>
    <definedName name="DNT">#REF!</definedName>
    <definedName name="DNTI" localSheetId="1">#REF!</definedName>
    <definedName name="DNTI" localSheetId="2">#REF!</definedName>
    <definedName name="DNTI" localSheetId="4">#REF!</definedName>
    <definedName name="DNTI" localSheetId="5">#REF!</definedName>
    <definedName name="DNTI" localSheetId="15">#REF!</definedName>
    <definedName name="DNTI" localSheetId="14">#REF!</definedName>
    <definedName name="DNTI" localSheetId="12">#REF!</definedName>
    <definedName name="DNTI" localSheetId="13">#REF!</definedName>
    <definedName name="DNTI" localSheetId="10">#REF!</definedName>
    <definedName name="DNTI">#REF!</definedName>
    <definedName name="DOA" localSheetId="1">#REF!</definedName>
    <definedName name="DOA" localSheetId="2">#REF!</definedName>
    <definedName name="DOA" localSheetId="4">#REF!</definedName>
    <definedName name="DOA" localSheetId="5">#REF!</definedName>
    <definedName name="DOA" localSheetId="15">#REF!</definedName>
    <definedName name="DOA" localSheetId="14">#REF!</definedName>
    <definedName name="DOA" localSheetId="12">#REF!</definedName>
    <definedName name="DOA" localSheetId="13">#REF!</definedName>
    <definedName name="DOA" localSheetId="10">#REF!</definedName>
    <definedName name="DOA">#REF!</definedName>
    <definedName name="dobladora" localSheetId="1">#REF!</definedName>
    <definedName name="dobladora" localSheetId="2">#REF!</definedName>
    <definedName name="dobladora" localSheetId="4">#REF!</definedName>
    <definedName name="dobladora" localSheetId="5">#REF!</definedName>
    <definedName name="dobladora" localSheetId="15">#REF!</definedName>
    <definedName name="dobladora" localSheetId="14">#REF!</definedName>
    <definedName name="dobladora" localSheetId="12">#REF!</definedName>
    <definedName name="dobladora" localSheetId="13">#REF!</definedName>
    <definedName name="dobladora" localSheetId="10">#REF!</definedName>
    <definedName name="dobladora">#REF!</definedName>
    <definedName name="DT" localSheetId="1">#REF!</definedName>
    <definedName name="DT" localSheetId="2">#REF!</definedName>
    <definedName name="DT" localSheetId="4">#REF!</definedName>
    <definedName name="DT" localSheetId="5">#REF!</definedName>
    <definedName name="DT" localSheetId="15">#REF!</definedName>
    <definedName name="DT" localSheetId="14">#REF!</definedName>
    <definedName name="DT" localSheetId="12">#REF!</definedName>
    <definedName name="DT" localSheetId="13">#REF!</definedName>
    <definedName name="DT" localSheetId="10">#REF!</definedName>
    <definedName name="DT">#REF!</definedName>
    <definedName name="dta" localSheetId="1">#REF!</definedName>
    <definedName name="dta" localSheetId="2">#REF!</definedName>
    <definedName name="dta" localSheetId="4">#REF!</definedName>
    <definedName name="dta" localSheetId="5">#REF!</definedName>
    <definedName name="dta" localSheetId="15">#REF!</definedName>
    <definedName name="dta" localSheetId="14">#REF!</definedName>
    <definedName name="dta" localSheetId="12">#REF!</definedName>
    <definedName name="dta" localSheetId="13">#REF!</definedName>
    <definedName name="dta" localSheetId="10">#REF!</definedName>
    <definedName name="dta">#REF!</definedName>
    <definedName name="EJES" localSheetId="1">#REF!</definedName>
    <definedName name="EJES" localSheetId="2">#REF!</definedName>
    <definedName name="EJES" localSheetId="4">#REF!</definedName>
    <definedName name="EJES" localSheetId="5">#REF!</definedName>
    <definedName name="EJES" localSheetId="15">#REF!</definedName>
    <definedName name="EJES" localSheetId="14">#REF!</definedName>
    <definedName name="EJES" localSheetId="12">#REF!</definedName>
    <definedName name="EJES" localSheetId="13">#REF!</definedName>
    <definedName name="EJES" localSheetId="10">#REF!</definedName>
    <definedName name="EJES">#REF!</definedName>
    <definedName name="ELECTRODO01" localSheetId="1">#REF!</definedName>
    <definedName name="ELECTRODO01" localSheetId="2">#REF!</definedName>
    <definedName name="ELECTRODO01" localSheetId="4">#REF!</definedName>
    <definedName name="ELECTRODO01" localSheetId="5">#REF!</definedName>
    <definedName name="ELECTRODO01" localSheetId="15">#REF!</definedName>
    <definedName name="ELECTRODO01" localSheetId="14">#REF!</definedName>
    <definedName name="ELECTRODO01" localSheetId="12">#REF!</definedName>
    <definedName name="ELECTRODO01" localSheetId="13">#REF!</definedName>
    <definedName name="ELECTRODO01" localSheetId="10">#REF!</definedName>
    <definedName name="ELECTRODO01">#REF!</definedName>
    <definedName name="ELECTRODO02" localSheetId="1">#REF!</definedName>
    <definedName name="ELECTRODO02" localSheetId="2">#REF!</definedName>
    <definedName name="ELECTRODO02" localSheetId="4">#REF!</definedName>
    <definedName name="ELECTRODO02" localSheetId="5">#REF!</definedName>
    <definedName name="ELECTRODO02" localSheetId="15">#REF!</definedName>
    <definedName name="ELECTRODO02" localSheetId="14">#REF!</definedName>
    <definedName name="ELECTRODO02" localSheetId="12">#REF!</definedName>
    <definedName name="ELECTRODO02" localSheetId="13">#REF!</definedName>
    <definedName name="ELECTRODO02" localSheetId="10">#REF!</definedName>
    <definedName name="ELECTRODO02">#REF!</definedName>
    <definedName name="eq" localSheetId="1">'[23]Electricidad - Climatización'!#REF!</definedName>
    <definedName name="eq" localSheetId="2">'[23]Electricidad - Climatización'!#REF!</definedName>
    <definedName name="eq" localSheetId="4">'[23]Electricidad - Climatización'!#REF!</definedName>
    <definedName name="eq" localSheetId="5">'[23]Electricidad - Climatización'!#REF!</definedName>
    <definedName name="eq" localSheetId="15">'[23]Electricidad - Climatización'!#REF!</definedName>
    <definedName name="eq" localSheetId="14">'[23]Electricidad - Climatización'!#REF!</definedName>
    <definedName name="eq" localSheetId="12">'[23]Electricidad - Climatización'!#REF!</definedName>
    <definedName name="eq" localSheetId="13">'[23]Electricidad - Climatización'!#REF!</definedName>
    <definedName name="eq" localSheetId="10">'[23]Electricidad - Climatización'!#REF!</definedName>
    <definedName name="eq">'[23]Electricidad - Climatización'!#REF!</definedName>
    <definedName name="EQDT_Query" localSheetId="1">#REF!</definedName>
    <definedName name="EQDT_Query" localSheetId="2">#REF!</definedName>
    <definedName name="EQDT_Query" localSheetId="4">#REF!</definedName>
    <definedName name="EQDT_Query" localSheetId="5">#REF!</definedName>
    <definedName name="EQDT_Query" localSheetId="15">#REF!</definedName>
    <definedName name="EQDT_Query" localSheetId="14">#REF!</definedName>
    <definedName name="EQDT_Query" localSheetId="12">#REF!</definedName>
    <definedName name="EQDT_Query" localSheetId="13">#REF!</definedName>
    <definedName name="EQDT_Query" localSheetId="10">#REF!</definedName>
    <definedName name="EQDT_Query">#REF!</definedName>
    <definedName name="EQLISTQUERY" localSheetId="1">#REF!</definedName>
    <definedName name="EQLISTQUERY" localSheetId="2">#REF!</definedName>
    <definedName name="EQLISTQUERY" localSheetId="4">#REF!</definedName>
    <definedName name="EQLISTQUERY" localSheetId="5">#REF!</definedName>
    <definedName name="EQLISTQUERY" localSheetId="15">#REF!</definedName>
    <definedName name="EQLISTQUERY" localSheetId="14">#REF!</definedName>
    <definedName name="EQLISTQUERY" localSheetId="12">#REF!</definedName>
    <definedName name="EQLISTQUERY" localSheetId="13">#REF!</definedName>
    <definedName name="EQLISTQUERY" localSheetId="10">#REF!</definedName>
    <definedName name="EQLISTQUERY">#REF!</definedName>
    <definedName name="eqlistquery1" localSheetId="1">#REF!</definedName>
    <definedName name="eqlistquery1" localSheetId="2">#REF!</definedName>
    <definedName name="eqlistquery1" localSheetId="4">#REF!</definedName>
    <definedName name="eqlistquery1" localSheetId="5">#REF!</definedName>
    <definedName name="eqlistquery1" localSheetId="15">#REF!</definedName>
    <definedName name="eqlistquery1" localSheetId="14">#REF!</definedName>
    <definedName name="eqlistquery1" localSheetId="12">#REF!</definedName>
    <definedName name="eqlistquery1" localSheetId="13">#REF!</definedName>
    <definedName name="eqlistquery1" localSheetId="10">#REF!</definedName>
    <definedName name="eqlistquery1">#REF!</definedName>
    <definedName name="eqlistquery2" localSheetId="1">#REF!</definedName>
    <definedName name="eqlistquery2" localSheetId="2">#REF!</definedName>
    <definedName name="eqlistquery2" localSheetId="4">#REF!</definedName>
    <definedName name="eqlistquery2" localSheetId="5">#REF!</definedName>
    <definedName name="eqlistquery2" localSheetId="15">#REF!</definedName>
    <definedName name="eqlistquery2" localSheetId="14">#REF!</definedName>
    <definedName name="eqlistquery2" localSheetId="12">#REF!</definedName>
    <definedName name="eqlistquery2" localSheetId="13">#REF!</definedName>
    <definedName name="eqlistquery2" localSheetId="10">#REF!</definedName>
    <definedName name="eqlistquery2">#REF!</definedName>
    <definedName name="EQUIP" localSheetId="1">#REF!</definedName>
    <definedName name="EQUIP" localSheetId="2">#REF!</definedName>
    <definedName name="EQUIP" localSheetId="4">#REF!</definedName>
    <definedName name="EQUIP" localSheetId="5">#REF!</definedName>
    <definedName name="EQUIP" localSheetId="15">#REF!</definedName>
    <definedName name="EQUIP" localSheetId="14">#REF!</definedName>
    <definedName name="EQUIP" localSheetId="12">#REF!</definedName>
    <definedName name="EQUIP" localSheetId="13">#REF!</definedName>
    <definedName name="EQUIP" localSheetId="10">#REF!</definedName>
    <definedName name="EQUIP">#REF!</definedName>
    <definedName name="Equip_alamac1_pm" localSheetId="7">'[16]ANEXO 20 - C.I. BARRIDO'!$G$18</definedName>
    <definedName name="Equip_alamac1_pm">'[17]ANEXO 20 - C.I. BARRIDO'!$G$18</definedName>
    <definedName name="Equip_alamac1_ps" localSheetId="7">#REF!</definedName>
    <definedName name="Equip_alamac1_ps">'[17]ANEXO 20 - C.I. BARRIDO'!$J$18</definedName>
    <definedName name="Equip_alamac2_pm" localSheetId="7">#REF!</definedName>
    <definedName name="Equip_alamac2_pm">'[17]ANEXO 20 - C.I. BARRIDO'!$Q$18</definedName>
    <definedName name="Equip_alamac2_ps" localSheetId="7">#REF!</definedName>
    <definedName name="Equip_alamac2_ps">'[17]ANEXO 20 - C.I. BARRIDO'!$T$18</definedName>
    <definedName name="Equip_barrido1_pm" localSheetId="7">#REF!</definedName>
    <definedName name="Equip_barrido1_pm">'[17]ANEXO 20 - C.I. BARRIDO'!$G$21</definedName>
    <definedName name="Equip_barrido1_ps" localSheetId="7">#REF!</definedName>
    <definedName name="Equip_barrido1_ps">'[17]ANEXO 20 - C.I. BARRIDO'!$J$21</definedName>
    <definedName name="Equip_barrido2_pm" localSheetId="7">#REF!</definedName>
    <definedName name="Equip_barrido2_pm">'[17]ANEXO 20 - C.I. BARRIDO'!$Q$21</definedName>
    <definedName name="Equip_barrido2_ps" localSheetId="7">#REF!</definedName>
    <definedName name="Equip_barrido2_ps">'[17]ANEXO 20 - C.I. BARRIDO'!$T$21</definedName>
    <definedName name="Equip_DF1_pm" localSheetId="1">#REF!</definedName>
    <definedName name="Equip_DF1_pm" localSheetId="2">#REF!</definedName>
    <definedName name="Equip_DF1_pm" localSheetId="4">#REF!</definedName>
    <definedName name="Equip_DF1_pm" localSheetId="3">#REF!</definedName>
    <definedName name="Equip_DF1_pm" localSheetId="8">#REF!</definedName>
    <definedName name="Equip_DF1_pm" localSheetId="5">#REF!</definedName>
    <definedName name="Equip_DF1_pm" localSheetId="15">#REF!</definedName>
    <definedName name="Equip_DF1_pm" localSheetId="14">#REF!</definedName>
    <definedName name="Equip_DF1_pm" localSheetId="12">#REF!</definedName>
    <definedName name="Equip_DF1_pm" localSheetId="13">#REF!</definedName>
    <definedName name="Equip_DF1_pm" localSheetId="10">'[12]31-CIEDF_Alt 1'!$G$6</definedName>
    <definedName name="Equip_DF1_pm" localSheetId="7">#REF!</definedName>
    <definedName name="Equip_DF1_pm">#REF!</definedName>
    <definedName name="Equip_DF1_ps" localSheetId="1">#REF!</definedName>
    <definedName name="Equip_DF1_ps" localSheetId="2">#REF!</definedName>
    <definedName name="Equip_DF1_ps" localSheetId="4">#REF!</definedName>
    <definedName name="Equip_DF1_ps" localSheetId="3">#REF!</definedName>
    <definedName name="Equip_DF1_ps" localSheetId="8">#REF!</definedName>
    <definedName name="Equip_DF1_ps" localSheetId="5">#REF!</definedName>
    <definedName name="Equip_DF1_ps" localSheetId="15">#REF!</definedName>
    <definedName name="Equip_DF1_ps" localSheetId="14">#REF!</definedName>
    <definedName name="Equip_DF1_ps" localSheetId="12">#REF!</definedName>
    <definedName name="Equip_DF1_ps" localSheetId="13">#REF!</definedName>
    <definedName name="Equip_DF1_ps" localSheetId="10">'[12]31-CIEDF_Alt 1'!$I$6</definedName>
    <definedName name="Equip_DF1_ps" localSheetId="7">#REF!</definedName>
    <definedName name="Equip_DF1_ps">#REF!</definedName>
    <definedName name="Equip_DF2_pm" localSheetId="1">#REF!</definedName>
    <definedName name="Equip_DF2_pm" localSheetId="2">#REF!</definedName>
    <definedName name="Equip_DF2_pm" localSheetId="4">#REF!</definedName>
    <definedName name="Equip_DF2_pm" localSheetId="3">#REF!</definedName>
    <definedName name="Equip_DF2_pm" localSheetId="8">#REF!</definedName>
    <definedName name="Equip_DF2_pm" localSheetId="5">#REF!</definedName>
    <definedName name="Equip_DF2_pm" localSheetId="15">#REF!</definedName>
    <definedName name="Equip_DF2_pm" localSheetId="14">#REF!</definedName>
    <definedName name="Equip_DF2_pm" localSheetId="12">#REF!</definedName>
    <definedName name="Equip_DF2_pm" localSheetId="13">#REF!</definedName>
    <definedName name="Equip_DF2_pm" localSheetId="10">'[12]31-CIEDF_Alt 1'!#REF!</definedName>
    <definedName name="Equip_DF2_pm" localSheetId="7">#REF!</definedName>
    <definedName name="Equip_DF2_pm">#REF!</definedName>
    <definedName name="Equip_DF2_ps" localSheetId="1">#REF!</definedName>
    <definedName name="Equip_DF2_ps" localSheetId="2">#REF!</definedName>
    <definedName name="Equip_DF2_ps" localSheetId="4">#REF!</definedName>
    <definedName name="Equip_DF2_ps" localSheetId="3">#REF!</definedName>
    <definedName name="Equip_DF2_ps" localSheetId="8">#REF!</definedName>
    <definedName name="Equip_DF2_ps" localSheetId="5">#REF!</definedName>
    <definedName name="Equip_DF2_ps" localSheetId="15">#REF!</definedName>
    <definedName name="Equip_DF2_ps" localSheetId="14">#REF!</definedName>
    <definedName name="Equip_DF2_ps" localSheetId="12">#REF!</definedName>
    <definedName name="Equip_DF2_ps" localSheetId="13">#REF!</definedName>
    <definedName name="Equip_DF2_ps" localSheetId="10">'[12]31-CIEDF_Alt 1'!#REF!</definedName>
    <definedName name="Equip_DF2_ps" localSheetId="7">#REF!</definedName>
    <definedName name="Equip_DF2_ps">#REF!</definedName>
    <definedName name="Equip_inorg1_pm" localSheetId="1">#REF!</definedName>
    <definedName name="Equip_inorg1_pm" localSheetId="2">#REF!</definedName>
    <definedName name="Equip_inorg1_pm" localSheetId="4">#REF!</definedName>
    <definedName name="Equip_inorg1_pm" localSheetId="3">#REF!</definedName>
    <definedName name="Equip_inorg1_pm" localSheetId="8">#REF!</definedName>
    <definedName name="Equip_inorg1_pm" localSheetId="5">#REF!</definedName>
    <definedName name="Equip_inorg1_pm" localSheetId="15">#REF!</definedName>
    <definedName name="Equip_inorg1_pm" localSheetId="14">#REF!</definedName>
    <definedName name="Equip_inorg1_pm" localSheetId="12">#REF!</definedName>
    <definedName name="Equip_inorg1_pm" localSheetId="13">#REF!</definedName>
    <definedName name="Equip_inorg1_pm" localSheetId="10">#REF!</definedName>
    <definedName name="Equip_inorg1_pm" localSheetId="7">#REF!</definedName>
    <definedName name="Equip_inorg1_pm">#REF!</definedName>
    <definedName name="Equip_inorg1_ps" localSheetId="1">#REF!</definedName>
    <definedName name="Equip_inorg1_ps" localSheetId="2">#REF!</definedName>
    <definedName name="Equip_inorg1_ps" localSheetId="4">#REF!</definedName>
    <definedName name="Equip_inorg1_ps" localSheetId="3">#REF!</definedName>
    <definedName name="Equip_inorg1_ps" localSheetId="8">#REF!</definedName>
    <definedName name="Equip_inorg1_ps" localSheetId="5">#REF!</definedName>
    <definedName name="Equip_inorg1_ps" localSheetId="15">#REF!</definedName>
    <definedName name="Equip_inorg1_ps" localSheetId="14">#REF!</definedName>
    <definedName name="Equip_inorg1_ps" localSheetId="12">#REF!</definedName>
    <definedName name="Equip_inorg1_ps" localSheetId="13">#REF!</definedName>
    <definedName name="Equip_inorg1_ps" localSheetId="10">#REF!</definedName>
    <definedName name="Equip_inorg1_ps" localSheetId="7">#REF!</definedName>
    <definedName name="Equip_inorg1_ps">#REF!</definedName>
    <definedName name="Equip_inorg2_pm" localSheetId="1">#REF!</definedName>
    <definedName name="Equip_inorg2_pm" localSheetId="2">#REF!</definedName>
    <definedName name="Equip_inorg2_pm" localSheetId="4">#REF!</definedName>
    <definedName name="Equip_inorg2_pm" localSheetId="3">#REF!</definedName>
    <definedName name="Equip_inorg2_pm" localSheetId="8">#REF!</definedName>
    <definedName name="Equip_inorg2_pm" localSheetId="5">#REF!</definedName>
    <definedName name="Equip_inorg2_pm" localSheetId="15">#REF!</definedName>
    <definedName name="Equip_inorg2_pm" localSheetId="14">#REF!</definedName>
    <definedName name="Equip_inorg2_pm" localSheetId="12">#REF!</definedName>
    <definedName name="Equip_inorg2_pm" localSheetId="13">#REF!</definedName>
    <definedName name="Equip_inorg2_pm" localSheetId="10">#REF!</definedName>
    <definedName name="Equip_inorg2_pm" localSheetId="7">#REF!</definedName>
    <definedName name="Equip_inorg2_pm">#REF!</definedName>
    <definedName name="Equip_inorg2_ps" localSheetId="1">#REF!</definedName>
    <definedName name="Equip_inorg2_ps" localSheetId="2">#REF!</definedName>
    <definedName name="Equip_inorg2_ps" localSheetId="4">#REF!</definedName>
    <definedName name="Equip_inorg2_ps" localSheetId="3">#REF!</definedName>
    <definedName name="Equip_inorg2_ps" localSheetId="8">#REF!</definedName>
    <definedName name="Equip_inorg2_ps" localSheetId="5">#REF!</definedName>
    <definedName name="Equip_inorg2_ps" localSheetId="15">#REF!</definedName>
    <definedName name="Equip_inorg2_ps" localSheetId="14">#REF!</definedName>
    <definedName name="Equip_inorg2_ps" localSheetId="12">#REF!</definedName>
    <definedName name="Equip_inorg2_ps" localSheetId="13">#REF!</definedName>
    <definedName name="Equip_inorg2_ps" localSheetId="10">#REF!</definedName>
    <definedName name="Equip_inorg2_ps" localSheetId="7">#REF!</definedName>
    <definedName name="Equip_inorg2_ps">#REF!</definedName>
    <definedName name="Equip_organ1_pm" localSheetId="1">#REF!</definedName>
    <definedName name="Equip_organ1_pm" localSheetId="2">#REF!</definedName>
    <definedName name="Equip_organ1_pm" localSheetId="4">#REF!</definedName>
    <definedName name="Equip_organ1_pm" localSheetId="3">#REF!</definedName>
    <definedName name="Equip_organ1_pm" localSheetId="8">#REF!</definedName>
    <definedName name="Equip_organ1_pm" localSheetId="5">#REF!</definedName>
    <definedName name="Equip_organ1_pm" localSheetId="15">#REF!</definedName>
    <definedName name="Equip_organ1_pm" localSheetId="14">#REF!</definedName>
    <definedName name="Equip_organ1_pm" localSheetId="12">#REF!</definedName>
    <definedName name="Equip_organ1_pm" localSheetId="13">#REF!</definedName>
    <definedName name="Equip_organ1_pm" localSheetId="10">#REF!</definedName>
    <definedName name="Equip_organ1_pm" localSheetId="7">#REF!</definedName>
    <definedName name="Equip_organ1_pm">#REF!</definedName>
    <definedName name="Equip_organ1_ps" localSheetId="1">#REF!</definedName>
    <definedName name="Equip_organ1_ps" localSheetId="2">#REF!</definedName>
    <definedName name="Equip_organ1_ps" localSheetId="4">#REF!</definedName>
    <definedName name="Equip_organ1_ps" localSheetId="3">#REF!</definedName>
    <definedName name="Equip_organ1_ps" localSheetId="8">#REF!</definedName>
    <definedName name="Equip_organ1_ps" localSheetId="5">#REF!</definedName>
    <definedName name="Equip_organ1_ps" localSheetId="15">#REF!</definedName>
    <definedName name="Equip_organ1_ps" localSheetId="14">#REF!</definedName>
    <definedName name="Equip_organ1_ps" localSheetId="12">#REF!</definedName>
    <definedName name="Equip_organ1_ps" localSheetId="13">#REF!</definedName>
    <definedName name="Equip_organ1_ps" localSheetId="10">#REF!</definedName>
    <definedName name="Equip_organ1_ps" localSheetId="7">#REF!</definedName>
    <definedName name="Equip_organ1_ps">#REF!</definedName>
    <definedName name="Equip_organ2_pm" localSheetId="1">#REF!</definedName>
    <definedName name="Equip_organ2_pm" localSheetId="2">#REF!</definedName>
    <definedName name="Equip_organ2_pm" localSheetId="4">#REF!</definedName>
    <definedName name="Equip_organ2_pm" localSheetId="3">#REF!</definedName>
    <definedName name="Equip_organ2_pm" localSheetId="8">#REF!</definedName>
    <definedName name="Equip_organ2_pm" localSheetId="5">#REF!</definedName>
    <definedName name="Equip_organ2_pm" localSheetId="15">#REF!</definedName>
    <definedName name="Equip_organ2_pm" localSheetId="14">#REF!</definedName>
    <definedName name="Equip_organ2_pm" localSheetId="12">#REF!</definedName>
    <definedName name="Equip_organ2_pm" localSheetId="13">#REF!</definedName>
    <definedName name="Equip_organ2_pm" localSheetId="10">#REF!</definedName>
    <definedName name="Equip_organ2_pm" localSheetId="7">#REF!</definedName>
    <definedName name="Equip_organ2_pm">#REF!</definedName>
    <definedName name="Equip_organ2_ps" localSheetId="1">#REF!</definedName>
    <definedName name="Equip_organ2_ps" localSheetId="2">#REF!</definedName>
    <definedName name="Equip_organ2_ps" localSheetId="4">#REF!</definedName>
    <definedName name="Equip_organ2_ps" localSheetId="3">#REF!</definedName>
    <definedName name="Equip_organ2_ps" localSheetId="8">#REF!</definedName>
    <definedName name="Equip_organ2_ps" localSheetId="5">#REF!</definedName>
    <definedName name="Equip_organ2_ps" localSheetId="15">#REF!</definedName>
    <definedName name="Equip_organ2_ps" localSheetId="14">#REF!</definedName>
    <definedName name="Equip_organ2_ps" localSheetId="12">#REF!</definedName>
    <definedName name="Equip_organ2_ps" localSheetId="13">#REF!</definedName>
    <definedName name="Equip_organ2_ps" localSheetId="10">#REF!</definedName>
    <definedName name="Equip_organ2_ps" localSheetId="7">#REF!</definedName>
    <definedName name="Equip_organ2_ps">#REF!</definedName>
    <definedName name="Equip_reaprov1_pm" localSheetId="1">#REF!</definedName>
    <definedName name="Equip_reaprov1_pm" localSheetId="2">#REF!</definedName>
    <definedName name="Equip_reaprov1_pm" localSheetId="4">#REF!</definedName>
    <definedName name="Equip_reaprov1_pm" localSheetId="3">#REF!</definedName>
    <definedName name="Equip_reaprov1_pm" localSheetId="8">#REF!</definedName>
    <definedName name="Equip_reaprov1_pm" localSheetId="5">#REF!</definedName>
    <definedName name="Equip_reaprov1_pm" localSheetId="15">#REF!</definedName>
    <definedName name="Equip_reaprov1_pm" localSheetId="14">#REF!</definedName>
    <definedName name="Equip_reaprov1_pm" localSheetId="12">#REF!</definedName>
    <definedName name="Equip_reaprov1_pm" localSheetId="13">#REF!</definedName>
    <definedName name="Equip_reaprov1_pm" localSheetId="10">#REF!</definedName>
    <definedName name="Equip_reaprov1_pm" localSheetId="7">#REF!</definedName>
    <definedName name="Equip_reaprov1_pm">#REF!</definedName>
    <definedName name="Equip_reaprov1_ps" localSheetId="1">#REF!</definedName>
    <definedName name="Equip_reaprov1_ps" localSheetId="2">#REF!</definedName>
    <definedName name="Equip_reaprov1_ps" localSheetId="4">#REF!</definedName>
    <definedName name="Equip_reaprov1_ps" localSheetId="3">#REF!</definedName>
    <definedName name="Equip_reaprov1_ps" localSheetId="8">#REF!</definedName>
    <definedName name="Equip_reaprov1_ps" localSheetId="5">#REF!</definedName>
    <definedName name="Equip_reaprov1_ps" localSheetId="15">#REF!</definedName>
    <definedName name="Equip_reaprov1_ps" localSheetId="14">#REF!</definedName>
    <definedName name="Equip_reaprov1_ps" localSheetId="12">#REF!</definedName>
    <definedName name="Equip_reaprov1_ps" localSheetId="13">#REF!</definedName>
    <definedName name="Equip_reaprov1_ps" localSheetId="10">#REF!</definedName>
    <definedName name="Equip_reaprov1_ps" localSheetId="7">#REF!</definedName>
    <definedName name="Equip_reaprov1_ps">#REF!</definedName>
    <definedName name="Equip_reaprov2_pm" localSheetId="1">#REF!</definedName>
    <definedName name="Equip_reaprov2_pm" localSheetId="2">#REF!</definedName>
    <definedName name="Equip_reaprov2_pm" localSheetId="4">#REF!</definedName>
    <definedName name="Equip_reaprov2_pm" localSheetId="3">#REF!</definedName>
    <definedName name="Equip_reaprov2_pm" localSheetId="8">#REF!</definedName>
    <definedName name="Equip_reaprov2_pm" localSheetId="5">#REF!</definedName>
    <definedName name="Equip_reaprov2_pm" localSheetId="15">#REF!</definedName>
    <definedName name="Equip_reaprov2_pm" localSheetId="14">#REF!</definedName>
    <definedName name="Equip_reaprov2_pm" localSheetId="12">#REF!</definedName>
    <definedName name="Equip_reaprov2_pm" localSheetId="13">#REF!</definedName>
    <definedName name="Equip_reaprov2_pm" localSheetId="10">#REF!</definedName>
    <definedName name="Equip_reaprov2_pm" localSheetId="7">#REF!</definedName>
    <definedName name="Equip_reaprov2_pm">#REF!</definedName>
    <definedName name="Equip_reaprov2_ps" localSheetId="1">#REF!</definedName>
    <definedName name="Equip_reaprov2_ps" localSheetId="2">#REF!</definedName>
    <definedName name="Equip_reaprov2_ps" localSheetId="4">#REF!</definedName>
    <definedName name="Equip_reaprov2_ps" localSheetId="3">#REF!</definedName>
    <definedName name="Equip_reaprov2_ps" localSheetId="8">#REF!</definedName>
    <definedName name="Equip_reaprov2_ps" localSheetId="5">#REF!</definedName>
    <definedName name="Equip_reaprov2_ps" localSheetId="15">#REF!</definedName>
    <definedName name="Equip_reaprov2_ps" localSheetId="14">#REF!</definedName>
    <definedName name="Equip_reaprov2_ps" localSheetId="12">#REF!</definedName>
    <definedName name="Equip_reaprov2_ps" localSheetId="13">#REF!</definedName>
    <definedName name="Equip_reaprov2_ps" localSheetId="10">#REF!</definedName>
    <definedName name="Equip_reaprov2_ps" localSheetId="7">#REF!</definedName>
    <definedName name="Equip_reaprov2_ps">#REF!</definedName>
    <definedName name="Equip_recolc1_pm" localSheetId="1">#REF!</definedName>
    <definedName name="Equip_recolc1_pm" localSheetId="2">#REF!</definedName>
    <definedName name="Equip_recolc1_pm" localSheetId="4">#REF!</definedName>
    <definedName name="Equip_recolc1_pm" localSheetId="3">#REF!</definedName>
    <definedName name="Equip_recolc1_pm" localSheetId="8">#REF!</definedName>
    <definedName name="Equip_recolc1_pm" localSheetId="5">#REF!</definedName>
    <definedName name="Equip_recolc1_pm" localSheetId="15">#REF!</definedName>
    <definedName name="Equip_recolc1_pm" localSheetId="14">#REF!</definedName>
    <definedName name="Equip_recolc1_pm" localSheetId="12">#REF!</definedName>
    <definedName name="Equip_recolc1_pm" localSheetId="13">#REF!</definedName>
    <definedName name="Equip_recolc1_pm" localSheetId="10">'[12]21-CIR'!$G$8</definedName>
    <definedName name="Equip_recolc1_pm" localSheetId="7">#REF!</definedName>
    <definedName name="Equip_recolc1_pm">#REF!</definedName>
    <definedName name="Equip_recolc1_ps" localSheetId="1">#REF!</definedName>
    <definedName name="Equip_recolc1_ps" localSheetId="2">#REF!</definedName>
    <definedName name="Equip_recolc1_ps" localSheetId="4">#REF!</definedName>
    <definedName name="Equip_recolc1_ps" localSheetId="3">#REF!</definedName>
    <definedName name="Equip_recolc1_ps" localSheetId="8">#REF!</definedName>
    <definedName name="Equip_recolc1_ps" localSheetId="5">#REF!</definedName>
    <definedName name="Equip_recolc1_ps" localSheetId="15">#REF!</definedName>
    <definedName name="Equip_recolc1_ps" localSheetId="14">#REF!</definedName>
    <definedName name="Equip_recolc1_ps" localSheetId="12">#REF!</definedName>
    <definedName name="Equip_recolc1_ps" localSheetId="13">#REF!</definedName>
    <definedName name="Equip_recolc1_ps" localSheetId="10">'[12]21-CIR'!$I$8</definedName>
    <definedName name="Equip_recolc1_ps" localSheetId="7">#REF!</definedName>
    <definedName name="Equip_recolc1_ps">#REF!</definedName>
    <definedName name="Equip_recolc2_pm" localSheetId="1">#REF!</definedName>
    <definedName name="Equip_recolc2_pm" localSheetId="2">#REF!</definedName>
    <definedName name="Equip_recolc2_pm" localSheetId="4">#REF!</definedName>
    <definedName name="Equip_recolc2_pm" localSheetId="3">#REF!</definedName>
    <definedName name="Equip_recolc2_pm" localSheetId="8">#REF!</definedName>
    <definedName name="Equip_recolc2_pm" localSheetId="5">#REF!</definedName>
    <definedName name="Equip_recolc2_pm" localSheetId="15">#REF!</definedName>
    <definedName name="Equip_recolc2_pm" localSheetId="14">#REF!</definedName>
    <definedName name="Equip_recolc2_pm" localSheetId="12">#REF!</definedName>
    <definedName name="Equip_recolc2_pm" localSheetId="13">#REF!</definedName>
    <definedName name="Equip_recolc2_pm" localSheetId="10">#REF!</definedName>
    <definedName name="Equip_recolc2_pm" localSheetId="7">#REF!</definedName>
    <definedName name="Equip_recolc2_pm">#REF!</definedName>
    <definedName name="Equip_recolc2_ps" localSheetId="1">#REF!</definedName>
    <definedName name="Equip_recolc2_ps" localSheetId="2">#REF!</definedName>
    <definedName name="Equip_recolc2_ps" localSheetId="4">#REF!</definedName>
    <definedName name="Equip_recolc2_ps" localSheetId="3">#REF!</definedName>
    <definedName name="Equip_recolc2_ps" localSheetId="8">#REF!</definedName>
    <definedName name="Equip_recolc2_ps" localSheetId="5">#REF!</definedName>
    <definedName name="Equip_recolc2_ps" localSheetId="15">#REF!</definedName>
    <definedName name="Equip_recolc2_ps" localSheetId="14">#REF!</definedName>
    <definedName name="Equip_recolc2_ps" localSheetId="12">#REF!</definedName>
    <definedName name="Equip_recolc2_ps" localSheetId="13">#REF!</definedName>
    <definedName name="Equip_recolc2_ps" localSheetId="10">#REF!</definedName>
    <definedName name="Equip_recolc2_ps" localSheetId="7">#REF!</definedName>
    <definedName name="Equip_recolc2_ps">#REF!</definedName>
    <definedName name="equipocorte" localSheetId="1">#REF!</definedName>
    <definedName name="equipocorte" localSheetId="2">#REF!</definedName>
    <definedName name="equipocorte" localSheetId="4">#REF!</definedName>
    <definedName name="equipocorte" localSheetId="5">#REF!</definedName>
    <definedName name="equipocorte" localSheetId="15">#REF!</definedName>
    <definedName name="equipocorte" localSheetId="14">#REF!</definedName>
    <definedName name="equipocorte" localSheetId="12">#REF!</definedName>
    <definedName name="equipocorte" localSheetId="13">#REF!</definedName>
    <definedName name="equipocorte" localSheetId="10">#REF!</definedName>
    <definedName name="equipocorte">#REF!</definedName>
    <definedName name="ESPEJOS" localSheetId="1">#REF!</definedName>
    <definedName name="ESPEJOS" localSheetId="2">#REF!</definedName>
    <definedName name="ESPEJOS" localSheetId="4">#REF!</definedName>
    <definedName name="ESPEJOS" localSheetId="5">#REF!</definedName>
    <definedName name="ESPEJOS" localSheetId="15">#REF!</definedName>
    <definedName name="ESPEJOS" localSheetId="14">#REF!</definedName>
    <definedName name="ESPEJOS" localSheetId="12">#REF!</definedName>
    <definedName name="ESPEJOS" localSheetId="13">#REF!</definedName>
    <definedName name="ESPEJOS" localSheetId="10">#REF!</definedName>
    <definedName name="ESPEJOS">#REF!</definedName>
    <definedName name="Estac_aéreo1" localSheetId="1">#REF!</definedName>
    <definedName name="Estac_aéreo1" localSheetId="2">#REF!</definedName>
    <definedName name="Estac_aéreo1" localSheetId="4">#REF!</definedName>
    <definedName name="Estac_aéreo1" localSheetId="5">#REF!</definedName>
    <definedName name="Estac_aéreo1" localSheetId="15">#REF!</definedName>
    <definedName name="Estac_aéreo1" localSheetId="14">#REF!</definedName>
    <definedName name="Estac_aéreo1" localSheetId="12">#REF!</definedName>
    <definedName name="Estac_aéreo1" localSheetId="13">#REF!</definedName>
    <definedName name="Estac_aéreo1" localSheetId="10">#REF!</definedName>
    <definedName name="Estac_aéreo1">#REF!</definedName>
    <definedName name="Estac_aéreo2" localSheetId="1">#REF!</definedName>
    <definedName name="Estac_aéreo2" localSheetId="2">#REF!</definedName>
    <definedName name="Estac_aéreo2" localSheetId="4">#REF!</definedName>
    <definedName name="Estac_aéreo2" localSheetId="5">#REF!</definedName>
    <definedName name="Estac_aéreo2" localSheetId="15">#REF!</definedName>
    <definedName name="Estac_aéreo2" localSheetId="14">#REF!</definedName>
    <definedName name="Estac_aéreo2" localSheetId="12">#REF!</definedName>
    <definedName name="Estac_aéreo2" localSheetId="13">#REF!</definedName>
    <definedName name="Estac_aéreo2" localSheetId="10">#REF!</definedName>
    <definedName name="Estac_aéreo2">#REF!</definedName>
    <definedName name="FA" localSheetId="1">'[23]Electricidad - Climatización'!#REF!</definedName>
    <definedName name="FA" localSheetId="2">'[23]Electricidad - Climatización'!#REF!</definedName>
    <definedName name="FA" localSheetId="4">'[23]Electricidad - Climatización'!#REF!</definedName>
    <definedName name="FA" localSheetId="5">'[23]Electricidad - Climatización'!#REF!</definedName>
    <definedName name="FA" localSheetId="15">'[23]Electricidad - Climatización'!#REF!</definedName>
    <definedName name="FA" localSheetId="14">'[23]Electricidad - Climatización'!#REF!</definedName>
    <definedName name="FA" localSheetId="12">'[23]Electricidad - Climatización'!#REF!</definedName>
    <definedName name="FA" localSheetId="13">'[23]Electricidad - Climatización'!#REF!</definedName>
    <definedName name="FA" localSheetId="10">'[23]Electricidad - Climatización'!#REF!</definedName>
    <definedName name="FA">'[23]Electricidad - Climatización'!#REF!</definedName>
    <definedName name="faef" localSheetId="1">#REF!</definedName>
    <definedName name="faef" localSheetId="2">#REF!</definedName>
    <definedName name="faef" localSheetId="4">#REF!</definedName>
    <definedName name="faef" localSheetId="3">#REF!</definedName>
    <definedName name="faef" localSheetId="8">#REF!</definedName>
    <definedName name="faef" localSheetId="5">#REF!</definedName>
    <definedName name="faef" localSheetId="15">#REF!</definedName>
    <definedName name="faef" localSheetId="14">#REF!</definedName>
    <definedName name="faef" localSheetId="12">#REF!</definedName>
    <definedName name="faef" localSheetId="13">#REF!</definedName>
    <definedName name="faef" localSheetId="10">#REF!</definedName>
    <definedName name="faef">#REF!</definedName>
    <definedName name="FFFF" localSheetId="1">#REF!</definedName>
    <definedName name="FFFF" localSheetId="2">#REF!</definedName>
    <definedName name="FFFF" localSheetId="4">#REF!</definedName>
    <definedName name="FFFF" localSheetId="5">#REF!</definedName>
    <definedName name="FFFF" localSheetId="15">#REF!</definedName>
    <definedName name="FFFF" localSheetId="14">#REF!</definedName>
    <definedName name="FFFF" localSheetId="12">#REF!</definedName>
    <definedName name="FFFF" localSheetId="13">#REF!</definedName>
    <definedName name="FFFF" localSheetId="10">#REF!</definedName>
    <definedName name="FFFF">#REF!</definedName>
    <definedName name="FJRJURYFUCFRJCFJ" localSheetId="1">#REF!</definedName>
    <definedName name="FJRJURYFUCFRJCFJ" localSheetId="2">#REF!</definedName>
    <definedName name="FJRJURYFUCFRJCFJ" localSheetId="4">#REF!</definedName>
    <definedName name="FJRJURYFUCFRJCFJ" localSheetId="5">#REF!</definedName>
    <definedName name="FJRJURYFUCFRJCFJ" localSheetId="15">#REF!</definedName>
    <definedName name="FJRJURYFUCFRJCFJ" localSheetId="14">#REF!</definedName>
    <definedName name="FJRJURYFUCFRJCFJ" localSheetId="12">#REF!</definedName>
    <definedName name="FJRJURYFUCFRJCFJ" localSheetId="13">#REF!</definedName>
    <definedName name="FJRJURYFUCFRJCFJ" localSheetId="10">#REF!</definedName>
    <definedName name="FJRJURYFUCFRJCFJ">#REF!</definedName>
    <definedName name="fliso" localSheetId="1">#REF!</definedName>
    <definedName name="fliso" localSheetId="2">#REF!</definedName>
    <definedName name="fliso" localSheetId="4">#REF!</definedName>
    <definedName name="fliso" localSheetId="5">#REF!</definedName>
    <definedName name="fliso" localSheetId="15">#REF!</definedName>
    <definedName name="fliso" localSheetId="14">#REF!</definedName>
    <definedName name="fliso" localSheetId="12">#REF!</definedName>
    <definedName name="fliso" localSheetId="13">#REF!</definedName>
    <definedName name="fliso" localSheetId="10">#REF!</definedName>
    <definedName name="fliso">#REF!</definedName>
    <definedName name="FM" localSheetId="1">#REF!</definedName>
    <definedName name="FM" localSheetId="2">#REF!</definedName>
    <definedName name="FM" localSheetId="4">#REF!</definedName>
    <definedName name="FM" localSheetId="5">#REF!</definedName>
    <definedName name="FM" localSheetId="15">#REF!</definedName>
    <definedName name="FM" localSheetId="14">#REF!</definedName>
    <definedName name="FM" localSheetId="12">#REF!</definedName>
    <definedName name="FM" localSheetId="13">#REF!</definedName>
    <definedName name="FM" localSheetId="10">#REF!</definedName>
    <definedName name="FM">#REF!</definedName>
    <definedName name="FN" localSheetId="1">#REF!</definedName>
    <definedName name="FN" localSheetId="2">#REF!</definedName>
    <definedName name="FN" localSheetId="4">#REF!</definedName>
    <definedName name="FN" localSheetId="5">#REF!</definedName>
    <definedName name="FN" localSheetId="15">#REF!</definedName>
    <definedName name="FN" localSheetId="14">#REF!</definedName>
    <definedName name="FN" localSheetId="12">#REF!</definedName>
    <definedName name="FN" localSheetId="13">#REF!</definedName>
    <definedName name="FN" localSheetId="10">#REF!</definedName>
    <definedName name="FN">#REF!</definedName>
    <definedName name="Formato" localSheetId="1">#REF!</definedName>
    <definedName name="Formato" localSheetId="2">#REF!</definedName>
    <definedName name="Formato" localSheetId="4">#REF!</definedName>
    <definedName name="Formato" localSheetId="5">#REF!</definedName>
    <definedName name="Formato" localSheetId="15">#REF!</definedName>
    <definedName name="Formato" localSheetId="14">#REF!</definedName>
    <definedName name="Formato" localSheetId="12">#REF!</definedName>
    <definedName name="Formato" localSheetId="13">#REF!</definedName>
    <definedName name="Formato" localSheetId="10">#REF!</definedName>
    <definedName name="Formato">#REF!</definedName>
    <definedName name="GABINETE">[24]PRECIOS!$B$5:$C$17</definedName>
    <definedName name="GAS" localSheetId="1">#REF!</definedName>
    <definedName name="GAS" localSheetId="2">#REF!</definedName>
    <definedName name="GAS" localSheetId="4">#REF!</definedName>
    <definedName name="GAS" localSheetId="5">#REF!</definedName>
    <definedName name="GAS" localSheetId="15">#REF!</definedName>
    <definedName name="GAS" localSheetId="14">#REF!</definedName>
    <definedName name="GAS" localSheetId="12">#REF!</definedName>
    <definedName name="GAS" localSheetId="13">#REF!</definedName>
    <definedName name="GAS" localSheetId="10">#REF!</definedName>
    <definedName name="GAS">#REF!</definedName>
    <definedName name="GenDetail" localSheetId="1">#REF!</definedName>
    <definedName name="GenDetail" localSheetId="2">#REF!</definedName>
    <definedName name="GenDetail" localSheetId="4">#REF!</definedName>
    <definedName name="GenDetail" localSheetId="5">#REF!</definedName>
    <definedName name="GenDetail" localSheetId="15">#REF!</definedName>
    <definedName name="GenDetail" localSheetId="14">#REF!</definedName>
    <definedName name="GenDetail" localSheetId="12">#REF!</definedName>
    <definedName name="GenDetail" localSheetId="13">#REF!</definedName>
    <definedName name="GenDetail" localSheetId="10">#REF!</definedName>
    <definedName name="GenDetail">#REF!</definedName>
    <definedName name="gfhgfh" localSheetId="1" hidden="1">{#N/A,#N/A,FALSE,"Resumen"}</definedName>
    <definedName name="gfhgfh" localSheetId="2" hidden="1">{#N/A,#N/A,FALSE,"Resumen"}</definedName>
    <definedName name="gfhgfh" localSheetId="4" hidden="1">{#N/A,#N/A,FALSE,"Resumen"}</definedName>
    <definedName name="gfhgfh" localSheetId="5" hidden="1">{#N/A,#N/A,FALSE,"Resumen"}</definedName>
    <definedName name="gfhgfh" localSheetId="15" hidden="1">{#N/A,#N/A,FALSE,"Resumen"}</definedName>
    <definedName name="gfhgfh" localSheetId="14" hidden="1">{#N/A,#N/A,FALSE,"Resumen"}</definedName>
    <definedName name="gfhgfh" localSheetId="12" hidden="1">{#N/A,#N/A,FALSE,"Resumen"}</definedName>
    <definedName name="gfhgfh" localSheetId="13" hidden="1">{#N/A,#N/A,FALSE,"Resumen"}</definedName>
    <definedName name="gfhgfh" localSheetId="10" hidden="1">{#N/A,#N/A,FALSE,"Resumen"}</definedName>
    <definedName name="gfhgfh" hidden="1">{#N/A,#N/A,FALSE,"Resumen"}</definedName>
    <definedName name="GG" localSheetId="1">#REF!</definedName>
    <definedName name="GG" localSheetId="2">#REF!</definedName>
    <definedName name="GG" localSheetId="4">#REF!</definedName>
    <definedName name="GG" localSheetId="5">#REF!</definedName>
    <definedName name="GG" localSheetId="15">#REF!</definedName>
    <definedName name="GG" localSheetId="14">#REF!</definedName>
    <definedName name="GG" localSheetId="12">#REF!</definedName>
    <definedName name="GG" localSheetId="13">#REF!</definedName>
    <definedName name="GG" localSheetId="10">#REF!</definedName>
    <definedName name="GG">#REF!</definedName>
    <definedName name="GG_DF_1_pm" localSheetId="1">#REF!</definedName>
    <definedName name="GG_DF_1_pm" localSheetId="2">#REF!</definedName>
    <definedName name="GG_DF_1_pm" localSheetId="4">#REF!</definedName>
    <definedName name="GG_DF_1_pm" localSheetId="3">#REF!</definedName>
    <definedName name="GG_DF_1_pm" localSheetId="8">#REF!</definedName>
    <definedName name="GG_DF_1_pm" localSheetId="5">#REF!</definedName>
    <definedName name="GG_DF_1_pm" localSheetId="15">#REF!</definedName>
    <definedName name="GG_DF_1_pm" localSheetId="14">#REF!</definedName>
    <definedName name="GG_DF_1_pm" localSheetId="12">#REF!</definedName>
    <definedName name="GG_DF_1_pm" localSheetId="13">#REF!</definedName>
    <definedName name="GG_DF_1_pm" localSheetId="10">#REF!</definedName>
    <definedName name="GG_DF_1_pm" localSheetId="7">#REF!</definedName>
    <definedName name="GG_DF_1_pm">#REF!</definedName>
    <definedName name="GG_DF_1_ps" localSheetId="7">#REF!</definedName>
    <definedName name="GG_DF_1_ps">'[13]ANEXO 27 - DISP FINAL INFRAEST'!$H$92</definedName>
    <definedName name="GG_DF_2_pm" localSheetId="1">#REF!</definedName>
    <definedName name="GG_DF_2_pm" localSheetId="2">#REF!</definedName>
    <definedName name="GG_DF_2_pm" localSheetId="4">#REF!</definedName>
    <definedName name="GG_DF_2_pm" localSheetId="3">#REF!</definedName>
    <definedName name="GG_DF_2_pm" localSheetId="8">#REF!</definedName>
    <definedName name="GG_DF_2_pm" localSheetId="5">#REF!</definedName>
    <definedName name="GG_DF_2_pm" localSheetId="15">#REF!</definedName>
    <definedName name="GG_DF_2_pm" localSheetId="14">#REF!</definedName>
    <definedName name="GG_DF_2_pm" localSheetId="12">#REF!</definedName>
    <definedName name="GG_DF_2_pm" localSheetId="13">#REF!</definedName>
    <definedName name="GG_DF_2_pm" localSheetId="10">#REF!</definedName>
    <definedName name="GG_DF_2_pm" localSheetId="7">#REF!</definedName>
    <definedName name="GG_DF_2_pm">#REF!</definedName>
    <definedName name="GG_DF_2_ps" localSheetId="1">#REF!</definedName>
    <definedName name="GG_DF_2_ps" localSheetId="2">#REF!</definedName>
    <definedName name="GG_DF_2_ps" localSheetId="4">#REF!</definedName>
    <definedName name="GG_DF_2_ps" localSheetId="3">#REF!</definedName>
    <definedName name="GG_DF_2_ps" localSheetId="8">#REF!</definedName>
    <definedName name="GG_DF_2_ps" localSheetId="5">#REF!</definedName>
    <definedName name="GG_DF_2_ps" localSheetId="15">#REF!</definedName>
    <definedName name="GG_DF_2_ps" localSheetId="14">#REF!</definedName>
    <definedName name="GG_DF_2_ps" localSheetId="12">#REF!</definedName>
    <definedName name="GG_DF_2_ps" localSheetId="13">#REF!</definedName>
    <definedName name="GG_DF_2_ps" localSheetId="10">#REF!</definedName>
    <definedName name="GG_DF_2_ps" localSheetId="7">#REF!</definedName>
    <definedName name="GG_DF_2_ps">#REF!</definedName>
    <definedName name="GG_reaprov_1_pm" localSheetId="1">#REF!</definedName>
    <definedName name="GG_reaprov_1_pm" localSheetId="2">#REF!</definedName>
    <definedName name="GG_reaprov_1_pm" localSheetId="4">#REF!</definedName>
    <definedName name="GG_reaprov_1_pm" localSheetId="3">#REF!</definedName>
    <definedName name="GG_reaprov_1_pm" localSheetId="8">#REF!</definedName>
    <definedName name="GG_reaprov_1_pm" localSheetId="5">#REF!</definedName>
    <definedName name="GG_reaprov_1_pm" localSheetId="15">#REF!</definedName>
    <definedName name="GG_reaprov_1_pm" localSheetId="14">#REF!</definedName>
    <definedName name="GG_reaprov_1_pm" localSheetId="12">#REF!</definedName>
    <definedName name="GG_reaprov_1_pm" localSheetId="13">#REF!</definedName>
    <definedName name="GG_reaprov_1_pm" localSheetId="10">#REF!</definedName>
    <definedName name="GG_reaprov_1_pm" localSheetId="7">#REF!</definedName>
    <definedName name="GG_reaprov_1_pm">#REF!</definedName>
    <definedName name="GG_reaprov_1_ps" localSheetId="7">#REF!</definedName>
    <definedName name="GG_reaprov_1_ps">'[13]ANEXO 24 - REAPROVECH INFRAEST'!$H$69</definedName>
    <definedName name="GG_reaprov_2_pm" localSheetId="1">#REF!</definedName>
    <definedName name="GG_reaprov_2_pm" localSheetId="2">#REF!</definedName>
    <definedName name="GG_reaprov_2_pm" localSheetId="4">#REF!</definedName>
    <definedName name="GG_reaprov_2_pm" localSheetId="3">#REF!</definedName>
    <definedName name="GG_reaprov_2_pm" localSheetId="8">#REF!</definedName>
    <definedName name="GG_reaprov_2_pm" localSheetId="5">#REF!</definedName>
    <definedName name="GG_reaprov_2_pm" localSheetId="15">#REF!</definedName>
    <definedName name="GG_reaprov_2_pm" localSheetId="14">#REF!</definedName>
    <definedName name="GG_reaprov_2_pm" localSheetId="12">#REF!</definedName>
    <definedName name="GG_reaprov_2_pm" localSheetId="13">#REF!</definedName>
    <definedName name="GG_reaprov_2_pm" localSheetId="10">#REF!</definedName>
    <definedName name="GG_reaprov_2_pm" localSheetId="7">#REF!</definedName>
    <definedName name="GG_reaprov_2_pm">#REF!</definedName>
    <definedName name="GG_reaprov_2_ps" localSheetId="1">#REF!</definedName>
    <definedName name="GG_reaprov_2_ps" localSheetId="2">#REF!</definedName>
    <definedName name="GG_reaprov_2_ps" localSheetId="4">#REF!</definedName>
    <definedName name="GG_reaprov_2_ps" localSheetId="3">#REF!</definedName>
    <definedName name="GG_reaprov_2_ps" localSheetId="8">#REF!</definedName>
    <definedName name="GG_reaprov_2_ps" localSheetId="5">#REF!</definedName>
    <definedName name="GG_reaprov_2_ps" localSheetId="15">#REF!</definedName>
    <definedName name="GG_reaprov_2_ps" localSheetId="14">#REF!</definedName>
    <definedName name="GG_reaprov_2_ps" localSheetId="12">#REF!</definedName>
    <definedName name="GG_reaprov_2_ps" localSheetId="13">#REF!</definedName>
    <definedName name="GG_reaprov_2_ps" localSheetId="10">#REF!</definedName>
    <definedName name="GG_reaprov_2_ps" localSheetId="7">#REF!</definedName>
    <definedName name="GG_reaprov_2_ps">#REF!</definedName>
    <definedName name="GI" localSheetId="1">#REF!</definedName>
    <definedName name="GI" localSheetId="2">#REF!</definedName>
    <definedName name="GI" localSheetId="4">#REF!</definedName>
    <definedName name="GI" localSheetId="5">#REF!</definedName>
    <definedName name="GI" localSheetId="15">#REF!</definedName>
    <definedName name="GI" localSheetId="14">#REF!</definedName>
    <definedName name="GI" localSheetId="12">#REF!</definedName>
    <definedName name="GI" localSheetId="13">#REF!</definedName>
    <definedName name="GI" localSheetId="10">#REF!</definedName>
    <definedName name="GI">#REF!</definedName>
    <definedName name="GIANCARLO" localSheetId="1">#REF!</definedName>
    <definedName name="GIANCARLO" localSheetId="2">#REF!</definedName>
    <definedName name="GIANCARLO" localSheetId="4">#REF!</definedName>
    <definedName name="GIANCARLO" localSheetId="5">#REF!</definedName>
    <definedName name="GIANCARLO" localSheetId="15">#REF!</definedName>
    <definedName name="GIANCARLO" localSheetId="14">#REF!</definedName>
    <definedName name="GIANCARLO" localSheetId="12">#REF!</definedName>
    <definedName name="GIANCARLO" localSheetId="13">#REF!</definedName>
    <definedName name="GIANCARLO" localSheetId="10">#REF!</definedName>
    <definedName name="GIANCARLO">#REF!</definedName>
    <definedName name="GPC" localSheetId="1">#REF!</definedName>
    <definedName name="GPC" localSheetId="2">#REF!</definedName>
    <definedName name="GPC" localSheetId="4">#REF!</definedName>
    <definedName name="GPC" localSheetId="3">#REF!</definedName>
    <definedName name="GPC" localSheetId="8">#REF!</definedName>
    <definedName name="GPC" localSheetId="5">#REF!</definedName>
    <definedName name="GPC" localSheetId="15">#REF!</definedName>
    <definedName name="GPC" localSheetId="14">#REF!</definedName>
    <definedName name="GPC" localSheetId="12">#REF!</definedName>
    <definedName name="GPC" localSheetId="13">#REF!</definedName>
    <definedName name="GPC" localSheetId="10">#REF!</definedName>
    <definedName name="GPC" localSheetId="7">#REF!</definedName>
    <definedName name="GPC">#REF!</definedName>
    <definedName name="Grasa" localSheetId="1">#REF!</definedName>
    <definedName name="Grasa" localSheetId="2">#REF!</definedName>
    <definedName name="Grasa" localSheetId="4">#REF!</definedName>
    <definedName name="Grasa" localSheetId="5">#REF!</definedName>
    <definedName name="Grasa" localSheetId="15">#REF!</definedName>
    <definedName name="Grasa" localSheetId="14">#REF!</definedName>
    <definedName name="Grasa" localSheetId="12">#REF!</definedName>
    <definedName name="Grasa" localSheetId="13">#REF!</definedName>
    <definedName name="Grasa" localSheetId="10">#REF!</definedName>
    <definedName name="Grasa">#REF!</definedName>
    <definedName name="GRIFERIA" localSheetId="1">#REF!</definedName>
    <definedName name="GRIFERIA" localSheetId="2">#REF!</definedName>
    <definedName name="GRIFERIA" localSheetId="4">#REF!</definedName>
    <definedName name="GRIFERIA" localSheetId="5">#REF!</definedName>
    <definedName name="GRIFERIA" localSheetId="15">#REF!</definedName>
    <definedName name="GRIFERIA" localSheetId="14">#REF!</definedName>
    <definedName name="GRIFERIA" localSheetId="12">#REF!</definedName>
    <definedName name="GRIFERIA" localSheetId="13">#REF!</definedName>
    <definedName name="GRIFERIA" localSheetId="10">#REF!</definedName>
    <definedName name="GRIFERIA">#REF!</definedName>
    <definedName name="GU" localSheetId="1">#REF!</definedName>
    <definedName name="GU" localSheetId="2">#REF!</definedName>
    <definedName name="GU" localSheetId="4">#REF!</definedName>
    <definedName name="GU" localSheetId="5">#REF!</definedName>
    <definedName name="GU" localSheetId="15">#REF!</definedName>
    <definedName name="GU" localSheetId="14">#REF!</definedName>
    <definedName name="GU" localSheetId="12">#REF!</definedName>
    <definedName name="GU" localSheetId="13">#REF!</definedName>
    <definedName name="GU" localSheetId="10">#REF!</definedName>
    <definedName name="GU">#REF!</definedName>
    <definedName name="HH" localSheetId="1">#REF!</definedName>
    <definedName name="HH" localSheetId="2">#REF!</definedName>
    <definedName name="HH" localSheetId="4">#REF!</definedName>
    <definedName name="HH" localSheetId="5">#REF!</definedName>
    <definedName name="HH" localSheetId="15">#REF!</definedName>
    <definedName name="HH" localSheetId="14">#REF!</definedName>
    <definedName name="HH" localSheetId="12">#REF!</definedName>
    <definedName name="HH" localSheetId="13">#REF!</definedName>
    <definedName name="HH" localSheetId="10">#REF!</definedName>
    <definedName name="HH">#REF!</definedName>
    <definedName name="HHG_GHTG" localSheetId="1">#REF!</definedName>
    <definedName name="HHG_GHTG" localSheetId="2">#REF!</definedName>
    <definedName name="HHG_GHTG" localSheetId="4">#REF!</definedName>
    <definedName name="HHG_GHTG" localSheetId="5">#REF!</definedName>
    <definedName name="HHG_GHTG" localSheetId="15">#REF!</definedName>
    <definedName name="HHG_GHTG" localSheetId="14">#REF!</definedName>
    <definedName name="HHG_GHTG" localSheetId="12">#REF!</definedName>
    <definedName name="HHG_GHTG" localSheetId="13">#REF!</definedName>
    <definedName name="HHG_GHTG" localSheetId="10">#REF!</definedName>
    <definedName name="HHG_GHTG">#REF!</definedName>
    <definedName name="HOA" localSheetId="1">#REF!</definedName>
    <definedName name="HOA" localSheetId="2">#REF!</definedName>
    <definedName name="HOA" localSheetId="4">#REF!</definedName>
    <definedName name="HOA" localSheetId="5">#REF!</definedName>
    <definedName name="HOA" localSheetId="15">#REF!</definedName>
    <definedName name="HOA" localSheetId="14">#REF!</definedName>
    <definedName name="HOA" localSheetId="12">#REF!</definedName>
    <definedName name="HOA" localSheetId="13">#REF!</definedName>
    <definedName name="HOA" localSheetId="10">#REF!</definedName>
    <definedName name="HOA">#REF!</definedName>
    <definedName name="Hormigon" localSheetId="1">#REF!</definedName>
    <definedName name="Hormigon" localSheetId="2">#REF!</definedName>
    <definedName name="Hormigon" localSheetId="4">#REF!</definedName>
    <definedName name="Hormigon" localSheetId="5">#REF!</definedName>
    <definedName name="Hormigon" localSheetId="15">#REF!</definedName>
    <definedName name="Hormigon" localSheetId="14">#REF!</definedName>
    <definedName name="Hormigon" localSheetId="12">#REF!</definedName>
    <definedName name="Hormigon" localSheetId="13">#REF!</definedName>
    <definedName name="Hormigon" localSheetId="10">#REF!</definedName>
    <definedName name="Hormigon">#REF!</definedName>
    <definedName name="HT" localSheetId="1">#REF!</definedName>
    <definedName name="HT" localSheetId="2">#REF!</definedName>
    <definedName name="HT" localSheetId="4">#REF!</definedName>
    <definedName name="HT" localSheetId="5">#REF!</definedName>
    <definedName name="HT" localSheetId="15">#REF!</definedName>
    <definedName name="HT" localSheetId="14">#REF!</definedName>
    <definedName name="HT" localSheetId="12">#REF!</definedName>
    <definedName name="HT" localSheetId="13">#REF!</definedName>
    <definedName name="HT" localSheetId="10">#REF!</definedName>
    <definedName name="HT">#REF!</definedName>
    <definedName name="HTA" localSheetId="1">#REF!</definedName>
    <definedName name="HTA" localSheetId="2">#REF!</definedName>
    <definedName name="HTA" localSheetId="4">#REF!</definedName>
    <definedName name="HTA" localSheetId="5">#REF!</definedName>
    <definedName name="HTA" localSheetId="15">#REF!</definedName>
    <definedName name="HTA" localSheetId="14">#REF!</definedName>
    <definedName name="HTA" localSheetId="12">#REF!</definedName>
    <definedName name="HTA" localSheetId="13">#REF!</definedName>
    <definedName name="HTA" localSheetId="10">#REF!</definedName>
    <definedName name="HTA">#REF!</definedName>
    <definedName name="I" localSheetId="1">#REF!</definedName>
    <definedName name="I" localSheetId="2">#REF!</definedName>
    <definedName name="I" localSheetId="4">#REF!</definedName>
    <definedName name="I" localSheetId="5">#REF!</definedName>
    <definedName name="I" localSheetId="15">#REF!</definedName>
    <definedName name="I" localSheetId="14">#REF!</definedName>
    <definedName name="I" localSheetId="12">#REF!</definedName>
    <definedName name="I" localSheetId="13">#REF!</definedName>
    <definedName name="I" localSheetId="10">#REF!</definedName>
    <definedName name="I">#REF!</definedName>
    <definedName name="ICNI" localSheetId="1">#REF!</definedName>
    <definedName name="ICNI" localSheetId="2">#REF!</definedName>
    <definedName name="ICNI" localSheetId="4">#REF!</definedName>
    <definedName name="ICNI" localSheetId="5">#REF!</definedName>
    <definedName name="ICNI" localSheetId="15">#REF!</definedName>
    <definedName name="ICNI" localSheetId="14">#REF!</definedName>
    <definedName name="ICNI" localSheetId="12">#REF!</definedName>
    <definedName name="ICNI" localSheetId="13">#REF!</definedName>
    <definedName name="ICNI" localSheetId="10">#REF!</definedName>
    <definedName name="ICNI">#REF!</definedName>
    <definedName name="ILNI" localSheetId="1">#REF!</definedName>
    <definedName name="ILNI" localSheetId="2">#REF!</definedName>
    <definedName name="ILNI" localSheetId="4">#REF!</definedName>
    <definedName name="ILNI" localSheetId="5">#REF!</definedName>
    <definedName name="ILNI" localSheetId="15">#REF!</definedName>
    <definedName name="ILNI" localSheetId="14">#REF!</definedName>
    <definedName name="ILNI" localSheetId="12">#REF!</definedName>
    <definedName name="ILNI" localSheetId="13">#REF!</definedName>
    <definedName name="ILNI" localSheetId="10">#REF!</definedName>
    <definedName name="ILNI">#REF!</definedName>
    <definedName name="imp" localSheetId="1">#REF!</definedName>
    <definedName name="imp" localSheetId="2">#REF!</definedName>
    <definedName name="imp" localSheetId="4">#REF!</definedName>
    <definedName name="imp" localSheetId="5">#REF!</definedName>
    <definedName name="imp" localSheetId="15">#REF!</definedName>
    <definedName name="imp" localSheetId="14">#REF!</definedName>
    <definedName name="imp" localSheetId="12">#REF!</definedName>
    <definedName name="imp" localSheetId="13">#REF!</definedName>
    <definedName name="imp" localSheetId="10">#REF!</definedName>
    <definedName name="imp">#REF!</definedName>
    <definedName name="Imprimir_área_IM" localSheetId="1">#REF!</definedName>
    <definedName name="Imprimir_área_IM" localSheetId="2">#REF!</definedName>
    <definedName name="Imprimir_área_IM" localSheetId="4">#REF!</definedName>
    <definedName name="Imprimir_área_IM" localSheetId="5">#REF!</definedName>
    <definedName name="Imprimir_área_IM" localSheetId="15">#REF!</definedName>
    <definedName name="Imprimir_área_IM" localSheetId="14">#REF!</definedName>
    <definedName name="Imprimir_área_IM" localSheetId="12">#REF!</definedName>
    <definedName name="Imprimir_área_IM" localSheetId="13">#REF!</definedName>
    <definedName name="Imprimir_área_IM" localSheetId="10">#REF!</definedName>
    <definedName name="Imprimir_área_IM">#REF!</definedName>
    <definedName name="Inicio_Consultorias" localSheetId="1">#REF!</definedName>
    <definedName name="Inicio_Consultorias" localSheetId="2">#REF!</definedName>
    <definedName name="Inicio_Consultorias" localSheetId="4">#REF!</definedName>
    <definedName name="Inicio_Consultorias" localSheetId="3">#REF!</definedName>
    <definedName name="Inicio_Consultorias" localSheetId="8">#REF!</definedName>
    <definedName name="Inicio_Consultorias" localSheetId="5">#REF!</definedName>
    <definedName name="Inicio_Consultorias" localSheetId="15">#REF!</definedName>
    <definedName name="Inicio_Consultorias" localSheetId="14">#REF!</definedName>
    <definedName name="Inicio_Consultorias" localSheetId="12">#REF!</definedName>
    <definedName name="Inicio_Consultorias" localSheetId="13">#REF!</definedName>
    <definedName name="Inicio_Consultorias" localSheetId="10">#REF!</definedName>
    <definedName name="Inicio_Consultorias" localSheetId="7">#REF!</definedName>
    <definedName name="Inicio_Consultorias">#REF!</definedName>
    <definedName name="Inicio_Equipamiento" localSheetId="1">#REF!</definedName>
    <definedName name="Inicio_Equipamiento" localSheetId="2">#REF!</definedName>
    <definedName name="Inicio_Equipamiento" localSheetId="4">#REF!</definedName>
    <definedName name="Inicio_Equipamiento" localSheetId="3">#REF!</definedName>
    <definedName name="Inicio_Equipamiento" localSheetId="8">#REF!</definedName>
    <definedName name="Inicio_Equipamiento" localSheetId="5">#REF!</definedName>
    <definedName name="Inicio_Equipamiento" localSheetId="15">#REF!</definedName>
    <definedName name="Inicio_Equipamiento" localSheetId="14">#REF!</definedName>
    <definedName name="Inicio_Equipamiento" localSheetId="12">#REF!</definedName>
    <definedName name="Inicio_Equipamiento" localSheetId="13">#REF!</definedName>
    <definedName name="Inicio_Equipamiento" localSheetId="10">#REF!</definedName>
    <definedName name="Inicio_Equipamiento" localSheetId="7">#REF!</definedName>
    <definedName name="Inicio_Equipamiento">#REF!</definedName>
    <definedName name="Inicio_ManejoResiduos" localSheetId="1">#REF!</definedName>
    <definedName name="Inicio_ManejoResiduos" localSheetId="2">#REF!</definedName>
    <definedName name="Inicio_ManejoResiduos" localSheetId="4">#REF!</definedName>
    <definedName name="Inicio_ManejoResiduos" localSheetId="3">#REF!</definedName>
    <definedName name="Inicio_ManejoResiduos" localSheetId="8">#REF!</definedName>
    <definedName name="Inicio_ManejoResiduos" localSheetId="5">#REF!</definedName>
    <definedName name="Inicio_ManejoResiduos" localSheetId="15">#REF!</definedName>
    <definedName name="Inicio_ManejoResiduos" localSheetId="14">#REF!</definedName>
    <definedName name="Inicio_ManejoResiduos" localSheetId="12">#REF!</definedName>
    <definedName name="Inicio_ManejoResiduos" localSheetId="13">#REF!</definedName>
    <definedName name="Inicio_ManejoResiduos" localSheetId="10">#REF!</definedName>
    <definedName name="Inicio_ManejoResiduos" localSheetId="7">#REF!</definedName>
    <definedName name="Inicio_ManejoResiduos">#REF!</definedName>
    <definedName name="Inicio_Obras" localSheetId="1">#REF!</definedName>
    <definedName name="Inicio_Obras" localSheetId="2">#REF!</definedName>
    <definedName name="Inicio_Obras" localSheetId="4">#REF!</definedName>
    <definedName name="Inicio_Obras" localSheetId="3">#REF!</definedName>
    <definedName name="Inicio_Obras" localSheetId="8">#REF!</definedName>
    <definedName name="Inicio_Obras" localSheetId="5">#REF!</definedName>
    <definedName name="Inicio_Obras" localSheetId="15">#REF!</definedName>
    <definedName name="Inicio_Obras" localSheetId="14">#REF!</definedName>
    <definedName name="Inicio_Obras" localSheetId="12">#REF!</definedName>
    <definedName name="Inicio_Obras" localSheetId="13">#REF!</definedName>
    <definedName name="Inicio_Obras" localSheetId="10">#REF!</definedName>
    <definedName name="Inicio_Obras" localSheetId="7">#REF!</definedName>
    <definedName name="Inicio_Obras">#REF!</definedName>
    <definedName name="INTERMEDIO" localSheetId="1">#REF!</definedName>
    <definedName name="INTERMEDIO" localSheetId="2">#REF!</definedName>
    <definedName name="INTERMEDIO" localSheetId="4">#REF!</definedName>
    <definedName name="INTERMEDIO" localSheetId="5">#REF!</definedName>
    <definedName name="INTERMEDIO" localSheetId="15">#REF!</definedName>
    <definedName name="INTERMEDIO" localSheetId="14">#REF!</definedName>
    <definedName name="INTERMEDIO" localSheetId="12">#REF!</definedName>
    <definedName name="INTERMEDIO" localSheetId="13">#REF!</definedName>
    <definedName name="INTERMEDIO" localSheetId="10">#REF!</definedName>
    <definedName name="INTERMEDIO">#REF!</definedName>
    <definedName name="INTERRUPTORES">'[24]TABLAS '!$C$3:$V$30</definedName>
    <definedName name="J" localSheetId="1">#REF!</definedName>
    <definedName name="J" localSheetId="2">#REF!</definedName>
    <definedName name="J" localSheetId="4">#REF!</definedName>
    <definedName name="J" localSheetId="5">#REF!</definedName>
    <definedName name="J" localSheetId="15">#REF!</definedName>
    <definedName name="J" localSheetId="14">#REF!</definedName>
    <definedName name="J" localSheetId="12">#REF!</definedName>
    <definedName name="J" localSheetId="13">#REF!</definedName>
    <definedName name="J" localSheetId="10">#REF!</definedName>
    <definedName name="J">#REF!</definedName>
    <definedName name="jkjk" localSheetId="1">#REF!</definedName>
    <definedName name="jkjk" localSheetId="2">#REF!</definedName>
    <definedName name="jkjk" localSheetId="4">#REF!</definedName>
    <definedName name="jkjk" localSheetId="5">#REF!</definedName>
    <definedName name="jkjk" localSheetId="15">#REF!</definedName>
    <definedName name="jkjk" localSheetId="14">#REF!</definedName>
    <definedName name="jkjk" localSheetId="12">#REF!</definedName>
    <definedName name="jkjk" localSheetId="13">#REF!</definedName>
    <definedName name="jkjk" localSheetId="10">#REF!</definedName>
    <definedName name="jkjk">#REF!</definedName>
    <definedName name="K" localSheetId="1">#REF!</definedName>
    <definedName name="K" localSheetId="2">#REF!</definedName>
    <definedName name="K" localSheetId="4">#REF!</definedName>
    <definedName name="K" localSheetId="5">#REF!</definedName>
    <definedName name="K" localSheetId="15">#REF!</definedName>
    <definedName name="K" localSheetId="14">#REF!</definedName>
    <definedName name="K" localSheetId="12">#REF!</definedName>
    <definedName name="K" localSheetId="13">#REF!</definedName>
    <definedName name="K" localSheetId="10">#REF!</definedName>
    <definedName name="K">#REF!</definedName>
    <definedName name="klj" localSheetId="1">#REF!</definedName>
    <definedName name="klj" localSheetId="2">#REF!</definedName>
    <definedName name="klj" localSheetId="4">#REF!</definedName>
    <definedName name="klj" localSheetId="5">#REF!</definedName>
    <definedName name="klj" localSheetId="15">#REF!</definedName>
    <definedName name="klj" localSheetId="14">#REF!</definedName>
    <definedName name="klj" localSheetId="12">#REF!</definedName>
    <definedName name="klj" localSheetId="13">#REF!</definedName>
    <definedName name="klj" localSheetId="10">#REF!</definedName>
    <definedName name="klj">#REF!</definedName>
    <definedName name="laca" localSheetId="1">#REF!</definedName>
    <definedName name="laca" localSheetId="2">#REF!</definedName>
    <definedName name="laca" localSheetId="4">#REF!</definedName>
    <definedName name="laca" localSheetId="5">#REF!</definedName>
    <definedName name="laca" localSheetId="15">#REF!</definedName>
    <definedName name="laca" localSheetId="14">#REF!</definedName>
    <definedName name="laca" localSheetId="12">#REF!</definedName>
    <definedName name="laca" localSheetId="13">#REF!</definedName>
    <definedName name="laca" localSheetId="10">#REF!</definedName>
    <definedName name="laca">#REF!</definedName>
    <definedName name="ladrillokk" localSheetId="1">#REF!</definedName>
    <definedName name="ladrillokk" localSheetId="2">#REF!</definedName>
    <definedName name="ladrillokk" localSheetId="4">#REF!</definedName>
    <definedName name="ladrillokk" localSheetId="5">#REF!</definedName>
    <definedName name="ladrillokk" localSheetId="15">#REF!</definedName>
    <definedName name="ladrillokk" localSheetId="14">#REF!</definedName>
    <definedName name="ladrillokk" localSheetId="12">#REF!</definedName>
    <definedName name="ladrillokk" localSheetId="13">#REF!</definedName>
    <definedName name="ladrillokk" localSheetId="10">#REF!</definedName>
    <definedName name="ladrillokk">#REF!</definedName>
    <definedName name="lk" localSheetId="1">#REF!</definedName>
    <definedName name="lk" localSheetId="2">#REF!</definedName>
    <definedName name="lk" localSheetId="4">#REF!</definedName>
    <definedName name="lk" localSheetId="5">#REF!</definedName>
    <definedName name="lk" localSheetId="15">#REF!</definedName>
    <definedName name="lk" localSheetId="14">#REF!</definedName>
    <definedName name="lk" localSheetId="12">#REF!</definedName>
    <definedName name="lk" localSheetId="13">#REF!</definedName>
    <definedName name="lk" localSheetId="10">#REF!</definedName>
    <definedName name="lk">#REF!</definedName>
    <definedName name="LOCALIDAD" localSheetId="1">#REF!</definedName>
    <definedName name="LOCALIDAD" localSheetId="2">#REF!</definedName>
    <definedName name="LOCALIDAD" localSheetId="18">#REF!</definedName>
    <definedName name="LOCALIDAD" localSheetId="4">#REF!</definedName>
    <definedName name="LOCALIDAD" localSheetId="3">#REF!</definedName>
    <definedName name="LOCALIDAD" localSheetId="8">#REF!</definedName>
    <definedName name="LOCALIDAD" localSheetId="5">#REF!</definedName>
    <definedName name="LOCALIDAD" localSheetId="15">#REF!</definedName>
    <definedName name="LOCALIDAD" localSheetId="14">#REF!</definedName>
    <definedName name="LOCALIDAD" localSheetId="12">#REF!</definedName>
    <definedName name="LOCALIDAD" localSheetId="13">#REF!</definedName>
    <definedName name="LOCALIDAD" localSheetId="10">#REF!</definedName>
    <definedName name="LOCALIDAD" localSheetId="7">#REF!</definedName>
    <definedName name="LOCALIDAD">#REF!</definedName>
    <definedName name="lu" localSheetId="1">'[23]Electricidad - Climatización'!#REF!</definedName>
    <definedName name="lu" localSheetId="2">'[23]Electricidad - Climatización'!#REF!</definedName>
    <definedName name="lu" localSheetId="4">'[23]Electricidad - Climatización'!#REF!</definedName>
    <definedName name="lu" localSheetId="5">'[23]Electricidad - Climatización'!#REF!</definedName>
    <definedName name="lu" localSheetId="15">'[23]Electricidad - Climatización'!#REF!</definedName>
    <definedName name="lu" localSheetId="14">'[23]Electricidad - Climatización'!#REF!</definedName>
    <definedName name="lu" localSheetId="12">'[23]Electricidad - Climatización'!#REF!</definedName>
    <definedName name="lu" localSheetId="13">'[23]Electricidad - Climatización'!#REF!</definedName>
    <definedName name="lu" localSheetId="10">'[23]Electricidad - Climatización'!#REF!</definedName>
    <definedName name="lu">'[23]Electricidad - Climatización'!#REF!</definedName>
    <definedName name="M">'[14]Encofrado BVR Unispan'!$C$7</definedName>
    <definedName name="ma" localSheetId="1">'[23]Electricidad - Climatización'!#REF!</definedName>
    <definedName name="ma" localSheetId="2">'[23]Electricidad - Climatización'!#REF!</definedName>
    <definedName name="ma" localSheetId="4">'[23]Electricidad - Climatización'!#REF!</definedName>
    <definedName name="ma" localSheetId="5">'[23]Electricidad - Climatización'!#REF!</definedName>
    <definedName name="ma" localSheetId="15">'[23]Electricidad - Climatización'!#REF!</definedName>
    <definedName name="ma" localSheetId="14">'[23]Electricidad - Climatización'!#REF!</definedName>
    <definedName name="ma" localSheetId="12">'[23]Electricidad - Climatización'!#REF!</definedName>
    <definedName name="ma" localSheetId="13">'[23]Electricidad - Climatización'!#REF!</definedName>
    <definedName name="ma" localSheetId="10">'[23]Electricidad - Climatización'!#REF!</definedName>
    <definedName name="ma">'[23]Electricidad - Climatización'!#REF!</definedName>
    <definedName name="Madera" localSheetId="1">#REF!</definedName>
    <definedName name="Madera" localSheetId="2">#REF!</definedName>
    <definedName name="Madera" localSheetId="4">#REF!</definedName>
    <definedName name="Madera" localSheetId="5">#REF!</definedName>
    <definedName name="Madera" localSheetId="15">#REF!</definedName>
    <definedName name="Madera" localSheetId="14">#REF!</definedName>
    <definedName name="Madera" localSheetId="12">#REF!</definedName>
    <definedName name="Madera" localSheetId="13">#REF!</definedName>
    <definedName name="Madera" localSheetId="10">#REF!</definedName>
    <definedName name="Madera">#REF!</definedName>
    <definedName name="Man_barr_ins1_pm" localSheetId="7">#REF!</definedName>
    <definedName name="Man_barr_ins1_pm">'[17]ANEXO 21 - C.O. BARRIDO'!$H$43</definedName>
    <definedName name="Man_barr_ins1_ps" localSheetId="7">#REF!</definedName>
    <definedName name="Man_barr_ins1_ps">'[17]ANEXO 21 - C.O. BARRIDO'!$K$43</definedName>
    <definedName name="Man_barr_ins2_pm" localSheetId="7">#REF!</definedName>
    <definedName name="Man_barr_ins2_pm">'[17]ANEXO 21 - C.O. BARRIDO'!$S$43</definedName>
    <definedName name="Man_barr_ins2_ps" localSheetId="7">#REF!</definedName>
    <definedName name="Man_barr_ins2_ps">'[17]ANEXO 21 - C.O. BARRIDO'!$V$43</definedName>
    <definedName name="Man_barr_serv1_pm" localSheetId="1">'[17]ANEXO 21 - C.O. BARRIDO'!#REF!</definedName>
    <definedName name="Man_barr_serv1_pm" localSheetId="2">'[17]ANEXO 21 - C.O. BARRIDO'!#REF!</definedName>
    <definedName name="Man_barr_serv1_pm" localSheetId="18">'[17]ANEXO 21 - C.O. BARRIDO'!#REF!</definedName>
    <definedName name="Man_barr_serv1_pm" localSheetId="4">'[17]ANEXO 21 - C.O. BARRIDO'!#REF!</definedName>
    <definedName name="Man_barr_serv1_pm" localSheetId="3">'[17]ANEXO 21 - C.O. BARRIDO'!#REF!</definedName>
    <definedName name="Man_barr_serv1_pm" localSheetId="8">'[17]ANEXO 21 - C.O. BARRIDO'!#REF!</definedName>
    <definedName name="Man_barr_serv1_pm" localSheetId="5">'[17]ANEXO 21 - C.O. BARRIDO'!#REF!</definedName>
    <definedName name="Man_barr_serv1_pm" localSheetId="15">'[17]ANEXO 21 - C.O. BARRIDO'!#REF!</definedName>
    <definedName name="Man_barr_serv1_pm" localSheetId="14">'[17]ANEXO 21 - C.O. BARRIDO'!#REF!</definedName>
    <definedName name="Man_barr_serv1_pm" localSheetId="12">'[17]ANEXO 21 - C.O. BARRIDO'!#REF!</definedName>
    <definedName name="Man_barr_serv1_pm" localSheetId="13">'[17]ANEXO 21 - C.O. BARRIDO'!#REF!</definedName>
    <definedName name="Man_barr_serv1_pm" localSheetId="10">'[17]ANEXO 21 - C.O. BARRIDO'!#REF!</definedName>
    <definedName name="Man_barr_serv1_pm" localSheetId="7">#REF!</definedName>
    <definedName name="Man_barr_serv1_pm">'[17]ANEXO 21 - C.O. BARRIDO'!#REF!</definedName>
    <definedName name="Man_barr_serv1_ps" localSheetId="1">#REF!</definedName>
    <definedName name="Man_barr_serv1_ps" localSheetId="2">#REF!</definedName>
    <definedName name="Man_barr_serv1_ps" localSheetId="18">'[17]ANEXO 21 - C.O. BARRIDO'!#REF!</definedName>
    <definedName name="Man_barr_serv1_ps" localSheetId="4">#REF!</definedName>
    <definedName name="Man_barr_serv1_ps" localSheetId="3">#REF!</definedName>
    <definedName name="Man_barr_serv1_ps" localSheetId="8">#REF!</definedName>
    <definedName name="Man_barr_serv1_ps" localSheetId="5">#REF!</definedName>
    <definedName name="Man_barr_serv1_ps" localSheetId="15">#REF!</definedName>
    <definedName name="Man_barr_serv1_ps" localSheetId="14">#REF!</definedName>
    <definedName name="Man_barr_serv1_ps" localSheetId="12">#REF!</definedName>
    <definedName name="Man_barr_serv1_ps" localSheetId="13">#REF!</definedName>
    <definedName name="Man_barr_serv1_ps" localSheetId="10">#REF!</definedName>
    <definedName name="Man_barr_serv1_ps" localSheetId="7">#REF!</definedName>
    <definedName name="Man_barr_serv1_ps">#REF!</definedName>
    <definedName name="Man_barr_serv2_pm" localSheetId="1">#REF!</definedName>
    <definedName name="Man_barr_serv2_pm" localSheetId="2">#REF!</definedName>
    <definedName name="Man_barr_serv2_pm" localSheetId="18">'[17]ANEXO 21 - C.O. BARRIDO'!#REF!</definedName>
    <definedName name="Man_barr_serv2_pm" localSheetId="4">#REF!</definedName>
    <definedName name="Man_barr_serv2_pm" localSheetId="3">#REF!</definedName>
    <definedName name="Man_barr_serv2_pm" localSheetId="8">#REF!</definedName>
    <definedName name="Man_barr_serv2_pm" localSheetId="5">#REF!</definedName>
    <definedName name="Man_barr_serv2_pm" localSheetId="15">#REF!</definedName>
    <definedName name="Man_barr_serv2_pm" localSheetId="14">#REF!</definedName>
    <definedName name="Man_barr_serv2_pm" localSheetId="12">#REF!</definedName>
    <definedName name="Man_barr_serv2_pm" localSheetId="13">#REF!</definedName>
    <definedName name="Man_barr_serv2_pm" localSheetId="10">#REF!</definedName>
    <definedName name="Man_barr_serv2_pm" localSheetId="7">#REF!</definedName>
    <definedName name="Man_barr_serv2_pm">#REF!</definedName>
    <definedName name="Man_barr_serv2_ps" localSheetId="1">#REF!</definedName>
    <definedName name="Man_barr_serv2_ps" localSheetId="2">#REF!</definedName>
    <definedName name="Man_barr_serv2_ps" localSheetId="18">'[17]ANEXO 21 - C.O. BARRIDO'!#REF!</definedName>
    <definedName name="Man_barr_serv2_ps" localSheetId="4">#REF!</definedName>
    <definedName name="Man_barr_serv2_ps" localSheetId="3">#REF!</definedName>
    <definedName name="Man_barr_serv2_ps" localSheetId="8">#REF!</definedName>
    <definedName name="Man_barr_serv2_ps" localSheetId="5">#REF!</definedName>
    <definedName name="Man_barr_serv2_ps" localSheetId="15">#REF!</definedName>
    <definedName name="Man_barr_serv2_ps" localSheetId="14">#REF!</definedName>
    <definedName name="Man_barr_serv2_ps" localSheetId="12">#REF!</definedName>
    <definedName name="Man_barr_serv2_ps" localSheetId="13">#REF!</definedName>
    <definedName name="Man_barr_serv2_ps" localSheetId="10">#REF!</definedName>
    <definedName name="Man_barr_serv2_ps" localSheetId="7">#REF!</definedName>
    <definedName name="Man_barr_serv2_ps">#REF!</definedName>
    <definedName name="Man_DF_insum1_pm" localSheetId="7">#REF!</definedName>
    <definedName name="Man_DF_insum1_pm">'[17]ANEXO 29 - C.O. DISP FINAL'!$G$60</definedName>
    <definedName name="Man_DF_insum1_ps" localSheetId="7">#REF!</definedName>
    <definedName name="Man_DF_insum1_ps">'[17]ANEXO 29 - C.O. DISP FINAL'!$J$60</definedName>
    <definedName name="Man_DF_insum2_pm" localSheetId="7">#REF!</definedName>
    <definedName name="Man_DF_insum2_pm">'[17]ANEXO 29 - C.O. DISP FINAL'!$R$60</definedName>
    <definedName name="Man_DF_insum2_ps" localSheetId="7">#REF!</definedName>
    <definedName name="Man_DF_insum2_ps">'[17]ANEXO 29 - C.O. DISP FINAL'!$U$60</definedName>
    <definedName name="Man_DF_serv1_pm" localSheetId="7">#REF!</definedName>
    <definedName name="Man_DF_serv1_pm">'[17]ANEXO 29 - C.O. DISP FINAL'!$G$82</definedName>
    <definedName name="Man_DF_serv1_ps" localSheetId="7">#REF!</definedName>
    <definedName name="Man_DF_serv1_ps">'[17]ANEXO 29 - C.O. DISP FINAL'!$J$82</definedName>
    <definedName name="Man_DF_serv2_pm" localSheetId="7">#REF!</definedName>
    <definedName name="Man_DF_serv2_pm">'[17]ANEXO 29 - C.O. DISP FINAL'!$R$82</definedName>
    <definedName name="Man_DF_serv2_ps" localSheetId="7">#REF!</definedName>
    <definedName name="Man_DF_serv2_ps">'[17]ANEXO 29 - C.O. DISP FINAL'!$U$82</definedName>
    <definedName name="Man_reaprov_insum1_pm" localSheetId="7">#REF!</definedName>
    <definedName name="Man_reaprov_insum1_pm">'[17]ANEXO 26 - C.O. REAPROVECHAM'!$G$81</definedName>
    <definedName name="Man_reaprov_insum1_ps" localSheetId="7">#REF!</definedName>
    <definedName name="Man_reaprov_insum1_ps">'[17]ANEXO 26 - C.O. REAPROVECHAM'!$J$81</definedName>
    <definedName name="Man_reaprov_insum2_pm" localSheetId="7">#REF!</definedName>
    <definedName name="Man_reaprov_insum2_pm">'[17]ANEXO 26 - C.O. REAPROVECHAM'!$R$81</definedName>
    <definedName name="Man_reaprov_insum2_ps" localSheetId="7">#REF!</definedName>
    <definedName name="Man_reaprov_insum2_ps">'[17]ANEXO 26 - C.O. REAPROVECHAM'!$U$81</definedName>
    <definedName name="Man_reaprov_serv1_pm" localSheetId="7">#REF!</definedName>
    <definedName name="Man_reaprov_serv1_pm">'[17]ANEXO 26 - C.O. REAPROVECHAM'!$G$86</definedName>
    <definedName name="Man_reaprov_serv1_ps" localSheetId="7">#REF!</definedName>
    <definedName name="Man_reaprov_serv1_ps">'[17]ANEXO 26 - C.O. REAPROVECHAM'!$J$86</definedName>
    <definedName name="Man_reaprov_serv2_pm" localSheetId="7">#REF!</definedName>
    <definedName name="Man_reaprov_serv2_pm">'[17]ANEXO 26 - C.O. REAPROVECHAM'!$R$86</definedName>
    <definedName name="Man_reaprov_serv2_ps" localSheetId="7">#REF!</definedName>
    <definedName name="Man_reaprov_serv2_ps">'[17]ANEXO 26 - C.O. REAPROVECHAM'!$U$86</definedName>
    <definedName name="Man_rec_ins1_pm" localSheetId="7">#REF!</definedName>
    <definedName name="Man_rec_ins1_pm">'[17]ANEXO 23 - C.O. RECOLECCIÓN'!$H$97</definedName>
    <definedName name="Man_rec_ins1_ps" localSheetId="7">#REF!</definedName>
    <definedName name="Man_rec_ins1_ps">'[17]ANEXO 23 - C.O. RECOLECCIÓN'!$K$97</definedName>
    <definedName name="Man_rec_ins2_pm" localSheetId="7">#REF!</definedName>
    <definedName name="Man_rec_ins2_pm">'[17]ANEXO 23 - C.O. RECOLECCIÓN'!$S$97</definedName>
    <definedName name="Man_rec_ins2_ps" localSheetId="7">#REF!</definedName>
    <definedName name="Man_rec_ins2_ps">'[17]ANEXO 23 - C.O. RECOLECCIÓN'!$V$97</definedName>
    <definedName name="Man_rec_serv1_pm" localSheetId="7">#REF!</definedName>
    <definedName name="Man_rec_serv1_pm">'[17]ANEXO 23 - C.O. RECOLECCIÓN'!$H$99</definedName>
    <definedName name="Man_rec_serv1_ps" localSheetId="7">#REF!</definedName>
    <definedName name="Man_rec_serv1_ps">'[17]ANEXO 23 - C.O. RECOLECCIÓN'!$K$99</definedName>
    <definedName name="Man_rec_serv2_pm" localSheetId="7">#REF!</definedName>
    <definedName name="Man_rec_serv2_pm">'[17]ANEXO 23 - C.O. RECOLECCIÓN'!$S$99</definedName>
    <definedName name="Man_rec_serv2_ps" localSheetId="7">#REF!</definedName>
    <definedName name="Man_rec_serv2_ps">'[17]ANEXO 23 - C.O. RECOLECCIÓN'!$V$99</definedName>
    <definedName name="Man_SenPobA_insum_pm">'[17]ANEXO 30 - C.O. SENSIB POB A'!$G$36</definedName>
    <definedName name="Man_SenPobA_insum_ps">'[17]ANEXO 30 - C.O. SENSIB POB A'!$J$36</definedName>
    <definedName name="Man_SenPobA_serv_pm">'[17]ANEXO 30 - C.O. SENSIB POB A'!$G$40</definedName>
    <definedName name="Man_SenPobA_serv_ps">'[17]ANEXO 30 - C.O. SENSIB POB A'!$J$40</definedName>
    <definedName name="Man_SenPobB_insum_pm">'[17]ANEXO 31 - C.O. SENSIB POB B'!$G$36</definedName>
    <definedName name="Man_SenPobB_insum_ps">'[17]ANEXO 31 - C.O. SENSIB POB B'!$J$36</definedName>
    <definedName name="Man_SenPobB_serv_pm">'[17]ANEXO 31 - C.O. SENSIB POB B'!$G$40</definedName>
    <definedName name="Man_SenPobB_serv_ps">'[17]ANEXO 31 - C.O. SENSIB POB B'!$J$40</definedName>
    <definedName name="MARCOSMADERA" localSheetId="1">#REF!</definedName>
    <definedName name="MARCOSMADERA" localSheetId="2">#REF!</definedName>
    <definedName name="MARCOSMADERA" localSheetId="4">#REF!</definedName>
    <definedName name="MARCOSMADERA" localSheetId="5">#REF!</definedName>
    <definedName name="MARCOSMADERA" localSheetId="15">#REF!</definedName>
    <definedName name="MARCOSMADERA" localSheetId="14">#REF!</definedName>
    <definedName name="MARCOSMADERA" localSheetId="12">#REF!</definedName>
    <definedName name="MARCOSMADERA" localSheetId="13">#REF!</definedName>
    <definedName name="MARCOSMADERA" localSheetId="10">#REF!</definedName>
    <definedName name="MARCOSMADERA">#REF!</definedName>
    <definedName name="MARCOSMETALICOS" localSheetId="1">#REF!</definedName>
    <definedName name="MARCOSMETALICOS" localSheetId="2">#REF!</definedName>
    <definedName name="MARCOSMETALICOS" localSheetId="4">#REF!</definedName>
    <definedName name="MARCOSMETALICOS" localSheetId="5">#REF!</definedName>
    <definedName name="MARCOSMETALICOS" localSheetId="15">#REF!</definedName>
    <definedName name="MARCOSMETALICOS" localSheetId="14">#REF!</definedName>
    <definedName name="MARCOSMETALICOS" localSheetId="12">#REF!</definedName>
    <definedName name="MARCOSMETALICOS" localSheetId="13">#REF!</definedName>
    <definedName name="MARCOSMETALICOS" localSheetId="10">#REF!</definedName>
    <definedName name="MARCOSMETALICOS">#REF!</definedName>
    <definedName name="martillo" localSheetId="1">#REF!</definedName>
    <definedName name="martillo" localSheetId="2">#REF!</definedName>
    <definedName name="martillo" localSheetId="4">#REF!</definedName>
    <definedName name="martillo" localSheetId="5">#REF!</definedName>
    <definedName name="martillo" localSheetId="15">#REF!</definedName>
    <definedName name="martillo" localSheetId="14">#REF!</definedName>
    <definedName name="martillo" localSheetId="12">#REF!</definedName>
    <definedName name="martillo" localSheetId="13">#REF!</definedName>
    <definedName name="martillo" localSheetId="10">#REF!</definedName>
    <definedName name="martillo">#REF!</definedName>
    <definedName name="martillohilti" localSheetId="1">#REF!</definedName>
    <definedName name="martillohilti" localSheetId="2">#REF!</definedName>
    <definedName name="martillohilti" localSheetId="4">#REF!</definedName>
    <definedName name="martillohilti" localSheetId="5">#REF!</definedName>
    <definedName name="martillohilti" localSheetId="15">#REF!</definedName>
    <definedName name="martillohilti" localSheetId="14">#REF!</definedName>
    <definedName name="martillohilti" localSheetId="12">#REF!</definedName>
    <definedName name="martillohilti" localSheetId="13">#REF!</definedName>
    <definedName name="martillohilti" localSheetId="10">#REF!</definedName>
    <definedName name="martillohilti">#REF!</definedName>
    <definedName name="MASTER" localSheetId="1">#REF!</definedName>
    <definedName name="MASTER" localSheetId="2">#REF!</definedName>
    <definedName name="MASTER" localSheetId="4">#REF!</definedName>
    <definedName name="MASTER" localSheetId="5">#REF!</definedName>
    <definedName name="MASTER" localSheetId="15">#REF!</definedName>
    <definedName name="MASTER" localSheetId="14">#REF!</definedName>
    <definedName name="MASTER" localSheetId="12">#REF!</definedName>
    <definedName name="MASTER" localSheetId="13">#REF!</definedName>
    <definedName name="MASTER" localSheetId="10">#REF!</definedName>
    <definedName name="MASTER">#REF!</definedName>
    <definedName name="MAT" localSheetId="1">#REF!</definedName>
    <definedName name="MAT" localSheetId="2">#REF!</definedName>
    <definedName name="MAT" localSheetId="4">#REF!</definedName>
    <definedName name="MAT" localSheetId="5">#REF!</definedName>
    <definedName name="MAT" localSheetId="15">#REF!</definedName>
    <definedName name="MAT" localSheetId="14">#REF!</definedName>
    <definedName name="MAT" localSheetId="12">#REF!</definedName>
    <definedName name="MAT" localSheetId="13">#REF!</definedName>
    <definedName name="MAT" localSheetId="10">#REF!</definedName>
    <definedName name="MAT">#REF!</definedName>
    <definedName name="mater" localSheetId="1">#REF!</definedName>
    <definedName name="mater" localSheetId="2">#REF!</definedName>
    <definedName name="mater" localSheetId="4">#REF!</definedName>
    <definedName name="mater" localSheetId="5">#REF!</definedName>
    <definedName name="mater" localSheetId="15">#REF!</definedName>
    <definedName name="mater" localSheetId="14">#REF!</definedName>
    <definedName name="mater" localSheetId="12">#REF!</definedName>
    <definedName name="mater" localSheetId="13">#REF!</definedName>
    <definedName name="mater" localSheetId="10">#REF!</definedName>
    <definedName name="mater">#REF!</definedName>
    <definedName name="mater1" localSheetId="1">#REF!</definedName>
    <definedName name="mater1" localSheetId="2">#REF!</definedName>
    <definedName name="mater1" localSheetId="4">#REF!</definedName>
    <definedName name="mater1" localSheetId="5">#REF!</definedName>
    <definedName name="mater1" localSheetId="15">#REF!</definedName>
    <definedName name="mater1" localSheetId="14">#REF!</definedName>
    <definedName name="mater1" localSheetId="12">#REF!</definedName>
    <definedName name="mater1" localSheetId="13">#REF!</definedName>
    <definedName name="mater1" localSheetId="10">#REF!</definedName>
    <definedName name="mater1">#REF!</definedName>
    <definedName name="MDC" localSheetId="1">#REF!</definedName>
    <definedName name="MDC" localSheetId="2">#REF!</definedName>
    <definedName name="MDC" localSheetId="4">#REF!</definedName>
    <definedName name="MDC" localSheetId="5">#REF!</definedName>
    <definedName name="MDC" localSheetId="15">#REF!</definedName>
    <definedName name="MDC" localSheetId="14">#REF!</definedName>
    <definedName name="MDC" localSheetId="12">#REF!</definedName>
    <definedName name="MDC" localSheetId="13">#REF!</definedName>
    <definedName name="MDC" localSheetId="10">#REF!</definedName>
    <definedName name="MDC">#REF!</definedName>
    <definedName name="MDDH" localSheetId="1">#REF!</definedName>
    <definedName name="MDDH" localSheetId="2">#REF!</definedName>
    <definedName name="MDDH" localSheetId="4">#REF!</definedName>
    <definedName name="MDDH" localSheetId="5">#REF!</definedName>
    <definedName name="MDDH" localSheetId="15">#REF!</definedName>
    <definedName name="MDDH" localSheetId="14">#REF!</definedName>
    <definedName name="MDDH" localSheetId="12">#REF!</definedName>
    <definedName name="MDDH" localSheetId="13">#REF!</definedName>
    <definedName name="MDDH" localSheetId="10">#REF!</definedName>
    <definedName name="MDDH">#REF!</definedName>
    <definedName name="MDM" localSheetId="1">#REF!</definedName>
    <definedName name="MDM" localSheetId="2">#REF!</definedName>
    <definedName name="MDM" localSheetId="4">#REF!</definedName>
    <definedName name="MDM" localSheetId="5">#REF!</definedName>
    <definedName name="MDM" localSheetId="15">#REF!</definedName>
    <definedName name="MDM" localSheetId="14">#REF!</definedName>
    <definedName name="MDM" localSheetId="12">#REF!</definedName>
    <definedName name="MDM" localSheetId="13">#REF!</definedName>
    <definedName name="MDM" localSheetId="10">#REF!</definedName>
    <definedName name="MDM">#REF!</definedName>
    <definedName name="Mes" localSheetId="1">#REF!</definedName>
    <definedName name="Mes" localSheetId="2">#REF!</definedName>
    <definedName name="Mes" localSheetId="4">#REF!</definedName>
    <definedName name="Mes" localSheetId="5">#REF!</definedName>
    <definedName name="Mes" localSheetId="15">#REF!</definedName>
    <definedName name="Mes" localSheetId="14">#REF!</definedName>
    <definedName name="Mes" localSheetId="12">#REF!</definedName>
    <definedName name="Mes" localSheetId="13">#REF!</definedName>
    <definedName name="Mes" localSheetId="10">#REF!</definedName>
    <definedName name="Mes">#REF!</definedName>
    <definedName name="mezcladora" localSheetId="1">#REF!</definedName>
    <definedName name="mezcladora" localSheetId="2">#REF!</definedName>
    <definedName name="mezcladora" localSheetId="4">#REF!</definedName>
    <definedName name="mezcladora" localSheetId="5">#REF!</definedName>
    <definedName name="mezcladora" localSheetId="15">#REF!</definedName>
    <definedName name="mezcladora" localSheetId="14">#REF!</definedName>
    <definedName name="mezcladora" localSheetId="12">#REF!</definedName>
    <definedName name="mezcladora" localSheetId="13">#REF!</definedName>
    <definedName name="mezcladora" localSheetId="10">#REF!</definedName>
    <definedName name="mezcladora">#REF!</definedName>
    <definedName name="MGG" localSheetId="1">#REF!</definedName>
    <definedName name="MGG" localSheetId="2">#REF!</definedName>
    <definedName name="MGG" localSheetId="4">#REF!</definedName>
    <definedName name="MGG" localSheetId="5">#REF!</definedName>
    <definedName name="MGG" localSheetId="15">#REF!</definedName>
    <definedName name="MGG" localSheetId="14">#REF!</definedName>
    <definedName name="MGG" localSheetId="12">#REF!</definedName>
    <definedName name="MGG" localSheetId="13">#REF!</definedName>
    <definedName name="MGG" localSheetId="10">#REF!</definedName>
    <definedName name="MGG">#REF!</definedName>
    <definedName name="MIT" localSheetId="1">#REF!</definedName>
    <definedName name="MIT" localSheetId="2">#REF!</definedName>
    <definedName name="MIT" localSheetId="4">#REF!</definedName>
    <definedName name="MIT" localSheetId="5">#REF!</definedName>
    <definedName name="MIT" localSheetId="15">#REF!</definedName>
    <definedName name="MIT" localSheetId="14">#REF!</definedName>
    <definedName name="MIT" localSheetId="12">#REF!</definedName>
    <definedName name="MIT" localSheetId="13">#REF!</definedName>
    <definedName name="MIT" localSheetId="10">#REF!</definedName>
    <definedName name="MIT">#REF!</definedName>
    <definedName name="MN" localSheetId="1">#REF!</definedName>
    <definedName name="MN" localSheetId="2">#REF!</definedName>
    <definedName name="MN" localSheetId="4">#REF!</definedName>
    <definedName name="MN" localSheetId="5">#REF!</definedName>
    <definedName name="MN" localSheetId="15">#REF!</definedName>
    <definedName name="MN" localSheetId="14">#REF!</definedName>
    <definedName name="MN" localSheetId="12">#REF!</definedName>
    <definedName name="MN" localSheetId="13">#REF!</definedName>
    <definedName name="MN" localSheetId="10">#REF!</definedName>
    <definedName name="MN">#REF!</definedName>
    <definedName name="MNI" localSheetId="1">#REF!</definedName>
    <definedName name="MNI" localSheetId="2">#REF!</definedName>
    <definedName name="MNI" localSheetId="4">#REF!</definedName>
    <definedName name="MNI" localSheetId="5">#REF!</definedName>
    <definedName name="MNI" localSheetId="15">#REF!</definedName>
    <definedName name="MNI" localSheetId="14">#REF!</definedName>
    <definedName name="MNI" localSheetId="12">#REF!</definedName>
    <definedName name="MNI" localSheetId="13">#REF!</definedName>
    <definedName name="MNI" localSheetId="10">#REF!</definedName>
    <definedName name="MNI">#REF!</definedName>
    <definedName name="MOBRA" localSheetId="1">#REF!</definedName>
    <definedName name="MOBRA" localSheetId="2">#REF!</definedName>
    <definedName name="MOBRA" localSheetId="4">#REF!</definedName>
    <definedName name="MOBRA" localSheetId="5">#REF!</definedName>
    <definedName name="MOBRA" localSheetId="15">#REF!</definedName>
    <definedName name="MOBRA" localSheetId="14">#REF!</definedName>
    <definedName name="MOBRA" localSheetId="12">#REF!</definedName>
    <definedName name="MOBRA" localSheetId="13">#REF!</definedName>
    <definedName name="MOBRA" localSheetId="10">#REF!</definedName>
    <definedName name="MOBRA">#REF!</definedName>
    <definedName name="morosidad" localSheetId="1">#REF!</definedName>
    <definedName name="morosidad" localSheetId="2">#REF!</definedName>
    <definedName name="morosidad" localSheetId="4">#REF!</definedName>
    <definedName name="morosidad" localSheetId="3">#REF!</definedName>
    <definedName name="morosidad" localSheetId="8">#REF!</definedName>
    <definedName name="morosidad" localSheetId="5">#REF!</definedName>
    <definedName name="morosidad" localSheetId="15">#REF!</definedName>
    <definedName name="morosidad" localSheetId="14">#REF!</definedName>
    <definedName name="morosidad" localSheetId="12">#REF!</definedName>
    <definedName name="morosidad" localSheetId="13">#REF!</definedName>
    <definedName name="morosidad" localSheetId="10">#REF!</definedName>
    <definedName name="morosidad" localSheetId="7">#REF!</definedName>
    <definedName name="morosidad">#REF!</definedName>
    <definedName name="Movilización" localSheetId="1">'[22]02 Movilización'!#REF!</definedName>
    <definedName name="Movilización" localSheetId="2">'[22]02 Movilización'!#REF!</definedName>
    <definedName name="Movilización" localSheetId="4">'[22]02 Movilización'!#REF!</definedName>
    <definedName name="Movilización" localSheetId="5">'[22]02 Movilización'!#REF!</definedName>
    <definedName name="Movilización" localSheetId="15">'[22]02 Movilización'!#REF!</definedName>
    <definedName name="Movilización" localSheetId="14">'[22]02 Movilización'!#REF!</definedName>
    <definedName name="Movilización" localSheetId="12">'[22]02 Movilización'!#REF!</definedName>
    <definedName name="Movilización" localSheetId="13">'[22]02 Movilización'!#REF!</definedName>
    <definedName name="Movilización" localSheetId="10">'[22]02 Movilización'!#REF!</definedName>
    <definedName name="Movilización">'[22]02 Movilización'!#REF!</definedName>
    <definedName name="N" localSheetId="1">#REF!</definedName>
    <definedName name="N" localSheetId="2">#REF!</definedName>
    <definedName name="N" localSheetId="4">#REF!</definedName>
    <definedName name="N" localSheetId="5">#REF!</definedName>
    <definedName name="N" localSheetId="15">#REF!</definedName>
    <definedName name="N" localSheetId="14">#REF!</definedName>
    <definedName name="N" localSheetId="12">#REF!</definedName>
    <definedName name="N" localSheetId="13">#REF!</definedName>
    <definedName name="N" localSheetId="10">#REF!</definedName>
    <definedName name="N">#REF!</definedName>
    <definedName name="Nivel" localSheetId="1">#REF!</definedName>
    <definedName name="Nivel" localSheetId="2">#REF!</definedName>
    <definedName name="Nivel" localSheetId="4">#REF!</definedName>
    <definedName name="Nivel" localSheetId="5">#REF!</definedName>
    <definedName name="Nivel" localSheetId="15">#REF!</definedName>
    <definedName name="Nivel" localSheetId="14">#REF!</definedName>
    <definedName name="Nivel" localSheetId="12">#REF!</definedName>
    <definedName name="Nivel" localSheetId="13">#REF!</definedName>
    <definedName name="Nivel" localSheetId="10">#REF!</definedName>
    <definedName name="Nivel">#REF!</definedName>
    <definedName name="Obra_DF_1_pm" localSheetId="1">#REF!</definedName>
    <definedName name="Obra_DF_1_pm" localSheetId="2">#REF!</definedName>
    <definedName name="Obra_DF_1_pm" localSheetId="4">#REF!</definedName>
    <definedName name="Obra_DF_1_pm" localSheetId="3">#REF!</definedName>
    <definedName name="Obra_DF_1_pm" localSheetId="8">#REF!</definedName>
    <definedName name="Obra_DF_1_pm" localSheetId="5">#REF!</definedName>
    <definedName name="Obra_DF_1_pm" localSheetId="15">#REF!</definedName>
    <definedName name="Obra_DF_1_pm" localSheetId="14">#REF!</definedName>
    <definedName name="Obra_DF_1_pm" localSheetId="12">#REF!</definedName>
    <definedName name="Obra_DF_1_pm" localSheetId="13">#REF!</definedName>
    <definedName name="Obra_DF_1_pm" localSheetId="10">#REF!</definedName>
    <definedName name="Obra_DF_1_pm" localSheetId="7">#REF!</definedName>
    <definedName name="Obra_DF_1_pm">#REF!</definedName>
    <definedName name="Obra_DF_1_ps" localSheetId="1">#REF!</definedName>
    <definedName name="Obra_DF_1_ps" localSheetId="2">#REF!</definedName>
    <definedName name="Obra_DF_1_ps" localSheetId="4">#REF!</definedName>
    <definedName name="Obra_DF_1_ps" localSheetId="3">#REF!</definedName>
    <definedName name="Obra_DF_1_ps" localSheetId="8">#REF!</definedName>
    <definedName name="Obra_DF_1_ps" localSheetId="5">#REF!</definedName>
    <definedName name="Obra_DF_1_ps" localSheetId="15">#REF!</definedName>
    <definedName name="Obra_DF_1_ps" localSheetId="14">#REF!</definedName>
    <definedName name="Obra_DF_1_ps" localSheetId="12">#REF!</definedName>
    <definedName name="Obra_DF_1_ps" localSheetId="13">#REF!</definedName>
    <definedName name="Obra_DF_1_ps" localSheetId="10">#REF!</definedName>
    <definedName name="Obra_DF_1_ps" localSheetId="7">#REF!</definedName>
    <definedName name="Obra_DF_1_ps">#REF!</definedName>
    <definedName name="Obra_DF_2_pm" localSheetId="1">#REF!</definedName>
    <definedName name="Obra_DF_2_pm" localSheetId="2">#REF!</definedName>
    <definedName name="Obra_DF_2_pm" localSheetId="4">#REF!</definedName>
    <definedName name="Obra_DF_2_pm" localSheetId="3">#REF!</definedName>
    <definedName name="Obra_DF_2_pm" localSheetId="8">#REF!</definedName>
    <definedName name="Obra_DF_2_pm" localSheetId="5">#REF!</definedName>
    <definedName name="Obra_DF_2_pm" localSheetId="15">#REF!</definedName>
    <definedName name="Obra_DF_2_pm" localSheetId="14">#REF!</definedName>
    <definedName name="Obra_DF_2_pm" localSheetId="12">#REF!</definedName>
    <definedName name="Obra_DF_2_pm" localSheetId="13">#REF!</definedName>
    <definedName name="Obra_DF_2_pm" localSheetId="10">#REF!</definedName>
    <definedName name="Obra_DF_2_pm" localSheetId="7">#REF!</definedName>
    <definedName name="Obra_DF_2_pm">#REF!</definedName>
    <definedName name="Obra_DF_2_ps" localSheetId="1">#REF!</definedName>
    <definedName name="Obra_DF_2_ps" localSheetId="2">#REF!</definedName>
    <definedName name="Obra_DF_2_ps" localSheetId="4">#REF!</definedName>
    <definedName name="Obra_DF_2_ps" localSheetId="3">#REF!</definedName>
    <definedName name="Obra_DF_2_ps" localSheetId="8">#REF!</definedName>
    <definedName name="Obra_DF_2_ps" localSheetId="5">#REF!</definedName>
    <definedName name="Obra_DF_2_ps" localSheetId="15">#REF!</definedName>
    <definedName name="Obra_DF_2_ps" localSheetId="14">#REF!</definedName>
    <definedName name="Obra_DF_2_ps" localSheetId="12">#REF!</definedName>
    <definedName name="Obra_DF_2_ps" localSheetId="13">#REF!</definedName>
    <definedName name="Obra_DF_2_ps" localSheetId="10">#REF!</definedName>
    <definedName name="Obra_DF_2_ps" localSheetId="7">#REF!</definedName>
    <definedName name="Obra_DF_2_ps">#REF!</definedName>
    <definedName name="Obra_inorg_1_pm" localSheetId="1">#REF!</definedName>
    <definedName name="Obra_inorg_1_pm" localSheetId="2">#REF!</definedName>
    <definedName name="Obra_inorg_1_pm" localSheetId="4">#REF!</definedName>
    <definedName name="Obra_inorg_1_pm" localSheetId="3">#REF!</definedName>
    <definedName name="Obra_inorg_1_pm" localSheetId="8">#REF!</definedName>
    <definedName name="Obra_inorg_1_pm" localSheetId="5">#REF!</definedName>
    <definedName name="Obra_inorg_1_pm" localSheetId="15">#REF!</definedName>
    <definedName name="Obra_inorg_1_pm" localSheetId="14">#REF!</definedName>
    <definedName name="Obra_inorg_1_pm" localSheetId="12">#REF!</definedName>
    <definedName name="Obra_inorg_1_pm" localSheetId="13">#REF!</definedName>
    <definedName name="Obra_inorg_1_pm" localSheetId="10">#REF!</definedName>
    <definedName name="Obra_inorg_1_pm" localSheetId="7">#REF!</definedName>
    <definedName name="Obra_inorg_1_pm">#REF!</definedName>
    <definedName name="Obra_inorg_1_ps" localSheetId="1">#REF!</definedName>
    <definedName name="Obra_inorg_1_ps" localSheetId="2">#REF!</definedName>
    <definedName name="Obra_inorg_1_ps" localSheetId="18">#REF!</definedName>
    <definedName name="Obra_inorg_1_ps" localSheetId="4">#REF!</definedName>
    <definedName name="Obra_inorg_1_ps" localSheetId="3">#REF!</definedName>
    <definedName name="Obra_inorg_1_ps" localSheetId="8">#REF!</definedName>
    <definedName name="Obra_inorg_1_ps" localSheetId="5">#REF!</definedName>
    <definedName name="Obra_inorg_1_ps" localSheetId="15">#REF!</definedName>
    <definedName name="Obra_inorg_1_ps" localSheetId="14">#REF!</definedName>
    <definedName name="Obra_inorg_1_ps" localSheetId="12">#REF!</definedName>
    <definedName name="Obra_inorg_1_ps" localSheetId="13">#REF!</definedName>
    <definedName name="Obra_inorg_1_ps" localSheetId="10">#REF!</definedName>
    <definedName name="Obra_inorg_1_ps" localSheetId="7">#REF!</definedName>
    <definedName name="Obra_inorg_1_ps">#REF!</definedName>
    <definedName name="Obra_inorg_2_pm" localSheetId="1">#REF!</definedName>
    <definedName name="Obra_inorg_2_pm" localSheetId="2">#REF!</definedName>
    <definedName name="Obra_inorg_2_pm" localSheetId="4">#REF!</definedName>
    <definedName name="Obra_inorg_2_pm" localSheetId="3">#REF!</definedName>
    <definedName name="Obra_inorg_2_pm" localSheetId="8">#REF!</definedName>
    <definedName name="Obra_inorg_2_pm" localSheetId="5">#REF!</definedName>
    <definedName name="Obra_inorg_2_pm" localSheetId="15">#REF!</definedName>
    <definedName name="Obra_inorg_2_pm" localSheetId="14">#REF!</definedName>
    <definedName name="Obra_inorg_2_pm" localSheetId="12">#REF!</definedName>
    <definedName name="Obra_inorg_2_pm" localSheetId="13">#REF!</definedName>
    <definedName name="Obra_inorg_2_pm" localSheetId="10">#REF!</definedName>
    <definedName name="Obra_inorg_2_pm" localSheetId="7">#REF!</definedName>
    <definedName name="Obra_inorg_2_pm">#REF!</definedName>
    <definedName name="Obra_inorg_2_ps" localSheetId="1">#REF!</definedName>
    <definedName name="Obra_inorg_2_ps" localSheetId="2">#REF!</definedName>
    <definedName name="Obra_inorg_2_ps" localSheetId="4">#REF!</definedName>
    <definedName name="Obra_inorg_2_ps" localSheetId="3">#REF!</definedName>
    <definedName name="Obra_inorg_2_ps" localSheetId="8">#REF!</definedName>
    <definedName name="Obra_inorg_2_ps" localSheetId="5">#REF!</definedName>
    <definedName name="Obra_inorg_2_ps" localSheetId="15">#REF!</definedName>
    <definedName name="Obra_inorg_2_ps" localSheetId="14">#REF!</definedName>
    <definedName name="Obra_inorg_2_ps" localSheetId="12">#REF!</definedName>
    <definedName name="Obra_inorg_2_ps" localSheetId="13">#REF!</definedName>
    <definedName name="Obra_inorg_2_ps" localSheetId="10">#REF!</definedName>
    <definedName name="Obra_inorg_2_ps" localSheetId="7">#REF!</definedName>
    <definedName name="Obra_inorg_2_ps">#REF!</definedName>
    <definedName name="Obra_organ_1_pm" localSheetId="1">#REF!</definedName>
    <definedName name="Obra_organ_1_pm" localSheetId="2">#REF!</definedName>
    <definedName name="Obra_organ_1_pm" localSheetId="4">#REF!</definedName>
    <definedName name="Obra_organ_1_pm" localSheetId="3">#REF!</definedName>
    <definedName name="Obra_organ_1_pm" localSheetId="8">#REF!</definedName>
    <definedName name="Obra_organ_1_pm" localSheetId="5">#REF!</definedName>
    <definedName name="Obra_organ_1_pm" localSheetId="15">#REF!</definedName>
    <definedName name="Obra_organ_1_pm" localSheetId="14">#REF!</definedName>
    <definedName name="Obra_organ_1_pm" localSheetId="12">#REF!</definedName>
    <definedName name="Obra_organ_1_pm" localSheetId="13">#REF!</definedName>
    <definedName name="Obra_organ_1_pm" localSheetId="10">#REF!</definedName>
    <definedName name="Obra_organ_1_pm" localSheetId="7">#REF!</definedName>
    <definedName name="Obra_organ_1_pm">#REF!</definedName>
    <definedName name="Obra_organ_1_ps" localSheetId="1">#REF!</definedName>
    <definedName name="Obra_organ_1_ps" localSheetId="2">#REF!</definedName>
    <definedName name="Obra_organ_1_ps" localSheetId="18">#REF!</definedName>
    <definedName name="Obra_organ_1_ps" localSheetId="4">#REF!</definedName>
    <definedName name="Obra_organ_1_ps" localSheetId="3">#REF!</definedName>
    <definedName name="Obra_organ_1_ps" localSheetId="8">#REF!</definedName>
    <definedName name="Obra_organ_1_ps" localSheetId="5">#REF!</definedName>
    <definedName name="Obra_organ_1_ps" localSheetId="15">#REF!</definedName>
    <definedName name="Obra_organ_1_ps" localSheetId="14">#REF!</definedName>
    <definedName name="Obra_organ_1_ps" localSheetId="12">#REF!</definedName>
    <definedName name="Obra_organ_1_ps" localSheetId="13">#REF!</definedName>
    <definedName name="Obra_organ_1_ps" localSheetId="10">#REF!</definedName>
    <definedName name="Obra_organ_1_ps" localSheetId="7">#REF!</definedName>
    <definedName name="Obra_organ_1_ps">#REF!</definedName>
    <definedName name="Obra_organ_2_pm" localSheetId="1">#REF!</definedName>
    <definedName name="Obra_organ_2_pm" localSheetId="2">#REF!</definedName>
    <definedName name="Obra_organ_2_pm" localSheetId="4">#REF!</definedName>
    <definedName name="Obra_organ_2_pm" localSheetId="3">#REF!</definedName>
    <definedName name="Obra_organ_2_pm" localSheetId="8">#REF!</definedName>
    <definedName name="Obra_organ_2_pm" localSheetId="5">#REF!</definedName>
    <definedName name="Obra_organ_2_pm" localSheetId="15">#REF!</definedName>
    <definedName name="Obra_organ_2_pm" localSheetId="14">#REF!</definedName>
    <definedName name="Obra_organ_2_pm" localSheetId="12">#REF!</definedName>
    <definedName name="Obra_organ_2_pm" localSheetId="13">#REF!</definedName>
    <definedName name="Obra_organ_2_pm" localSheetId="10">#REF!</definedName>
    <definedName name="Obra_organ_2_pm" localSheetId="7">#REF!</definedName>
    <definedName name="Obra_organ_2_pm">#REF!</definedName>
    <definedName name="Obra_organ_2_ps" localSheetId="1">#REF!</definedName>
    <definedName name="Obra_organ_2_ps" localSheetId="2">#REF!</definedName>
    <definedName name="Obra_organ_2_ps" localSheetId="4">#REF!</definedName>
    <definedName name="Obra_organ_2_ps" localSheetId="3">#REF!</definedName>
    <definedName name="Obra_organ_2_ps" localSheetId="8">#REF!</definedName>
    <definedName name="Obra_organ_2_ps" localSheetId="5">#REF!</definedName>
    <definedName name="Obra_organ_2_ps" localSheetId="15">#REF!</definedName>
    <definedName name="Obra_organ_2_ps" localSheetId="14">#REF!</definedName>
    <definedName name="Obra_organ_2_ps" localSheetId="12">#REF!</definedName>
    <definedName name="Obra_organ_2_ps" localSheetId="13">#REF!</definedName>
    <definedName name="Obra_organ_2_ps" localSheetId="10">#REF!</definedName>
    <definedName name="Obra_organ_2_ps" localSheetId="7">#REF!</definedName>
    <definedName name="Obra_organ_2_ps">#REF!</definedName>
    <definedName name="Obra_reaprov_1_pm" localSheetId="1">#REF!</definedName>
    <definedName name="Obra_reaprov_1_pm" localSheetId="2">#REF!</definedName>
    <definedName name="Obra_reaprov_1_pm" localSheetId="4">#REF!</definedName>
    <definedName name="Obra_reaprov_1_pm" localSheetId="3">#REF!</definedName>
    <definedName name="Obra_reaprov_1_pm" localSheetId="8">#REF!</definedName>
    <definedName name="Obra_reaprov_1_pm" localSheetId="5">#REF!</definedName>
    <definedName name="Obra_reaprov_1_pm" localSheetId="15">#REF!</definedName>
    <definedName name="Obra_reaprov_1_pm" localSheetId="14">#REF!</definedName>
    <definedName name="Obra_reaprov_1_pm" localSheetId="12">#REF!</definedName>
    <definedName name="Obra_reaprov_1_pm" localSheetId="13">#REF!</definedName>
    <definedName name="Obra_reaprov_1_pm" localSheetId="10">#REF!</definedName>
    <definedName name="Obra_reaprov_1_pm" localSheetId="7">#REF!</definedName>
    <definedName name="Obra_reaprov_1_pm">#REF!</definedName>
    <definedName name="Obra_reaprov_1_ps" localSheetId="1">#REF!</definedName>
    <definedName name="Obra_reaprov_1_ps" localSheetId="2">#REF!</definedName>
    <definedName name="Obra_reaprov_1_ps" localSheetId="4">#REF!</definedName>
    <definedName name="Obra_reaprov_1_ps" localSheetId="3">#REF!</definedName>
    <definedName name="Obra_reaprov_1_ps" localSheetId="8">#REF!</definedName>
    <definedName name="Obra_reaprov_1_ps" localSheetId="5">#REF!</definedName>
    <definedName name="Obra_reaprov_1_ps" localSheetId="15">#REF!</definedName>
    <definedName name="Obra_reaprov_1_ps" localSheetId="14">#REF!</definedName>
    <definedName name="Obra_reaprov_1_ps" localSheetId="12">#REF!</definedName>
    <definedName name="Obra_reaprov_1_ps" localSheetId="13">#REF!</definedName>
    <definedName name="Obra_reaprov_1_ps" localSheetId="10">#REF!</definedName>
    <definedName name="Obra_reaprov_1_ps" localSheetId="7">#REF!</definedName>
    <definedName name="Obra_reaprov_1_ps">#REF!</definedName>
    <definedName name="Obra_reaprov_2_pm" localSheetId="1">#REF!</definedName>
    <definedName name="Obra_reaprov_2_pm" localSheetId="2">#REF!</definedName>
    <definedName name="Obra_reaprov_2_pm" localSheetId="4">#REF!</definedName>
    <definedName name="Obra_reaprov_2_pm" localSheetId="3">#REF!</definedName>
    <definedName name="Obra_reaprov_2_pm" localSheetId="8">#REF!</definedName>
    <definedName name="Obra_reaprov_2_pm" localSheetId="5">#REF!</definedName>
    <definedName name="Obra_reaprov_2_pm" localSheetId="15">#REF!</definedName>
    <definedName name="Obra_reaprov_2_pm" localSheetId="14">#REF!</definedName>
    <definedName name="Obra_reaprov_2_pm" localSheetId="12">#REF!</definedName>
    <definedName name="Obra_reaprov_2_pm" localSheetId="13">#REF!</definedName>
    <definedName name="Obra_reaprov_2_pm" localSheetId="10">#REF!</definedName>
    <definedName name="Obra_reaprov_2_pm" localSheetId="7">#REF!</definedName>
    <definedName name="Obra_reaprov_2_pm">#REF!</definedName>
    <definedName name="Obra_reaprov_2_ps" localSheetId="1">#REF!</definedName>
    <definedName name="Obra_reaprov_2_ps" localSheetId="2">#REF!</definedName>
    <definedName name="Obra_reaprov_2_ps" localSheetId="4">#REF!</definedName>
    <definedName name="Obra_reaprov_2_ps" localSheetId="3">#REF!</definedName>
    <definedName name="Obra_reaprov_2_ps" localSheetId="8">#REF!</definedName>
    <definedName name="Obra_reaprov_2_ps" localSheetId="5">#REF!</definedName>
    <definedName name="Obra_reaprov_2_ps" localSheetId="15">#REF!</definedName>
    <definedName name="Obra_reaprov_2_ps" localSheetId="14">#REF!</definedName>
    <definedName name="Obra_reaprov_2_ps" localSheetId="12">#REF!</definedName>
    <definedName name="Obra_reaprov_2_ps" localSheetId="13">#REF!</definedName>
    <definedName name="Obra_reaprov_2_ps" localSheetId="10">#REF!</definedName>
    <definedName name="Obra_reaprov_2_ps" localSheetId="7">#REF!</definedName>
    <definedName name="Obra_reaprov_2_ps">#REF!</definedName>
    <definedName name="Of" localSheetId="1">#REF!</definedName>
    <definedName name="Of" localSheetId="2">#REF!</definedName>
    <definedName name="Of" localSheetId="4">#REF!</definedName>
    <definedName name="Of" localSheetId="5">#REF!</definedName>
    <definedName name="Of" localSheetId="15">#REF!</definedName>
    <definedName name="Of" localSheetId="14">#REF!</definedName>
    <definedName name="Of" localSheetId="12">#REF!</definedName>
    <definedName name="Of" localSheetId="13">#REF!</definedName>
    <definedName name="Of" localSheetId="10">#REF!</definedName>
    <definedName name="Of">#REF!</definedName>
    <definedName name="Op" localSheetId="1">#REF!</definedName>
    <definedName name="Op" localSheetId="2">#REF!</definedName>
    <definedName name="Op" localSheetId="4">#REF!</definedName>
    <definedName name="Op" localSheetId="5">#REF!</definedName>
    <definedName name="Op" localSheetId="15">#REF!</definedName>
    <definedName name="Op" localSheetId="14">#REF!</definedName>
    <definedName name="Op" localSheetId="12">#REF!</definedName>
    <definedName name="Op" localSheetId="13">#REF!</definedName>
    <definedName name="Op" localSheetId="10">#REF!</definedName>
    <definedName name="Op">#REF!</definedName>
    <definedName name="Op_barr_combus1_pm" localSheetId="7">#REF!</definedName>
    <definedName name="Op_barr_combus1_pm">'[17]ANEXO 21 - C.O. BARRIDO'!$H$40</definedName>
    <definedName name="Op_barr_combus1_ps" localSheetId="7">#REF!</definedName>
    <definedName name="Op_barr_combus1_ps">'[17]ANEXO 21 - C.O. BARRIDO'!$K$40</definedName>
    <definedName name="Op_barr_combus2_pm" localSheetId="7">#REF!</definedName>
    <definedName name="Op_barr_combus2_pm">'[17]ANEXO 21 - C.O. BARRIDO'!$S$40</definedName>
    <definedName name="Op_barr_combus2_ps" localSheetId="7">#REF!</definedName>
    <definedName name="Op_barr_combus2_ps">'[17]ANEXO 21 - C.O. BARRIDO'!$V$40</definedName>
    <definedName name="Op_barr_cons1_pm" localSheetId="7">#REF!</definedName>
    <definedName name="Op_barr_cons1_pm">'[17]ANEXO 21 - C.O. BARRIDO'!$H$20</definedName>
    <definedName name="Op_barr_cons1_ps" localSheetId="7">#REF!</definedName>
    <definedName name="Op_barr_cons1_ps">'[17]ANEXO 21 - C.O. BARRIDO'!$K$20</definedName>
    <definedName name="Op_barr_cons2_pm" localSheetId="7">#REF!</definedName>
    <definedName name="Op_barr_cons2_pm">'[17]ANEXO 21 - C.O. BARRIDO'!$S$20</definedName>
    <definedName name="Op_barr_cons2_ps" localSheetId="7">#REF!</definedName>
    <definedName name="Op_barr_cons2_ps">'[17]ANEXO 21 - C.O. BARRIDO'!$V$20</definedName>
    <definedName name="Op_barr_equip1_pm" localSheetId="7">#REF!</definedName>
    <definedName name="Op_barr_equip1_pm">'[17]ANEXO 21 - C.O. BARRIDO'!$H$14</definedName>
    <definedName name="Op_barr_equip1_ps" localSheetId="7">#REF!</definedName>
    <definedName name="Op_barr_equip1_ps">'[17]ANEXO 21 - C.O. BARRIDO'!$K$14</definedName>
    <definedName name="Op_barr_equip2_pm" localSheetId="7">#REF!</definedName>
    <definedName name="Op_barr_equip2_pm">'[17]ANEXO 21 - C.O. BARRIDO'!$S$14</definedName>
    <definedName name="Op_barr_equip2_ps" localSheetId="7">#REF!</definedName>
    <definedName name="Op_barr_equip2_ps">'[17]ANEXO 21 - C.O. BARRIDO'!$V$14</definedName>
    <definedName name="Op_barr_pers1_pm" localSheetId="7">#REF!</definedName>
    <definedName name="Op_barr_pers1_pm">'[17]ANEXO 21 - C.O. BARRIDO'!$H$10</definedName>
    <definedName name="Op_barr_pers1_ps" localSheetId="7">#REF!</definedName>
    <definedName name="Op_barr_pers1_ps">'[17]ANEXO 21 - C.O. BARRIDO'!$K$10</definedName>
    <definedName name="Op_barr_pers2_pm" localSheetId="7">#REF!</definedName>
    <definedName name="Op_barr_pers2_pm">'[17]ANEXO 21 - C.O. BARRIDO'!$S$10</definedName>
    <definedName name="Op_barr_pers2_ps" localSheetId="7">#REF!</definedName>
    <definedName name="Op_barr_pers2_ps">'[17]ANEXO 21 - C.O. BARRIDO'!$V$10</definedName>
    <definedName name="Op_barr_serv1_pm" localSheetId="7">#REF!</definedName>
    <definedName name="Op_barr_serv1_pm">'[17]ANEXO 21 - C.O. BARRIDO'!$H$37</definedName>
    <definedName name="Op_barr_serv1_ps" localSheetId="7">#REF!</definedName>
    <definedName name="Op_barr_serv1_ps">'[17]ANEXO 21 - C.O. BARRIDO'!$K$37</definedName>
    <definedName name="Op_barr_serv2_pm" localSheetId="7">#REF!</definedName>
    <definedName name="Op_barr_serv2_pm">'[17]ANEXO 21 - C.O. BARRIDO'!$S$37</definedName>
    <definedName name="Op_barr_serv2_ps" localSheetId="7">#REF!</definedName>
    <definedName name="Op_barr_serv2_ps">'[17]ANEXO 21 - C.O. BARRIDO'!$V$37</definedName>
    <definedName name="Op_cierre_pm" localSheetId="7">#REF!</definedName>
    <definedName name="Op_cierre_pm">'[17]ANEXO 32 - CIERRE DEL RELLENO'!$F$14</definedName>
    <definedName name="Op_cierre_ps" localSheetId="7">#REF!</definedName>
    <definedName name="Op_cierre_ps">'[17]ANEXO 32 - CIERRE DEL RELLENO'!$I$14</definedName>
    <definedName name="Op_DF_combus1_pm" localSheetId="7">#REF!</definedName>
    <definedName name="Op_DF_combus1_pm">'[17]ANEXO 29 - C.O. DISP FINAL'!$G$54</definedName>
    <definedName name="Op_DF_combus1_ps" localSheetId="7">#REF!</definedName>
    <definedName name="Op_DF_combus1_ps">'[17]ANEXO 29 - C.O. DISP FINAL'!$J$54</definedName>
    <definedName name="Op_DF_combus2_pm" localSheetId="7">#REF!</definedName>
    <definedName name="Op_DF_combus2_pm">'[17]ANEXO 29 - C.O. DISP FINAL'!$R$54</definedName>
    <definedName name="Op_DF_combus2_ps" localSheetId="7">#REF!</definedName>
    <definedName name="Op_DF_combus2_ps">'[17]ANEXO 29 - C.O. DISP FINAL'!$U$54</definedName>
    <definedName name="Op_DF_cons1_pm" localSheetId="7">#REF!</definedName>
    <definedName name="Op_DF_cons1_pm">'[17]ANEXO 29 - C.O. DISP FINAL'!$G$25</definedName>
    <definedName name="Op_DF_cons1_ps" localSheetId="7">#REF!</definedName>
    <definedName name="Op_DF_cons1_ps">'[17]ANEXO 29 - C.O. DISP FINAL'!$J$25</definedName>
    <definedName name="Op_DF_cons2_pm" localSheetId="7">#REF!</definedName>
    <definedName name="Op_DF_cons2_pm">'[17]ANEXO 29 - C.O. DISP FINAL'!$R$25</definedName>
    <definedName name="Op_DF_cons2_ps" localSheetId="7">#REF!</definedName>
    <definedName name="Op_DF_cons2_ps">'[17]ANEXO 29 - C.O. DISP FINAL'!$U$25</definedName>
    <definedName name="Op_DF_equip1_pm" localSheetId="7">#REF!</definedName>
    <definedName name="Op_DF_equip1_pm">'[17]ANEXO 29 - C.O. DISP FINAL'!$G$13</definedName>
    <definedName name="Op_DF_equip1_ps" localSheetId="7">#REF!</definedName>
    <definedName name="Op_DF_equip1_ps">'[17]ANEXO 29 - C.O. DISP FINAL'!$J$13</definedName>
    <definedName name="Op_DF_equip2_pm" localSheetId="7">#REF!</definedName>
    <definedName name="Op_DF_equip2_pm">'[17]ANEXO 29 - C.O. DISP FINAL'!$R$13</definedName>
    <definedName name="Op_DF_equip2_ps" localSheetId="7">#REF!</definedName>
    <definedName name="Op_DF_equip2_ps">'[17]ANEXO 29 - C.O. DISP FINAL'!$U$13</definedName>
    <definedName name="Op_DF_pers1_pm" localSheetId="7">#REF!</definedName>
    <definedName name="Op_DF_pers1_pm">'[17]ANEXO 29 - C.O. DISP FINAL'!$G$8</definedName>
    <definedName name="Op_DF_pers1_ps" localSheetId="7">#REF!</definedName>
    <definedName name="Op_DF_pers1_ps">'[17]ANEXO 29 - C.O. DISP FINAL'!$J$8</definedName>
    <definedName name="Op_DF_pers2_pm" localSheetId="7">#REF!</definedName>
    <definedName name="Op_DF_pers2_pm">'[17]ANEXO 29 - C.O. DISP FINAL'!$R$8</definedName>
    <definedName name="Op_DF_pers2_ps" localSheetId="7">#REF!</definedName>
    <definedName name="Op_DF_pers2_ps">'[17]ANEXO 29 - C.O. DISP FINAL'!$U$8</definedName>
    <definedName name="Op_DF_serv1_pm" localSheetId="7">#REF!</definedName>
    <definedName name="Op_DF_serv1_pm">'[17]ANEXO 29 - C.O. DISP FINAL'!$G$50</definedName>
    <definedName name="Op_DF_serv1_ps" localSheetId="7">#REF!</definedName>
    <definedName name="Op_DF_serv1_ps">'[17]ANEXO 29 - C.O. DISP FINAL'!$J$50</definedName>
    <definedName name="Op_DF_serv2_pm" localSheetId="7">#REF!</definedName>
    <definedName name="Op_DF_serv2_pm">'[17]ANEXO 29 - C.O. DISP FINAL'!$R$50</definedName>
    <definedName name="Op_DF_serv2_ps" localSheetId="7">#REF!</definedName>
    <definedName name="Op_DF_serv2_ps">'[17]ANEXO 29 - C.O. DISP FINAL'!$U$50</definedName>
    <definedName name="Op_reaprov_combus1_pm" localSheetId="1">#REF!</definedName>
    <definedName name="Op_reaprov_combus1_pm" localSheetId="2">#REF!</definedName>
    <definedName name="Op_reaprov_combus1_pm" localSheetId="4">#REF!</definedName>
    <definedName name="Op_reaprov_combus1_pm" localSheetId="3">#REF!</definedName>
    <definedName name="Op_reaprov_combus1_pm" localSheetId="8">#REF!</definedName>
    <definedName name="Op_reaprov_combus1_pm" localSheetId="5">#REF!</definedName>
    <definedName name="Op_reaprov_combus1_pm" localSheetId="15">#REF!</definedName>
    <definedName name="Op_reaprov_combus1_pm" localSheetId="14">#REF!</definedName>
    <definedName name="Op_reaprov_combus1_pm" localSheetId="12">#REF!</definedName>
    <definedName name="Op_reaprov_combus1_pm" localSheetId="13">#REF!</definedName>
    <definedName name="Op_reaprov_combus1_pm" localSheetId="10">#REF!</definedName>
    <definedName name="Op_reaprov_combus1_pm" localSheetId="7">#REF!</definedName>
    <definedName name="Op_reaprov_combus1_pm">#REF!</definedName>
    <definedName name="Op_reaprov_combus1_ps" localSheetId="7">#REF!</definedName>
    <definedName name="Op_reaprov_combus1_ps">'[17]ANEXO 26 - C.O. REAPROVECHAM'!$J$75</definedName>
    <definedName name="Op_reaprov_combus2_pm" localSheetId="7">#REF!</definedName>
    <definedName name="Op_reaprov_combus2_pm">'[17]ANEXO 26 - C.O. REAPROVECHAM'!$R$75</definedName>
    <definedName name="Op_reaprov_combus2_ps" localSheetId="7">#REF!</definedName>
    <definedName name="Op_reaprov_combus2_ps">'[17]ANEXO 26 - C.O. REAPROVECHAM'!$U$75</definedName>
    <definedName name="Op_reaprov_cons1_pm" localSheetId="7">#REF!</definedName>
    <definedName name="Op_reaprov_cons1_pm">'[17]ANEXO 26 - C.O. REAPROVECHAM'!$G$26</definedName>
    <definedName name="Op_reaprov_cons1_ps" localSheetId="7">#REF!</definedName>
    <definedName name="Op_reaprov_cons1_ps">'[17]ANEXO 26 - C.O. REAPROVECHAM'!$J$26</definedName>
    <definedName name="Op_reaprov_cons2_pm" localSheetId="7">#REF!</definedName>
    <definedName name="Op_reaprov_cons2_pm">'[17]ANEXO 26 - C.O. REAPROVECHAM'!$R$26</definedName>
    <definedName name="Op_reaprov_cons2_ps" localSheetId="7">#REF!</definedName>
    <definedName name="Op_reaprov_cons2_ps">'[17]ANEXO 26 - C.O. REAPROVECHAM'!$U$26</definedName>
    <definedName name="Op_reaprov_equip1_pm" localSheetId="7">#REF!</definedName>
    <definedName name="Op_reaprov_equip1_pm">'[17]ANEXO 26 - C.O. REAPROVECHAM'!$G$13</definedName>
    <definedName name="Op_reaprov_equip1_ps" localSheetId="7">#REF!</definedName>
    <definedName name="Op_reaprov_equip1_ps">'[17]ANEXO 26 - C.O. REAPROVECHAM'!$J$13</definedName>
    <definedName name="Op_reaprov_equip2_pm" localSheetId="7">#REF!</definedName>
    <definedName name="Op_reaprov_equip2_pm">'[17]ANEXO 26 - C.O. REAPROVECHAM'!$R$13</definedName>
    <definedName name="Op_reaprov_equip2_ps" localSheetId="7">#REF!</definedName>
    <definedName name="Op_reaprov_equip2_ps">'[17]ANEXO 26 - C.O. REAPROVECHAM'!$U$13</definedName>
    <definedName name="Op_reaprov_pers1_pm" localSheetId="7">#REF!</definedName>
    <definedName name="Op_reaprov_pers1_pm">'[17]ANEXO 26 - C.O. REAPROVECHAM'!$G$8</definedName>
    <definedName name="Op_reaprov_pers1_ps" localSheetId="7">#REF!</definedName>
    <definedName name="Op_reaprov_pers1_ps">'[17]ANEXO 26 - C.O. REAPROVECHAM'!$J$8</definedName>
    <definedName name="Op_reaprov_pers2_pm" localSheetId="7">#REF!</definedName>
    <definedName name="Op_reaprov_pers2_pm">'[17]ANEXO 26 - C.O. REAPROVECHAM'!$R$8</definedName>
    <definedName name="Op_reaprov_pers2_ps" localSheetId="7">#REF!</definedName>
    <definedName name="Op_reaprov_pers2_ps">'[17]ANEXO 26 - C.O. REAPROVECHAM'!$U$8</definedName>
    <definedName name="Op_reaprov_serv1_pm" localSheetId="7">#REF!</definedName>
    <definedName name="Op_reaprov_serv1_pm">'[17]ANEXO 26 - C.O. REAPROVECHAM'!$G$69</definedName>
    <definedName name="Op_reaprov_serv1_ps" localSheetId="7">#REF!</definedName>
    <definedName name="Op_reaprov_serv1_ps">'[17]ANEXO 26 - C.O. REAPROVECHAM'!$J$69</definedName>
    <definedName name="Op_reaprov_serv2_pm" localSheetId="7">#REF!</definedName>
    <definedName name="Op_reaprov_serv2_pm">'[17]ANEXO 26 - C.O. REAPROVECHAM'!$R$69</definedName>
    <definedName name="Op_reaprov_serv2_ps" localSheetId="7">#REF!</definedName>
    <definedName name="Op_reaprov_serv2_ps">'[17]ANEXO 26 - C.O. REAPROVECHAM'!$U$69</definedName>
    <definedName name="Op_rec_combus1_pm" localSheetId="7">#REF!</definedName>
    <definedName name="Op_rec_combus1_pm">'[17]ANEXO 23 - C.O. RECOLECCIÓN'!$H$91</definedName>
    <definedName name="Op_rec_combus1_ps" localSheetId="7">#REF!</definedName>
    <definedName name="Op_rec_combus1_ps">'[17]ANEXO 23 - C.O. RECOLECCIÓN'!$K$91</definedName>
    <definedName name="Op_rec_combus2_pm" localSheetId="7">#REF!</definedName>
    <definedName name="Op_rec_combus2_pm">'[17]ANEXO 23 - C.O. RECOLECCIÓN'!$S$91</definedName>
    <definedName name="Op_rec_combus2_ps" localSheetId="7">#REF!</definedName>
    <definedName name="Op_rec_combus2_ps">'[17]ANEXO 23 - C.O. RECOLECCIÓN'!$V$91</definedName>
    <definedName name="Op_rec_cons1_pm" localSheetId="7">#REF!</definedName>
    <definedName name="Op_rec_cons1_pm">'[17]ANEXO 23 - C.O. RECOLECCIÓN'!$H$23</definedName>
    <definedName name="Op_rec_cons1_ps" localSheetId="7">#REF!</definedName>
    <definedName name="Op_rec_cons1_ps">'[17]ANEXO 23 - C.O. RECOLECCIÓN'!$K$23</definedName>
    <definedName name="Op_rec_cons2_pm" localSheetId="7">#REF!</definedName>
    <definedName name="Op_rec_cons2_pm">'[17]ANEXO 23 - C.O. RECOLECCIÓN'!$S$23</definedName>
    <definedName name="Op_rec_cons2_ps" localSheetId="7">#REF!</definedName>
    <definedName name="Op_rec_cons2_ps">'[17]ANEXO 23 - C.O. RECOLECCIÓN'!$V$23</definedName>
    <definedName name="Op_rec_equip1_pm" localSheetId="7">#REF!</definedName>
    <definedName name="Op_rec_equip1_pm">'[17]ANEXO 23 - C.O. RECOLECCIÓN'!$H$14</definedName>
    <definedName name="Op_rec_equip1_ps" localSheetId="7">#REF!</definedName>
    <definedName name="Op_rec_equip1_ps">'[17]ANEXO 23 - C.O. RECOLECCIÓN'!$K$14</definedName>
    <definedName name="Op_rec_equip2_pm" localSheetId="7">#REF!</definedName>
    <definedName name="Op_rec_equip2_pm">'[17]ANEXO 23 - C.O. RECOLECCIÓN'!$S$14</definedName>
    <definedName name="Op_rec_equip2_ps" localSheetId="7">#REF!</definedName>
    <definedName name="Op_rec_equip2_ps">'[17]ANEXO 23 - C.O. RECOLECCIÓN'!$V$14</definedName>
    <definedName name="Op_rec_pers1_pm" localSheetId="7">#REF!</definedName>
    <definedName name="Op_rec_pers1_pm">'[17]ANEXO 23 - C.O. RECOLECCIÓN'!$H$9</definedName>
    <definedName name="Op_rec_pers1_ps" localSheetId="7">#REF!</definedName>
    <definedName name="Op_rec_pers1_ps">'[17]ANEXO 23 - C.O. RECOLECCIÓN'!$K$9</definedName>
    <definedName name="Op_rec_pers2_pm" localSheetId="7">#REF!</definedName>
    <definedName name="Op_rec_pers2_pm">'[17]ANEXO 23 - C.O. RECOLECCIÓN'!$S$9</definedName>
    <definedName name="Op_rec_pers2_ps" localSheetId="7">#REF!</definedName>
    <definedName name="Op_rec_pers2_ps">'[17]ANEXO 23 - C.O. RECOLECCIÓN'!$V$9</definedName>
    <definedName name="Op_rec_serv1_pm" localSheetId="7">#REF!</definedName>
    <definedName name="Op_rec_serv1_pm">'[17]ANEXO 23 - C.O. RECOLECCIÓN'!$H$71</definedName>
    <definedName name="Op_rec_serv1_ps" localSheetId="7">#REF!</definedName>
    <definedName name="Op_rec_serv1_ps">'[17]ANEXO 23 - C.O. RECOLECCIÓN'!$K$71</definedName>
    <definedName name="Op_rec_serv2_pm" localSheetId="7">#REF!</definedName>
    <definedName name="Op_rec_serv2_pm">'[17]ANEXO 23 - C.O. RECOLECCIÓN'!$S$71</definedName>
    <definedName name="Op_rec_serv2_ps" localSheetId="7">#REF!</definedName>
    <definedName name="Op_rec_serv2_ps">'[17]ANEXO 23 - C.O. RECOLECCIÓN'!$V$71</definedName>
    <definedName name="Op_SenPobA_consum_pm" localSheetId="7">'[25]ANEXO 30 - C.O. SENSIB POB A'!$G$18</definedName>
    <definedName name="Op_SenPobA_consum_pm">'[17]ANEXO 30 - C.O. SENSIB POB A'!$G$18</definedName>
    <definedName name="Op_SenPobA_consum_ps" localSheetId="7">'[25]ANEXO 30 - C.O. SENSIB POB A'!$J$18</definedName>
    <definedName name="Op_SenPobA_consum_ps">'[17]ANEXO 30 - C.O. SENSIB POB A'!$J$18</definedName>
    <definedName name="Op_SenPobA_equip_ps">'[17]ANEXO 30 - C.O. SENSIB POB A'!$J$11</definedName>
    <definedName name="Op_SenPobA_pers_pm" localSheetId="7">'[25]ANEXO 30 - C.O. SENSIB POB A'!$G$7</definedName>
    <definedName name="Op_SenPobA_pers_pm">'[17]ANEXO 30 - C.O. SENSIB POB A'!$G$7</definedName>
    <definedName name="Op_SenPobA_pers_ps" localSheetId="7">'[25]ANEXO 30 - C.O. SENSIB POB A'!$J$7</definedName>
    <definedName name="Op_SenPobA_pers_ps">'[17]ANEXO 30 - C.O. SENSIB POB A'!$J$7</definedName>
    <definedName name="Op_SenPobA_serv_pm" localSheetId="7">'[25]ANEXO 30 - C.O. SENSIB POB A'!$G$25</definedName>
    <definedName name="Op_SenPobA_serv_pm">'[17]ANEXO 30 - C.O. SENSIB POB A'!$G$25</definedName>
    <definedName name="Op_SenPobA_serv_ps" localSheetId="7">'[25]ANEXO 30 - C.O. SENSIB POB A'!$J$25</definedName>
    <definedName name="Op_SenPobA_serv_ps">'[17]ANEXO 30 - C.O. SENSIB POB A'!$J$25</definedName>
    <definedName name="Op_SenPobB_consum_pm">'[17]ANEXO 31 - C.O. SENSIB POB B'!$G$18</definedName>
    <definedName name="Op_SenPobB_consum_ps">'[17]ANEXO 31 - C.O. SENSIB POB B'!$J$18</definedName>
    <definedName name="Op_SenPobB_equip_ps">'[17]ANEXO 31 - C.O. SENSIB POB B'!$J$11</definedName>
    <definedName name="Op_SenPobB_pers_pm">'[17]ANEXO 31 - C.O. SENSIB POB B'!$G$7</definedName>
    <definedName name="Op_SenPobB_pers_ps">'[17]ANEXO 31 - C.O. SENSIB POB B'!$J$7</definedName>
    <definedName name="Op_SenPobB_serv_pm">'[17]ANEXO 31 - C.O. SENSIB POB B'!$G$25</definedName>
    <definedName name="Op_SenPobB_serv_ps">'[17]ANEXO 31 - C.O. SENSIB POB B'!$J$25</definedName>
    <definedName name="OXICORTE" localSheetId="1">#REF!</definedName>
    <definedName name="OXICORTE" localSheetId="2">#REF!</definedName>
    <definedName name="OXICORTE" localSheetId="4">#REF!</definedName>
    <definedName name="OXICORTE" localSheetId="5">#REF!</definedName>
    <definedName name="OXICORTE" localSheetId="15">#REF!</definedName>
    <definedName name="OXICORTE" localSheetId="14">#REF!</definedName>
    <definedName name="OXICORTE" localSheetId="12">#REF!</definedName>
    <definedName name="OXICORTE" localSheetId="13">#REF!</definedName>
    <definedName name="OXICORTE" localSheetId="10">#REF!</definedName>
    <definedName name="OXICORTE">#REF!</definedName>
    <definedName name="OXIGENO" localSheetId="1">#REF!</definedName>
    <definedName name="OXIGENO" localSheetId="2">#REF!</definedName>
    <definedName name="OXIGENO" localSheetId="4">#REF!</definedName>
    <definedName name="OXIGENO" localSheetId="5">#REF!</definedName>
    <definedName name="OXIGENO" localSheetId="15">#REF!</definedName>
    <definedName name="OXIGENO" localSheetId="14">#REF!</definedName>
    <definedName name="OXIGENO" localSheetId="12">#REF!</definedName>
    <definedName name="OXIGENO" localSheetId="13">#REF!</definedName>
    <definedName name="OXIGENO" localSheetId="10">#REF!</definedName>
    <definedName name="OXIGENO">#REF!</definedName>
    <definedName name="P10C1">#N/A</definedName>
    <definedName name="Página1" localSheetId="1">#REF!</definedName>
    <definedName name="Página1" localSheetId="2">#REF!</definedName>
    <definedName name="Página1" localSheetId="4">#REF!</definedName>
    <definedName name="Página1" localSheetId="5">#REF!</definedName>
    <definedName name="Página1" localSheetId="15">#REF!</definedName>
    <definedName name="Página1" localSheetId="14">#REF!</definedName>
    <definedName name="Página1" localSheetId="12">#REF!</definedName>
    <definedName name="Página1" localSheetId="13">#REF!</definedName>
    <definedName name="Página1" localSheetId="10">#REF!</definedName>
    <definedName name="Página1">#REF!</definedName>
    <definedName name="PÁGINA101" localSheetId="1">#REF!</definedName>
    <definedName name="PÁGINA101" localSheetId="2">#REF!</definedName>
    <definedName name="PÁGINA101" localSheetId="4">#REF!</definedName>
    <definedName name="PÁGINA101" localSheetId="5">#REF!</definedName>
    <definedName name="PÁGINA101" localSheetId="15">#REF!</definedName>
    <definedName name="PÁGINA101" localSheetId="14">#REF!</definedName>
    <definedName name="PÁGINA101" localSheetId="12">#REF!</definedName>
    <definedName name="PÁGINA101" localSheetId="13">#REF!</definedName>
    <definedName name="PÁGINA101" localSheetId="10">#REF!</definedName>
    <definedName name="PÁGINA101">#REF!</definedName>
    <definedName name="Página2" localSheetId="1">#REF!</definedName>
    <definedName name="Página2" localSheetId="2">#REF!</definedName>
    <definedName name="Página2" localSheetId="4">#REF!</definedName>
    <definedName name="Página2" localSheetId="5">#REF!</definedName>
    <definedName name="Página2" localSheetId="15">#REF!</definedName>
    <definedName name="Página2" localSheetId="14">#REF!</definedName>
    <definedName name="Página2" localSheetId="12">#REF!</definedName>
    <definedName name="Página2" localSheetId="13">#REF!</definedName>
    <definedName name="Página2" localSheetId="10">#REF!</definedName>
    <definedName name="Página2">#REF!</definedName>
    <definedName name="Página3" localSheetId="1">#REF!</definedName>
    <definedName name="Página3" localSheetId="2">#REF!</definedName>
    <definedName name="Página3" localSheetId="4">#REF!</definedName>
    <definedName name="Página3" localSheetId="5">#REF!</definedName>
    <definedName name="Página3" localSheetId="15">#REF!</definedName>
    <definedName name="Página3" localSheetId="14">#REF!</definedName>
    <definedName name="Página3" localSheetId="12">#REF!</definedName>
    <definedName name="Página3" localSheetId="13">#REF!</definedName>
    <definedName name="Página3" localSheetId="10">#REF!</definedName>
    <definedName name="Página3">#REF!</definedName>
    <definedName name="Paita" localSheetId="1">'[1]Menu No. 4'!#REF!</definedName>
    <definedName name="Paita" localSheetId="2">'[1]Menu No. 4'!#REF!</definedName>
    <definedName name="Paita" localSheetId="18">'[1]Menu No. 4'!#REF!</definedName>
    <definedName name="Paita" localSheetId="4">'[1]Menu No. 4'!#REF!</definedName>
    <definedName name="Paita" localSheetId="3">'[1]Menu No. 4'!#REF!</definedName>
    <definedName name="Paita" localSheetId="8">'[1]Menu No. 4'!#REF!</definedName>
    <definedName name="Paita" localSheetId="5">'[1]Menu No. 4'!#REF!</definedName>
    <definedName name="Paita" localSheetId="15">'[1]Menu No. 4'!#REF!</definedName>
    <definedName name="Paita" localSheetId="14">'[1]Menu No. 4'!#REF!</definedName>
    <definedName name="Paita" localSheetId="12">'[1]Menu No. 4'!#REF!</definedName>
    <definedName name="Paita" localSheetId="13">'[1]Menu No. 4'!#REF!</definedName>
    <definedName name="Paita" localSheetId="10">'[1]Menu No. 4'!#REF!</definedName>
    <definedName name="Paita" localSheetId="7">'[1]Menu No. 4'!#REF!</definedName>
    <definedName name="Paita">'[1]Menu No. 4'!#REF!</definedName>
    <definedName name="PalisadeReportWorkbookCreatedBy">"AtRisk"</definedName>
    <definedName name="Parametros" localSheetId="1">'[26]Fab. 15'!#REF!</definedName>
    <definedName name="Parametros" localSheetId="2">'[26]Fab. 15'!#REF!</definedName>
    <definedName name="Parametros" localSheetId="4">'[26]Fab. 15'!#REF!</definedName>
    <definedName name="Parametros" localSheetId="5">'[26]Fab. 15'!#REF!</definedName>
    <definedName name="Parametros" localSheetId="15">'[26]Fab. 15'!#REF!</definedName>
    <definedName name="Parametros" localSheetId="14">'[26]Fab. 15'!#REF!</definedName>
    <definedName name="Parametros" localSheetId="12">'[26]Fab. 15'!#REF!</definedName>
    <definedName name="Parametros" localSheetId="13">'[26]Fab. 15'!#REF!</definedName>
    <definedName name="Parametros" localSheetId="10">'[26]Fab. 15'!#REF!</definedName>
    <definedName name="Parametros">'[26]Fab. 15'!#REF!</definedName>
    <definedName name="pepe">[5]puni!$H$281</definedName>
    <definedName name="PER" localSheetId="1">#REF!</definedName>
    <definedName name="PER" localSheetId="2">#REF!</definedName>
    <definedName name="PER" localSheetId="4">#REF!</definedName>
    <definedName name="PER" localSheetId="5">#REF!</definedName>
    <definedName name="PER" localSheetId="15">#REF!</definedName>
    <definedName name="PER" localSheetId="14">#REF!</definedName>
    <definedName name="PER" localSheetId="12">#REF!</definedName>
    <definedName name="PER" localSheetId="13">#REF!</definedName>
    <definedName name="PER" localSheetId="10">#REF!</definedName>
    <definedName name="PER">#REF!</definedName>
    <definedName name="PERFILES" localSheetId="1">#REF!</definedName>
    <definedName name="PERFILES" localSheetId="2">#REF!</definedName>
    <definedName name="PERFILES" localSheetId="4">#REF!</definedName>
    <definedName name="PERFILES" localSheetId="5">#REF!</definedName>
    <definedName name="PERFILES" localSheetId="15">#REF!</definedName>
    <definedName name="PERFILES" localSheetId="14">#REF!</definedName>
    <definedName name="PERFILES" localSheetId="12">#REF!</definedName>
    <definedName name="PERFILES" localSheetId="13">#REF!</definedName>
    <definedName name="PERFILES" localSheetId="10">#REF!</definedName>
    <definedName name="PERFILES">#REF!</definedName>
    <definedName name="Perímetro_sótano" localSheetId="1">#REF!</definedName>
    <definedName name="Perímetro_sótano" localSheetId="2">#REF!</definedName>
    <definedName name="Perímetro_sótano" localSheetId="4">#REF!</definedName>
    <definedName name="Perímetro_sótano" localSheetId="5">#REF!</definedName>
    <definedName name="Perímetro_sótano" localSheetId="15">#REF!</definedName>
    <definedName name="Perímetro_sótano" localSheetId="14">#REF!</definedName>
    <definedName name="Perímetro_sótano" localSheetId="12">#REF!</definedName>
    <definedName name="Perímetro_sótano" localSheetId="13">#REF!</definedName>
    <definedName name="Perímetro_sótano" localSheetId="10">#REF!</definedName>
    <definedName name="Perímetro_sótano">#REF!</definedName>
    <definedName name="Perímetro_tienda" localSheetId="1">#REF!</definedName>
    <definedName name="Perímetro_tienda" localSheetId="2">#REF!</definedName>
    <definedName name="Perímetro_tienda" localSheetId="4">#REF!</definedName>
    <definedName name="Perímetro_tienda" localSheetId="5">#REF!</definedName>
    <definedName name="Perímetro_tienda" localSheetId="15">#REF!</definedName>
    <definedName name="Perímetro_tienda" localSheetId="14">#REF!</definedName>
    <definedName name="Perímetro_tienda" localSheetId="12">#REF!</definedName>
    <definedName name="Perímetro_tienda" localSheetId="13">#REF!</definedName>
    <definedName name="Perímetro_tienda" localSheetId="10">#REF!</definedName>
    <definedName name="Perímetro_tienda">#REF!</definedName>
    <definedName name="PERNO01" localSheetId="1">#REF!</definedName>
    <definedName name="PERNO01" localSheetId="2">#REF!</definedName>
    <definedName name="PERNO01" localSheetId="4">#REF!</definedName>
    <definedName name="PERNO01" localSheetId="5">#REF!</definedName>
    <definedName name="PERNO01" localSheetId="15">#REF!</definedName>
    <definedName name="PERNO01" localSheetId="14">#REF!</definedName>
    <definedName name="PERNO01" localSheetId="12">#REF!</definedName>
    <definedName name="PERNO01" localSheetId="13">#REF!</definedName>
    <definedName name="PERNO01" localSheetId="10">#REF!</definedName>
    <definedName name="PERNO01">#REF!</definedName>
    <definedName name="PERNO02" localSheetId="1">#REF!</definedName>
    <definedName name="PERNO02" localSheetId="2">#REF!</definedName>
    <definedName name="PERNO02" localSheetId="4">#REF!</definedName>
    <definedName name="PERNO02" localSheetId="5">#REF!</definedName>
    <definedName name="PERNO02" localSheetId="15">#REF!</definedName>
    <definedName name="PERNO02" localSheetId="14">#REF!</definedName>
    <definedName name="PERNO02" localSheetId="12">#REF!</definedName>
    <definedName name="PERNO02" localSheetId="13">#REF!</definedName>
    <definedName name="PERNO02" localSheetId="10">#REF!</definedName>
    <definedName name="PERNO02">#REF!</definedName>
    <definedName name="PERNO03" localSheetId="1">#REF!</definedName>
    <definedName name="PERNO03" localSheetId="2">#REF!</definedName>
    <definedName name="PERNO03" localSheetId="4">#REF!</definedName>
    <definedName name="PERNO03" localSheetId="5">#REF!</definedName>
    <definedName name="PERNO03" localSheetId="15">#REF!</definedName>
    <definedName name="PERNO03" localSheetId="14">#REF!</definedName>
    <definedName name="PERNO03" localSheetId="12">#REF!</definedName>
    <definedName name="PERNO03" localSheetId="13">#REF!</definedName>
    <definedName name="PERNO03" localSheetId="10">#REF!</definedName>
    <definedName name="PERNO03">#REF!</definedName>
    <definedName name="PERNOS" localSheetId="1">#REF!</definedName>
    <definedName name="PERNOS" localSheetId="2">#REF!</definedName>
    <definedName name="PERNOS" localSheetId="4">#REF!</definedName>
    <definedName name="PERNOS" localSheetId="5">#REF!</definedName>
    <definedName name="PERNOS" localSheetId="15">#REF!</definedName>
    <definedName name="PERNOS" localSheetId="14">#REF!</definedName>
    <definedName name="PERNOS" localSheetId="12">#REF!</definedName>
    <definedName name="PERNOS" localSheetId="13">#REF!</definedName>
    <definedName name="PERNOS" localSheetId="10">#REF!</definedName>
    <definedName name="PERNOS">#REF!</definedName>
    <definedName name="PESO" localSheetId="1">#REF!</definedName>
    <definedName name="PESO" localSheetId="2">#REF!</definedName>
    <definedName name="PESO" localSheetId="4">#REF!</definedName>
    <definedName name="PESO" localSheetId="5">#REF!</definedName>
    <definedName name="PESO" localSheetId="15">#REF!</definedName>
    <definedName name="PESO" localSheetId="14">#REF!</definedName>
    <definedName name="PESO" localSheetId="12">#REF!</definedName>
    <definedName name="PESO" localSheetId="13">#REF!</definedName>
    <definedName name="PESO" localSheetId="10">#REF!</definedName>
    <definedName name="PESO">#REF!</definedName>
    <definedName name="PESO_COLUMNAS" localSheetId="1">#REF!</definedName>
    <definedName name="PESO_COLUMNAS" localSheetId="2">#REF!</definedName>
    <definedName name="PESO_COLUMNAS" localSheetId="4">#REF!</definedName>
    <definedName name="PESO_COLUMNAS" localSheetId="5">#REF!</definedName>
    <definedName name="PESO_COLUMNAS" localSheetId="15">#REF!</definedName>
    <definedName name="PESO_COLUMNAS" localSheetId="14">#REF!</definedName>
    <definedName name="PESO_COLUMNAS" localSheetId="12">#REF!</definedName>
    <definedName name="PESO_COLUMNAS" localSheetId="13">#REF!</definedName>
    <definedName name="PESO_COLUMNAS" localSheetId="10">#REF!</definedName>
    <definedName name="PESO_COLUMNAS">#REF!</definedName>
    <definedName name="piedra1" localSheetId="1">[6]Costos!#REF!</definedName>
    <definedName name="piedra1" localSheetId="2">[6]Costos!#REF!</definedName>
    <definedName name="piedra1" localSheetId="4">[6]Costos!#REF!</definedName>
    <definedName name="piedra1" localSheetId="5">[6]Costos!#REF!</definedName>
    <definedName name="piedra1" localSheetId="15">[6]Costos!#REF!</definedName>
    <definedName name="piedra1" localSheetId="14">[6]Costos!#REF!</definedName>
    <definedName name="piedra1" localSheetId="12">[6]Costos!#REF!</definedName>
    <definedName name="piedra1" localSheetId="13">[6]Costos!#REF!</definedName>
    <definedName name="piedra1" localSheetId="10">[6]Costos!#REF!</definedName>
    <definedName name="piedra1">[6]Costos!#REF!</definedName>
    <definedName name="piedra2" localSheetId="1">[6]Costos!#REF!</definedName>
    <definedName name="piedra2" localSheetId="2">[6]Costos!#REF!</definedName>
    <definedName name="piedra2" localSheetId="4">[6]Costos!#REF!</definedName>
    <definedName name="piedra2" localSheetId="5">[6]Costos!#REF!</definedName>
    <definedName name="piedra2" localSheetId="15">[6]Costos!#REF!</definedName>
    <definedName name="piedra2" localSheetId="14">[6]Costos!#REF!</definedName>
    <definedName name="piedra2" localSheetId="12">[6]Costos!#REF!</definedName>
    <definedName name="piedra2" localSheetId="13">[6]Costos!#REF!</definedName>
    <definedName name="piedra2" localSheetId="10">[6]Costos!#REF!</definedName>
    <definedName name="piedra2">[6]Costos!#REF!</definedName>
    <definedName name="Piedrach" localSheetId="1">[6]Costos!#REF!</definedName>
    <definedName name="Piedrach" localSheetId="2">[6]Costos!#REF!</definedName>
    <definedName name="Piedrach" localSheetId="4">[6]Costos!#REF!</definedName>
    <definedName name="Piedrach" localSheetId="5">[6]Costos!#REF!</definedName>
    <definedName name="Piedrach" localSheetId="15">[6]Costos!#REF!</definedName>
    <definedName name="Piedrach" localSheetId="14">[6]Costos!#REF!</definedName>
    <definedName name="Piedrach" localSheetId="12">[6]Costos!#REF!</definedName>
    <definedName name="Piedrach" localSheetId="13">[6]Costos!#REF!</definedName>
    <definedName name="Piedrach" localSheetId="10">[6]Costos!#REF!</definedName>
    <definedName name="Piedrach">[6]Costos!#REF!</definedName>
    <definedName name="piedrag" localSheetId="1">#REF!</definedName>
    <definedName name="piedrag" localSheetId="2">#REF!</definedName>
    <definedName name="piedrag" localSheetId="4">#REF!</definedName>
    <definedName name="piedrag" localSheetId="5">#REF!</definedName>
    <definedName name="piedrag" localSheetId="15">#REF!</definedName>
    <definedName name="piedrag" localSheetId="14">#REF!</definedName>
    <definedName name="piedrag" localSheetId="12">#REF!</definedName>
    <definedName name="piedrag" localSheetId="13">#REF!</definedName>
    <definedName name="piedrag" localSheetId="10">#REF!</definedName>
    <definedName name="piedrag">#REF!</definedName>
    <definedName name="PINTURA_01" localSheetId="1">#REF!</definedName>
    <definedName name="PINTURA_01" localSheetId="2">#REF!</definedName>
    <definedName name="PINTURA_01" localSheetId="4">#REF!</definedName>
    <definedName name="PINTURA_01" localSheetId="5">#REF!</definedName>
    <definedName name="PINTURA_01" localSheetId="15">#REF!</definedName>
    <definedName name="PINTURA_01" localSheetId="14">#REF!</definedName>
    <definedName name="PINTURA_01" localSheetId="12">#REF!</definedName>
    <definedName name="PINTURA_01" localSheetId="13">#REF!</definedName>
    <definedName name="PINTURA_01" localSheetId="10">#REF!</definedName>
    <definedName name="PINTURA_01">#REF!</definedName>
    <definedName name="PINTURA_02" localSheetId="1">#REF!</definedName>
    <definedName name="PINTURA_02" localSheetId="2">#REF!</definedName>
    <definedName name="PINTURA_02" localSheetId="4">#REF!</definedName>
    <definedName name="PINTURA_02" localSheetId="5">#REF!</definedName>
    <definedName name="PINTURA_02" localSheetId="15">#REF!</definedName>
    <definedName name="PINTURA_02" localSheetId="14">#REF!</definedName>
    <definedName name="PINTURA_02" localSheetId="12">#REF!</definedName>
    <definedName name="PINTURA_02" localSheetId="13">#REF!</definedName>
    <definedName name="PINTURA_02" localSheetId="10">#REF!</definedName>
    <definedName name="PINTURA_02">#REF!</definedName>
    <definedName name="PINTURA_03" localSheetId="1">#REF!</definedName>
    <definedName name="PINTURA_03" localSheetId="2">#REF!</definedName>
    <definedName name="PINTURA_03" localSheetId="4">#REF!</definedName>
    <definedName name="PINTURA_03" localSheetId="5">#REF!</definedName>
    <definedName name="PINTURA_03" localSheetId="15">#REF!</definedName>
    <definedName name="PINTURA_03" localSheetId="14">#REF!</definedName>
    <definedName name="PINTURA_03" localSheetId="12">#REF!</definedName>
    <definedName name="PINTURA_03" localSheetId="13">#REF!</definedName>
    <definedName name="PINTURA_03" localSheetId="10">#REF!</definedName>
    <definedName name="PINTURA_03">#REF!</definedName>
    <definedName name="PINTURAS" localSheetId="1">#REF!</definedName>
    <definedName name="PINTURAS" localSheetId="2">#REF!</definedName>
    <definedName name="PINTURAS" localSheetId="4">#REF!</definedName>
    <definedName name="PINTURAS" localSheetId="5">#REF!</definedName>
    <definedName name="PINTURAS" localSheetId="15">#REF!</definedName>
    <definedName name="PINTURAS" localSheetId="14">#REF!</definedName>
    <definedName name="PINTURAS" localSheetId="12">#REF!</definedName>
    <definedName name="PINTURAS" localSheetId="13">#REF!</definedName>
    <definedName name="PINTURAS" localSheetId="10">#REF!</definedName>
    <definedName name="PINTURAS">#REF!</definedName>
    <definedName name="plan_cierre_pm" localSheetId="7">#REF!</definedName>
    <definedName name="plan_cierre_pm">'[17]ANEXO 32 - CIERRE DEL RELLENO'!$F$15</definedName>
    <definedName name="plan_cierre_ps" localSheetId="7">#REF!</definedName>
    <definedName name="plan_cierre_ps">'[17]ANEXO 32 - CIERRE DEL RELLENO'!$I$15</definedName>
    <definedName name="PLANCHA01" localSheetId="1">#REF!</definedName>
    <definedName name="PLANCHA01" localSheetId="2">#REF!</definedName>
    <definedName name="PLANCHA01" localSheetId="4">#REF!</definedName>
    <definedName name="PLANCHA01" localSheetId="5">#REF!</definedName>
    <definedName name="PLANCHA01" localSheetId="15">#REF!</definedName>
    <definedName name="PLANCHA01" localSheetId="14">#REF!</definedName>
    <definedName name="PLANCHA01" localSheetId="12">#REF!</definedName>
    <definedName name="PLANCHA01" localSheetId="13">#REF!</definedName>
    <definedName name="PLANCHA01" localSheetId="10">#REF!</definedName>
    <definedName name="PLANCHA01">#REF!</definedName>
    <definedName name="PLANCHA02" localSheetId="1">#REF!</definedName>
    <definedName name="PLANCHA02" localSheetId="2">#REF!</definedName>
    <definedName name="PLANCHA02" localSheetId="4">#REF!</definedName>
    <definedName name="PLANCHA02" localSheetId="5">#REF!</definedName>
    <definedName name="PLANCHA02" localSheetId="15">#REF!</definedName>
    <definedName name="PLANCHA02" localSheetId="14">#REF!</definedName>
    <definedName name="PLANCHA02" localSheetId="12">#REF!</definedName>
    <definedName name="PLANCHA02" localSheetId="13">#REF!</definedName>
    <definedName name="PLANCHA02" localSheetId="10">#REF!</definedName>
    <definedName name="PLANCHA02">#REF!</definedName>
    <definedName name="PLANCHA03" localSheetId="1">#REF!</definedName>
    <definedName name="PLANCHA03" localSheetId="2">#REF!</definedName>
    <definedName name="PLANCHA03" localSheetId="4">#REF!</definedName>
    <definedName name="PLANCHA03" localSheetId="5">#REF!</definedName>
    <definedName name="PLANCHA03" localSheetId="15">#REF!</definedName>
    <definedName name="PLANCHA03" localSheetId="14">#REF!</definedName>
    <definedName name="PLANCHA03" localSheetId="12">#REF!</definedName>
    <definedName name="PLANCHA03" localSheetId="13">#REF!</definedName>
    <definedName name="PLANCHA03" localSheetId="10">#REF!</definedName>
    <definedName name="PLANCHA03">#REF!</definedName>
    <definedName name="plancha3.2" localSheetId="1">#REF!</definedName>
    <definedName name="plancha3.2" localSheetId="2">#REF!</definedName>
    <definedName name="plancha3.2" localSheetId="4">#REF!</definedName>
    <definedName name="plancha3.2" localSheetId="5">#REF!</definedName>
    <definedName name="plancha3.2" localSheetId="15">#REF!</definedName>
    <definedName name="plancha3.2" localSheetId="14">#REF!</definedName>
    <definedName name="plancha3.2" localSheetId="12">#REF!</definedName>
    <definedName name="plancha3.2" localSheetId="13">#REF!</definedName>
    <definedName name="plancha3.2" localSheetId="10">#REF!</definedName>
    <definedName name="plancha3.2">#REF!</definedName>
    <definedName name="PLANCHAS" localSheetId="1">#REF!</definedName>
    <definedName name="PLANCHAS" localSheetId="2">#REF!</definedName>
    <definedName name="PLANCHAS" localSheetId="4">#REF!</definedName>
    <definedName name="PLANCHAS" localSheetId="5">#REF!</definedName>
    <definedName name="PLANCHAS" localSheetId="15">#REF!</definedName>
    <definedName name="PLANCHAS" localSheetId="14">#REF!</definedName>
    <definedName name="PLANCHAS" localSheetId="12">#REF!</definedName>
    <definedName name="PLANCHAS" localSheetId="13">#REF!</definedName>
    <definedName name="PLANCHAS" localSheetId="10">#REF!</definedName>
    <definedName name="PLANCHAS">#REF!</definedName>
    <definedName name="PLATINAS" localSheetId="1">#REF!</definedName>
    <definedName name="PLATINAS" localSheetId="2">#REF!</definedName>
    <definedName name="PLATINAS" localSheetId="4">#REF!</definedName>
    <definedName name="PLATINAS" localSheetId="5">#REF!</definedName>
    <definedName name="PLATINAS" localSheetId="15">#REF!</definedName>
    <definedName name="PLATINAS" localSheetId="14">#REF!</definedName>
    <definedName name="PLATINAS" localSheetId="12">#REF!</definedName>
    <definedName name="PLATINAS" localSheetId="13">#REF!</definedName>
    <definedName name="PLATINAS" localSheetId="10">#REF!</definedName>
    <definedName name="PLATINAS">#REF!</definedName>
    <definedName name="PLEGADO" localSheetId="1">#REF!</definedName>
    <definedName name="PLEGADO" localSheetId="2">#REF!</definedName>
    <definedName name="PLEGADO" localSheetId="4">#REF!</definedName>
    <definedName name="PLEGADO" localSheetId="5">#REF!</definedName>
    <definedName name="PLEGADO" localSheetId="15">#REF!</definedName>
    <definedName name="PLEGADO" localSheetId="14">#REF!</definedName>
    <definedName name="PLEGADO" localSheetId="12">#REF!</definedName>
    <definedName name="PLEGADO" localSheetId="13">#REF!</definedName>
    <definedName name="PLEGADO" localSheetId="10">#REF!</definedName>
    <definedName name="PLEGADO">#REF!</definedName>
    <definedName name="Pob_07" localSheetId="1">#REF!</definedName>
    <definedName name="Pob_07" localSheetId="2">#REF!</definedName>
    <definedName name="Pob_07" localSheetId="4">#REF!</definedName>
    <definedName name="Pob_07" localSheetId="3">#REF!</definedName>
    <definedName name="Pob_07" localSheetId="8">#REF!</definedName>
    <definedName name="Pob_07" localSheetId="5">#REF!</definedName>
    <definedName name="Pob_07" localSheetId="15">#REF!</definedName>
    <definedName name="Pob_07" localSheetId="14">#REF!</definedName>
    <definedName name="Pob_07" localSheetId="12">#REF!</definedName>
    <definedName name="Pob_07" localSheetId="13">#REF!</definedName>
    <definedName name="Pob_07" localSheetId="10">#REF!</definedName>
    <definedName name="Pob_07" localSheetId="7">#REF!</definedName>
    <definedName name="Pob_07">#REF!</definedName>
    <definedName name="Pob_93" localSheetId="1">#REF!</definedName>
    <definedName name="Pob_93" localSheetId="2">#REF!</definedName>
    <definedName name="Pob_93" localSheetId="4">#REF!</definedName>
    <definedName name="Pob_93" localSheetId="3">#REF!</definedName>
    <definedName name="Pob_93" localSheetId="8">#REF!</definedName>
    <definedName name="Pob_93" localSheetId="5">#REF!</definedName>
    <definedName name="Pob_93" localSheetId="15">#REF!</definedName>
    <definedName name="Pob_93" localSheetId="14">#REF!</definedName>
    <definedName name="Pob_93" localSheetId="12">#REF!</definedName>
    <definedName name="Pob_93" localSheetId="13">#REF!</definedName>
    <definedName name="Pob_93" localSheetId="10">#REF!</definedName>
    <definedName name="Pob_93" localSheetId="7">#REF!</definedName>
    <definedName name="Pob_93">#REF!</definedName>
    <definedName name="pomoc">[27]resoc!$I$9</definedName>
    <definedName name="por" localSheetId="1">#REF!</definedName>
    <definedName name="por" localSheetId="2">#REF!</definedName>
    <definedName name="por" localSheetId="4">#REF!</definedName>
    <definedName name="por" localSheetId="5">#REF!</definedName>
    <definedName name="por" localSheetId="15">#REF!</definedName>
    <definedName name="por" localSheetId="14">#REF!</definedName>
    <definedName name="por" localSheetId="12">#REF!</definedName>
    <definedName name="por" localSheetId="13">#REF!</definedName>
    <definedName name="por" localSheetId="10">#REF!</definedName>
    <definedName name="por">#REF!</definedName>
    <definedName name="Porcent_Inorg" localSheetId="1">#REF!</definedName>
    <definedName name="Porcent_Inorg" localSheetId="2">#REF!</definedName>
    <definedName name="Porcent_Inorg" localSheetId="4">#REF!</definedName>
    <definedName name="Porcent_Inorg" localSheetId="3">#REF!</definedName>
    <definedName name="Porcent_Inorg" localSheetId="8">#REF!</definedName>
    <definedName name="Porcent_Inorg" localSheetId="5">#REF!</definedName>
    <definedName name="Porcent_Inorg" localSheetId="15">#REF!</definedName>
    <definedName name="Porcent_Inorg" localSheetId="14">#REF!</definedName>
    <definedName name="Porcent_Inorg" localSheetId="12">#REF!</definedName>
    <definedName name="Porcent_Inorg" localSheetId="13">#REF!</definedName>
    <definedName name="Porcent_Inorg" localSheetId="10">#REF!</definedName>
    <definedName name="Porcent_Inorg" localSheetId="7">#REF!</definedName>
    <definedName name="Porcent_Inorg">#REF!</definedName>
    <definedName name="Porcent_organ" localSheetId="1">#REF!</definedName>
    <definedName name="Porcent_organ" localSheetId="2">#REF!</definedName>
    <definedName name="Porcent_organ" localSheetId="4">#REF!</definedName>
    <definedName name="Porcent_organ" localSheetId="3">#REF!</definedName>
    <definedName name="Porcent_organ" localSheetId="8">#REF!</definedName>
    <definedName name="Porcent_organ" localSheetId="5">#REF!</definedName>
    <definedName name="Porcent_organ" localSheetId="15">#REF!</definedName>
    <definedName name="Porcent_organ" localSheetId="14">#REF!</definedName>
    <definedName name="Porcent_organ" localSheetId="12">#REF!</definedName>
    <definedName name="Porcent_organ" localSheetId="13">#REF!</definedName>
    <definedName name="Porcent_organ" localSheetId="10">#REF!</definedName>
    <definedName name="Porcent_organ" localSheetId="7">'[28]ANEXO 3 - Composición RSM'!$C$51</definedName>
    <definedName name="Porcent_organ">#REF!</definedName>
    <definedName name="PRESION01" localSheetId="1">#REF!</definedName>
    <definedName name="PRESION01" localSheetId="2">#REF!</definedName>
    <definedName name="PRESION01" localSheetId="4">#REF!</definedName>
    <definedName name="PRESION01" localSheetId="5">#REF!</definedName>
    <definedName name="PRESION01" localSheetId="15">#REF!</definedName>
    <definedName name="PRESION01" localSheetId="14">#REF!</definedName>
    <definedName name="PRESION01" localSheetId="12">#REF!</definedName>
    <definedName name="PRESION01" localSheetId="13">#REF!</definedName>
    <definedName name="PRESION01" localSheetId="10">#REF!</definedName>
    <definedName name="PRESION01">#REF!</definedName>
    <definedName name="PRESION02" localSheetId="1">#REF!</definedName>
    <definedName name="PRESION02" localSheetId="2">#REF!</definedName>
    <definedName name="PRESION02" localSheetId="4">#REF!</definedName>
    <definedName name="PRESION02" localSheetId="5">#REF!</definedName>
    <definedName name="PRESION02" localSheetId="15">#REF!</definedName>
    <definedName name="PRESION02" localSheetId="14">#REF!</definedName>
    <definedName name="PRESION02" localSheetId="12">#REF!</definedName>
    <definedName name="PRESION02" localSheetId="13">#REF!</definedName>
    <definedName name="PRESION02" localSheetId="10">#REF!</definedName>
    <definedName name="PRESION02">#REF!</definedName>
    <definedName name="PRESION03" localSheetId="1">#REF!</definedName>
    <definedName name="PRESION03" localSheetId="2">#REF!</definedName>
    <definedName name="PRESION03" localSheetId="4">#REF!</definedName>
    <definedName name="PRESION03" localSheetId="5">#REF!</definedName>
    <definedName name="PRESION03" localSheetId="15">#REF!</definedName>
    <definedName name="PRESION03" localSheetId="14">#REF!</definedName>
    <definedName name="PRESION03" localSheetId="12">#REF!</definedName>
    <definedName name="PRESION03" localSheetId="13">#REF!</definedName>
    <definedName name="PRESION03" localSheetId="10">#REF!</definedName>
    <definedName name="PRESION03">#REF!</definedName>
    <definedName name="Print_Area_MI" localSheetId="1">#REF!</definedName>
    <definedName name="Print_Area_MI" localSheetId="2">#REF!</definedName>
    <definedName name="Print_Area_MI" localSheetId="4">#REF!</definedName>
    <definedName name="Print_Area_MI" localSheetId="5">#REF!</definedName>
    <definedName name="Print_Area_MI" localSheetId="15">#REF!</definedName>
    <definedName name="Print_Area_MI" localSheetId="14">#REF!</definedName>
    <definedName name="Print_Area_MI" localSheetId="12">#REF!</definedName>
    <definedName name="Print_Area_MI" localSheetId="13">#REF!</definedName>
    <definedName name="Print_Area_MI" localSheetId="10">#REF!</definedName>
    <definedName name="Print_Area_MI">#REF!</definedName>
    <definedName name="Print_Titles_MI" localSheetId="1">#REF!</definedName>
    <definedName name="Print_Titles_MI" localSheetId="2">#REF!</definedName>
    <definedName name="Print_Titles_MI" localSheetId="4">#REF!</definedName>
    <definedName name="Print_Titles_MI" localSheetId="5">#REF!</definedName>
    <definedName name="Print_Titles_MI" localSheetId="15">#REF!</definedName>
    <definedName name="Print_Titles_MI" localSheetId="14">#REF!</definedName>
    <definedName name="Print_Titles_MI" localSheetId="12">#REF!</definedName>
    <definedName name="Print_Titles_MI" localSheetId="13">#REF!</definedName>
    <definedName name="Print_Titles_MI" localSheetId="10">#REF!</definedName>
    <definedName name="Print_Titles_MI">#REF!</definedName>
    <definedName name="PROCESOS" localSheetId="1">#REF!</definedName>
    <definedName name="PROCESOS" localSheetId="2">#REF!</definedName>
    <definedName name="PROCESOS" localSheetId="4">#REF!</definedName>
    <definedName name="PROCESOS" localSheetId="5">#REF!</definedName>
    <definedName name="PROCESOS" localSheetId="15">#REF!</definedName>
    <definedName name="PROCESOS" localSheetId="14">#REF!</definedName>
    <definedName name="PROCESOS" localSheetId="12">#REF!</definedName>
    <definedName name="PROCESOS" localSheetId="13">#REF!</definedName>
    <definedName name="PROCESOS" localSheetId="10">#REF!</definedName>
    <definedName name="PROCESOS">#REF!</definedName>
    <definedName name="Provincia" localSheetId="1">#REF!</definedName>
    <definedName name="Provincia" localSheetId="2">#REF!</definedName>
    <definedName name="Provincia" localSheetId="18">#REF!</definedName>
    <definedName name="Provincia" localSheetId="4">#REF!</definedName>
    <definedName name="Provincia" localSheetId="3">#REF!</definedName>
    <definedName name="Provincia" localSheetId="8">#REF!</definedName>
    <definedName name="Provincia" localSheetId="5">#REF!</definedName>
    <definedName name="Provincia" localSheetId="15">#REF!</definedName>
    <definedName name="Provincia" localSheetId="14">#REF!</definedName>
    <definedName name="Provincia" localSheetId="12">#REF!</definedName>
    <definedName name="Provincia" localSheetId="13">#REF!</definedName>
    <definedName name="Provincia" localSheetId="10">#REF!</definedName>
    <definedName name="Provincia" localSheetId="7">#REF!</definedName>
    <definedName name="Provincia">#REF!</definedName>
    <definedName name="PTG" localSheetId="1">#REF!</definedName>
    <definedName name="PTG" localSheetId="2">#REF!</definedName>
    <definedName name="PTG" localSheetId="4">#REF!</definedName>
    <definedName name="PTG" localSheetId="5">#REF!</definedName>
    <definedName name="PTG" localSheetId="15">#REF!</definedName>
    <definedName name="PTG" localSheetId="14">#REF!</definedName>
    <definedName name="PTG" localSheetId="12">#REF!</definedName>
    <definedName name="PTG" localSheetId="13">#REF!</definedName>
    <definedName name="PTG" localSheetId="10">#REF!</definedName>
    <definedName name="PTG">#REF!</definedName>
    <definedName name="PUERTASALUMINIO" localSheetId="1">#REF!</definedName>
    <definedName name="PUERTASALUMINIO" localSheetId="2">#REF!</definedName>
    <definedName name="PUERTASALUMINIO" localSheetId="4">#REF!</definedName>
    <definedName name="PUERTASALUMINIO" localSheetId="5">#REF!</definedName>
    <definedName name="PUERTASALUMINIO" localSheetId="15">#REF!</definedName>
    <definedName name="PUERTASALUMINIO" localSheetId="14">#REF!</definedName>
    <definedName name="PUERTASALUMINIO" localSheetId="12">#REF!</definedName>
    <definedName name="PUERTASALUMINIO" localSheetId="13">#REF!</definedName>
    <definedName name="PUERTASALUMINIO" localSheetId="10">#REF!</definedName>
    <definedName name="PUERTASALUMINIO">#REF!</definedName>
    <definedName name="punta" localSheetId="1">#REF!</definedName>
    <definedName name="punta" localSheetId="2">#REF!</definedName>
    <definedName name="punta" localSheetId="4">#REF!</definedName>
    <definedName name="punta" localSheetId="5">#REF!</definedName>
    <definedName name="punta" localSheetId="15">#REF!</definedName>
    <definedName name="punta" localSheetId="14">#REF!</definedName>
    <definedName name="punta" localSheetId="12">#REF!</definedName>
    <definedName name="punta" localSheetId="13">#REF!</definedName>
    <definedName name="punta" localSheetId="10">#REF!</definedName>
    <definedName name="punta">#REF!</definedName>
    <definedName name="pvc" localSheetId="1">#REF!</definedName>
    <definedName name="pvc" localSheetId="2">#REF!</definedName>
    <definedName name="pvc" localSheetId="4">#REF!</definedName>
    <definedName name="pvc" localSheetId="5">#REF!</definedName>
    <definedName name="pvc" localSheetId="15">#REF!</definedName>
    <definedName name="pvc" localSheetId="14">#REF!</definedName>
    <definedName name="pvc" localSheetId="12">#REF!</definedName>
    <definedName name="pvc" localSheetId="13">#REF!</definedName>
    <definedName name="pvc" localSheetId="10">#REF!</definedName>
    <definedName name="pvc">#REF!</definedName>
    <definedName name="QUERYEQLIST" localSheetId="1">#REF!</definedName>
    <definedName name="QUERYEQLIST" localSheetId="2">#REF!</definedName>
    <definedName name="QUERYEQLIST" localSheetId="4">#REF!</definedName>
    <definedName name="QUERYEQLIST" localSheetId="5">#REF!</definedName>
    <definedName name="QUERYEQLIST" localSheetId="15">#REF!</definedName>
    <definedName name="QUERYEQLIST" localSheetId="14">#REF!</definedName>
    <definedName name="QUERYEQLIST" localSheetId="12">#REF!</definedName>
    <definedName name="QUERYEQLIST" localSheetId="13">#REF!</definedName>
    <definedName name="QUERYEQLIST" localSheetId="10">#REF!</definedName>
    <definedName name="QUERYEQLIST">#REF!</definedName>
    <definedName name="Quimilac" localSheetId="1">#REF!</definedName>
    <definedName name="Quimilac" localSheetId="2">#REF!</definedName>
    <definedName name="Quimilac" localSheetId="4">#REF!</definedName>
    <definedName name="Quimilac" localSheetId="5">#REF!</definedName>
    <definedName name="Quimilac" localSheetId="15">#REF!</definedName>
    <definedName name="Quimilac" localSheetId="14">#REF!</definedName>
    <definedName name="Quimilac" localSheetId="12">#REF!</definedName>
    <definedName name="Quimilac" localSheetId="13">#REF!</definedName>
    <definedName name="Quimilac" localSheetId="10">#REF!</definedName>
    <definedName name="Quimilac">#REF!</definedName>
    <definedName name="Quimisolven" localSheetId="1">#REF!</definedName>
    <definedName name="Quimisolven" localSheetId="2">#REF!</definedName>
    <definedName name="Quimisolven" localSheetId="4">#REF!</definedName>
    <definedName name="Quimisolven" localSheetId="5">#REF!</definedName>
    <definedName name="Quimisolven" localSheetId="15">#REF!</definedName>
    <definedName name="Quimisolven" localSheetId="14">#REF!</definedName>
    <definedName name="Quimisolven" localSheetId="12">#REF!</definedName>
    <definedName name="Quimisolven" localSheetId="13">#REF!</definedName>
    <definedName name="Quimisolven" localSheetId="10">#REF!</definedName>
    <definedName name="Quimisolven">#REF!</definedName>
    <definedName name="RBAH" localSheetId="1">#REF!</definedName>
    <definedName name="RBAH" localSheetId="2">#REF!</definedName>
    <definedName name="RBAH" localSheetId="4">#REF!</definedName>
    <definedName name="RBAH" localSheetId="5">#REF!</definedName>
    <definedName name="RBAH" localSheetId="15">#REF!</definedName>
    <definedName name="RBAH" localSheetId="14">#REF!</definedName>
    <definedName name="RBAH" localSheetId="12">#REF!</definedName>
    <definedName name="RBAH" localSheetId="13">#REF!</definedName>
    <definedName name="RBAH" localSheetId="10">#REF!</definedName>
    <definedName name="RBAH">#REF!</definedName>
    <definedName name="reaprov">[11]Hoja2!$B$6:$B$11</definedName>
    <definedName name="recolec_cxc1" localSheetId="1">#REF!</definedName>
    <definedName name="recolec_cxc1" localSheetId="2">#REF!</definedName>
    <definedName name="recolec_cxc1" localSheetId="18">#REF!</definedName>
    <definedName name="recolec_cxc1" localSheetId="4">#REF!</definedName>
    <definedName name="recolec_cxc1" localSheetId="3">#REF!</definedName>
    <definedName name="recolec_cxc1" localSheetId="8">#REF!</definedName>
    <definedName name="recolec_cxc1" localSheetId="5">#REF!</definedName>
    <definedName name="recolec_cxc1" localSheetId="15">#REF!</definedName>
    <definedName name="recolec_cxc1" localSheetId="14">#REF!</definedName>
    <definedName name="recolec_cxc1" localSheetId="12">#REF!</definedName>
    <definedName name="recolec_cxc1" localSheetId="13">#REF!</definedName>
    <definedName name="recolec_cxc1" localSheetId="10">#REF!</definedName>
    <definedName name="recolec_cxc1" localSheetId="7">#REF!</definedName>
    <definedName name="recolec_cxc1">#REF!</definedName>
    <definedName name="recolec_cxc2" localSheetId="1">#REF!</definedName>
    <definedName name="recolec_cxc2" localSheetId="2">#REF!</definedName>
    <definedName name="recolec_cxc2" localSheetId="18">#REF!</definedName>
    <definedName name="recolec_cxc2" localSheetId="4">#REF!</definedName>
    <definedName name="recolec_cxc2" localSheetId="3">#REF!</definedName>
    <definedName name="recolec_cxc2" localSheetId="8">#REF!</definedName>
    <definedName name="recolec_cxc2" localSheetId="5">#REF!</definedName>
    <definedName name="recolec_cxc2" localSheetId="15">#REF!</definedName>
    <definedName name="recolec_cxc2" localSheetId="14">#REF!</definedName>
    <definedName name="recolec_cxc2" localSheetId="12">#REF!</definedName>
    <definedName name="recolec_cxc2" localSheetId="13">#REF!</definedName>
    <definedName name="recolec_cxc2" localSheetId="10">#REF!</definedName>
    <definedName name="recolec_cxc2" localSheetId="7">#REF!</definedName>
    <definedName name="recolec_cxc2">#REF!</definedName>
    <definedName name="recolec_volant2" localSheetId="1">#REF!</definedName>
    <definedName name="recolec_volant2" localSheetId="2">#REF!</definedName>
    <definedName name="recolec_volant2" localSheetId="18">#REF!</definedName>
    <definedName name="recolec_volant2" localSheetId="4">#REF!</definedName>
    <definedName name="recolec_volant2" localSheetId="3">#REF!</definedName>
    <definedName name="recolec_volant2" localSheetId="8">#REF!</definedName>
    <definedName name="recolec_volant2" localSheetId="5">#REF!</definedName>
    <definedName name="recolec_volant2" localSheetId="15">#REF!</definedName>
    <definedName name="recolec_volant2" localSheetId="14">#REF!</definedName>
    <definedName name="recolec_volant2" localSheetId="12">#REF!</definedName>
    <definedName name="recolec_volant2" localSheetId="13">#REF!</definedName>
    <definedName name="recolec_volant2" localSheetId="10">#REF!</definedName>
    <definedName name="recolec_volant2" localSheetId="7">#REF!</definedName>
    <definedName name="recolec_volant2">#REF!</definedName>
    <definedName name="recolec_volanteo1" localSheetId="1">#REF!</definedName>
    <definedName name="recolec_volanteo1" localSheetId="2">#REF!</definedName>
    <definedName name="recolec_volanteo1" localSheetId="18">#REF!</definedName>
    <definedName name="recolec_volanteo1" localSheetId="4">#REF!</definedName>
    <definedName name="recolec_volanteo1" localSheetId="3">#REF!</definedName>
    <definedName name="recolec_volanteo1" localSheetId="8">#REF!</definedName>
    <definedName name="recolec_volanteo1" localSheetId="5">#REF!</definedName>
    <definedName name="recolec_volanteo1" localSheetId="15">#REF!</definedName>
    <definedName name="recolec_volanteo1" localSheetId="14">#REF!</definedName>
    <definedName name="recolec_volanteo1" localSheetId="12">#REF!</definedName>
    <definedName name="recolec_volanteo1" localSheetId="13">#REF!</definedName>
    <definedName name="recolec_volanteo1" localSheetId="10">#REF!</definedName>
    <definedName name="recolec_volanteo1" localSheetId="7">#REF!</definedName>
    <definedName name="recolec_volanteo1">#REF!</definedName>
    <definedName name="RECURSOS" localSheetId="1">#REF!</definedName>
    <definedName name="RECURSOS" localSheetId="2">#REF!</definedName>
    <definedName name="RECURSOS" localSheetId="4">#REF!</definedName>
    <definedName name="RECURSOS" localSheetId="5">#REF!</definedName>
    <definedName name="RECURSOS" localSheetId="15">#REF!</definedName>
    <definedName name="RECURSOS" localSheetId="14">#REF!</definedName>
    <definedName name="RECURSOS" localSheetId="12">#REF!</definedName>
    <definedName name="RECURSOS" localSheetId="13">#REF!</definedName>
    <definedName name="RECURSOS" localSheetId="10">#REF!</definedName>
    <definedName name="RECURSOS">#REF!</definedName>
    <definedName name="Region" localSheetId="1">#REF!</definedName>
    <definedName name="Region" localSheetId="2">#REF!</definedName>
    <definedName name="Region" localSheetId="18">#REF!</definedName>
    <definedName name="Region" localSheetId="4">#REF!</definedName>
    <definedName name="Region" localSheetId="3">#REF!</definedName>
    <definedName name="Region" localSheetId="8">#REF!</definedName>
    <definedName name="Region" localSheetId="5">#REF!</definedName>
    <definedName name="Region" localSheetId="15">#REF!</definedName>
    <definedName name="Region" localSheetId="14">#REF!</definedName>
    <definedName name="Region" localSheetId="12">#REF!</definedName>
    <definedName name="Region" localSheetId="13">#REF!</definedName>
    <definedName name="Region" localSheetId="10">#REF!</definedName>
    <definedName name="Region" localSheetId="7">#REF!</definedName>
    <definedName name="Region">#REF!</definedName>
    <definedName name="REM" localSheetId="1">#REF!</definedName>
    <definedName name="REM" localSheetId="2">#REF!</definedName>
    <definedName name="REM" localSheetId="4">#REF!</definedName>
    <definedName name="REM" localSheetId="5">#REF!</definedName>
    <definedName name="REM" localSheetId="15">#REF!</definedName>
    <definedName name="REM" localSheetId="14">#REF!</definedName>
    <definedName name="REM" localSheetId="12">#REF!</definedName>
    <definedName name="REM" localSheetId="13">#REF!</definedName>
    <definedName name="REM" localSheetId="10">#REF!</definedName>
    <definedName name="REM">#REF!</definedName>
    <definedName name="RENDIMIENTOS" localSheetId="1">#REF!</definedName>
    <definedName name="RENDIMIENTOS" localSheetId="2">#REF!</definedName>
    <definedName name="RENDIMIENTOS" localSheetId="4">#REF!</definedName>
    <definedName name="RENDIMIENTOS" localSheetId="5">#REF!</definedName>
    <definedName name="RENDIMIENTOS" localSheetId="15">#REF!</definedName>
    <definedName name="RENDIMIENTOS" localSheetId="14">#REF!</definedName>
    <definedName name="RENDIMIENTOS" localSheetId="12">#REF!</definedName>
    <definedName name="RENDIMIENTOS" localSheetId="13">#REF!</definedName>
    <definedName name="RENDIMIENTOS" localSheetId="10">#REF!</definedName>
    <definedName name="RENDIMIENTOS">#REF!</definedName>
    <definedName name="Resultado_Consultorias" localSheetId="1">#REF!</definedName>
    <definedName name="Resultado_Consultorias" localSheetId="2">#REF!</definedName>
    <definedName name="Resultado_Consultorias" localSheetId="4">#REF!</definedName>
    <definedName name="Resultado_Consultorias" localSheetId="3">#REF!</definedName>
    <definedName name="Resultado_Consultorias" localSheetId="8">#REF!</definedName>
    <definedName name="Resultado_Consultorias" localSheetId="5">#REF!</definedName>
    <definedName name="Resultado_Consultorias" localSheetId="15">#REF!</definedName>
    <definedName name="Resultado_Consultorias" localSheetId="14">#REF!</definedName>
    <definedName name="Resultado_Consultorias" localSheetId="12">#REF!</definedName>
    <definedName name="Resultado_Consultorias" localSheetId="13">#REF!</definedName>
    <definedName name="Resultado_Consultorias" localSheetId="10">#REF!</definedName>
    <definedName name="Resultado_Consultorias" localSheetId="7">#REF!</definedName>
    <definedName name="Resultado_Consultorias">#REF!</definedName>
    <definedName name="Resultado_Equipamiento" localSheetId="1">#REF!</definedName>
    <definedName name="Resultado_Equipamiento" localSheetId="2">#REF!</definedName>
    <definedName name="Resultado_Equipamiento" localSheetId="4">#REF!</definedName>
    <definedName name="Resultado_Equipamiento" localSheetId="3">#REF!</definedName>
    <definedName name="Resultado_Equipamiento" localSheetId="8">#REF!</definedName>
    <definedName name="Resultado_Equipamiento" localSheetId="5">#REF!</definedName>
    <definedName name="Resultado_Equipamiento" localSheetId="15">#REF!</definedName>
    <definedName name="Resultado_Equipamiento" localSheetId="14">#REF!</definedName>
    <definedName name="Resultado_Equipamiento" localSheetId="12">#REF!</definedName>
    <definedName name="Resultado_Equipamiento" localSheetId="13">#REF!</definedName>
    <definedName name="Resultado_Equipamiento" localSheetId="10">#REF!</definedName>
    <definedName name="Resultado_Equipamiento" localSheetId="7">#REF!</definedName>
    <definedName name="Resultado_Equipamiento">#REF!</definedName>
    <definedName name="Resultado_ManejoResiduos" localSheetId="1">#REF!</definedName>
    <definedName name="Resultado_ManejoResiduos" localSheetId="2">#REF!</definedName>
    <definedName name="Resultado_ManejoResiduos" localSheetId="4">#REF!</definedName>
    <definedName name="Resultado_ManejoResiduos" localSheetId="3">#REF!</definedName>
    <definedName name="Resultado_ManejoResiduos" localSheetId="8">#REF!</definedName>
    <definedName name="Resultado_ManejoResiduos" localSheetId="5">#REF!</definedName>
    <definedName name="Resultado_ManejoResiduos" localSheetId="15">#REF!</definedName>
    <definedName name="Resultado_ManejoResiduos" localSheetId="14">#REF!</definedName>
    <definedName name="Resultado_ManejoResiduos" localSheetId="12">#REF!</definedName>
    <definedName name="Resultado_ManejoResiduos" localSheetId="13">#REF!</definedName>
    <definedName name="Resultado_ManejoResiduos" localSheetId="10">#REF!</definedName>
    <definedName name="Resultado_ManejoResiduos" localSheetId="7">#REF!</definedName>
    <definedName name="Resultado_ManejoResiduos">#REF!</definedName>
    <definedName name="Resultado_Obras" localSheetId="1">#REF!</definedName>
    <definedName name="Resultado_Obras" localSheetId="2">#REF!</definedName>
    <definedName name="Resultado_Obras" localSheetId="4">#REF!</definedName>
    <definedName name="Resultado_Obras" localSheetId="3">#REF!</definedName>
    <definedName name="Resultado_Obras" localSheetId="8">#REF!</definedName>
    <definedName name="Resultado_Obras" localSheetId="5">#REF!</definedName>
    <definedName name="Resultado_Obras" localSheetId="15">#REF!</definedName>
    <definedName name="Resultado_Obras" localSheetId="14">#REF!</definedName>
    <definedName name="Resultado_Obras" localSheetId="12">#REF!</definedName>
    <definedName name="Resultado_Obras" localSheetId="13">#REF!</definedName>
    <definedName name="Resultado_Obras" localSheetId="10">#REF!</definedName>
    <definedName name="Resultado_Obras" localSheetId="7">#REF!</definedName>
    <definedName name="Resultado_Obras">#REF!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FALSE</definedName>
    <definedName name="rodillo" localSheetId="1">#REF!</definedName>
    <definedName name="rodillo" localSheetId="2">#REF!</definedName>
    <definedName name="rodillo" localSheetId="4">#REF!</definedName>
    <definedName name="rodillo" localSheetId="5">#REF!</definedName>
    <definedName name="rodillo" localSheetId="15">#REF!</definedName>
    <definedName name="rodillo" localSheetId="14">#REF!</definedName>
    <definedName name="rodillo" localSheetId="12">#REF!</definedName>
    <definedName name="rodillo" localSheetId="13">#REF!</definedName>
    <definedName name="rodillo" localSheetId="10">#REF!</definedName>
    <definedName name="rodillo">#REF!</definedName>
    <definedName name="ROLDADO" localSheetId="1">#REF!</definedName>
    <definedName name="ROLDADO" localSheetId="2">#REF!</definedName>
    <definedName name="ROLDADO" localSheetId="4">#REF!</definedName>
    <definedName name="ROLDADO" localSheetId="5">#REF!</definedName>
    <definedName name="ROLDADO" localSheetId="15">#REF!</definedName>
    <definedName name="ROLDADO" localSheetId="14">#REF!</definedName>
    <definedName name="ROLDADO" localSheetId="12">#REF!</definedName>
    <definedName name="ROLDADO" localSheetId="13">#REF!</definedName>
    <definedName name="ROLDADO" localSheetId="10">#REF!</definedName>
    <definedName name="ROLDADO">#REF!</definedName>
    <definedName name="RPHA" localSheetId="1">#REF!</definedName>
    <definedName name="RPHA" localSheetId="2">#REF!</definedName>
    <definedName name="RPHA" localSheetId="4">#REF!</definedName>
    <definedName name="RPHA" localSheetId="5">#REF!</definedName>
    <definedName name="RPHA" localSheetId="15">#REF!</definedName>
    <definedName name="RPHA" localSheetId="14">#REF!</definedName>
    <definedName name="RPHA" localSheetId="12">#REF!</definedName>
    <definedName name="RPHA" localSheetId="13">#REF!</definedName>
    <definedName name="RPHA" localSheetId="10">#REF!</definedName>
    <definedName name="RPHA">#REF!</definedName>
    <definedName name="SBH" localSheetId="1">#REF!</definedName>
    <definedName name="SBH" localSheetId="2">#REF!</definedName>
    <definedName name="SBH" localSheetId="4">#REF!</definedName>
    <definedName name="SBH" localSheetId="5">#REF!</definedName>
    <definedName name="SBH" localSheetId="15">#REF!</definedName>
    <definedName name="SBH" localSheetId="14">#REF!</definedName>
    <definedName name="SBH" localSheetId="12">#REF!</definedName>
    <definedName name="SBH" localSheetId="13">#REF!</definedName>
    <definedName name="SBH" localSheetId="10">#REF!</definedName>
    <definedName name="SBH">#REF!</definedName>
    <definedName name="SC" localSheetId="1">#REF!</definedName>
    <definedName name="SC" localSheetId="2">#REF!</definedName>
    <definedName name="SC" localSheetId="4">#REF!</definedName>
    <definedName name="SC" localSheetId="5">#REF!</definedName>
    <definedName name="SC" localSheetId="15">#REF!</definedName>
    <definedName name="SC" localSheetId="14">#REF!</definedName>
    <definedName name="SC" localSheetId="12">#REF!</definedName>
    <definedName name="SC" localSheetId="13">#REF!</definedName>
    <definedName name="SC" localSheetId="10">#REF!</definedName>
    <definedName name="SC">#REF!</definedName>
    <definedName name="sellador" localSheetId="1">#REF!</definedName>
    <definedName name="sellador" localSheetId="2">#REF!</definedName>
    <definedName name="sellador" localSheetId="4">#REF!</definedName>
    <definedName name="sellador" localSheetId="5">#REF!</definedName>
    <definedName name="sellador" localSheetId="15">#REF!</definedName>
    <definedName name="sellador" localSheetId="14">#REF!</definedName>
    <definedName name="sellador" localSheetId="12">#REF!</definedName>
    <definedName name="sellador" localSheetId="13">#REF!</definedName>
    <definedName name="sellador" localSheetId="10">#REF!</definedName>
    <definedName name="sellador">#REF!</definedName>
    <definedName name="SERVICIOS" localSheetId="1">#REF!</definedName>
    <definedName name="SERVICIOS" localSheetId="2">#REF!</definedName>
    <definedName name="SERVICIOS" localSheetId="4">#REF!</definedName>
    <definedName name="SERVICIOS" localSheetId="5">#REF!</definedName>
    <definedName name="SERVICIOS" localSheetId="15">#REF!</definedName>
    <definedName name="SERVICIOS" localSheetId="14">#REF!</definedName>
    <definedName name="SERVICIOS" localSheetId="12">#REF!</definedName>
    <definedName name="SERVICIOS" localSheetId="13">#REF!</definedName>
    <definedName name="SERVICIOS" localSheetId="10">#REF!</definedName>
    <definedName name="SERVICIOS">#REF!</definedName>
    <definedName name="SEXO" localSheetId="1">#REF!</definedName>
    <definedName name="SEXO" localSheetId="2">#REF!</definedName>
    <definedName name="SEXO" localSheetId="4">#REF!</definedName>
    <definedName name="SEXO" localSheetId="5">#REF!</definedName>
    <definedName name="SEXO" localSheetId="15">#REF!</definedName>
    <definedName name="SEXO" localSheetId="14">#REF!</definedName>
    <definedName name="SEXO" localSheetId="12">#REF!</definedName>
    <definedName name="SEXO" localSheetId="13">#REF!</definedName>
    <definedName name="SEXO" localSheetId="10">#REF!</definedName>
    <definedName name="SEXO">#REF!</definedName>
    <definedName name="sheet6" localSheetId="1">[2]Hoja3!#REF!</definedName>
    <definedName name="sheet6" localSheetId="2">[2]Hoja3!#REF!</definedName>
    <definedName name="sheet6" localSheetId="4">[2]Hoja3!#REF!</definedName>
    <definedName name="sheet6" localSheetId="5">[2]Hoja3!#REF!</definedName>
    <definedName name="sheet6" localSheetId="15">[2]Hoja3!#REF!</definedName>
    <definedName name="sheet6" localSheetId="14">[2]Hoja3!#REF!</definedName>
    <definedName name="sheet6" localSheetId="12">[2]Hoja3!#REF!</definedName>
    <definedName name="sheet6" localSheetId="13">[2]Hoja3!#REF!</definedName>
    <definedName name="sheet6" localSheetId="10">[2]Hoja3!#REF!</definedName>
    <definedName name="sheet6">[2]Hoja3!#REF!</definedName>
    <definedName name="sheet6_1" localSheetId="1">[2]Hoja3!#REF!</definedName>
    <definedName name="sheet6_1" localSheetId="2">[2]Hoja3!#REF!</definedName>
    <definedName name="sheet6_1" localSheetId="4">[2]Hoja3!#REF!</definedName>
    <definedName name="sheet6_1" localSheetId="5">[2]Hoja3!#REF!</definedName>
    <definedName name="sheet6_1" localSheetId="15">[2]Hoja3!#REF!</definedName>
    <definedName name="sheet6_1" localSheetId="14">[2]Hoja3!#REF!</definedName>
    <definedName name="sheet6_1" localSheetId="12">[2]Hoja3!#REF!</definedName>
    <definedName name="sheet6_1" localSheetId="13">[2]Hoja3!#REF!</definedName>
    <definedName name="sheet6_1" localSheetId="10">[2]Hoja3!#REF!</definedName>
    <definedName name="sheet6_1">[2]Hoja3!#REF!</definedName>
    <definedName name="sika1" localSheetId="1">#REF!</definedName>
    <definedName name="sika1" localSheetId="2">#REF!</definedName>
    <definedName name="sika1" localSheetId="4">#REF!</definedName>
    <definedName name="sika1" localSheetId="5">#REF!</definedName>
    <definedName name="sika1" localSheetId="15">#REF!</definedName>
    <definedName name="sika1" localSheetId="14">#REF!</definedName>
    <definedName name="sika1" localSheetId="12">#REF!</definedName>
    <definedName name="sika1" localSheetId="13">#REF!</definedName>
    <definedName name="sika1" localSheetId="10">#REF!</definedName>
    <definedName name="sika1">#REF!</definedName>
    <definedName name="sikapiso40" localSheetId="1">#REF!</definedName>
    <definedName name="sikapiso40" localSheetId="2">#REF!</definedName>
    <definedName name="sikapiso40" localSheetId="4">#REF!</definedName>
    <definedName name="sikapiso40" localSheetId="5">#REF!</definedName>
    <definedName name="sikapiso40" localSheetId="15">#REF!</definedName>
    <definedName name="sikapiso40" localSheetId="14">#REF!</definedName>
    <definedName name="sikapiso40" localSheetId="12">#REF!</definedName>
    <definedName name="sikapiso40" localSheetId="13">#REF!</definedName>
    <definedName name="sikapiso40" localSheetId="10">#REF!</definedName>
    <definedName name="sikapiso40">#REF!</definedName>
    <definedName name="SISTEMA1" localSheetId="1">#REF!</definedName>
    <definedName name="SISTEMA1" localSheetId="2">#REF!</definedName>
    <definedName name="SISTEMA1" localSheetId="4">#REF!</definedName>
    <definedName name="SISTEMA1" localSheetId="5">#REF!</definedName>
    <definedName name="SISTEMA1" localSheetId="15">#REF!</definedName>
    <definedName name="SISTEMA1" localSheetId="14">#REF!</definedName>
    <definedName name="SISTEMA1" localSheetId="12">#REF!</definedName>
    <definedName name="SISTEMA1" localSheetId="13">#REF!</definedName>
    <definedName name="SISTEMA1" localSheetId="10">#REF!</definedName>
    <definedName name="SISTEMA1">#REF!</definedName>
    <definedName name="SISTEMA2" localSheetId="1">#REF!</definedName>
    <definedName name="SISTEMA2" localSheetId="2">#REF!</definedName>
    <definedName name="SISTEMA2" localSheetId="4">#REF!</definedName>
    <definedName name="SISTEMA2" localSheetId="5">#REF!</definedName>
    <definedName name="SISTEMA2" localSheetId="15">#REF!</definedName>
    <definedName name="SISTEMA2" localSheetId="14">#REF!</definedName>
    <definedName name="SISTEMA2" localSheetId="12">#REF!</definedName>
    <definedName name="SISTEMA2" localSheetId="13">#REF!</definedName>
    <definedName name="SISTEMA2" localSheetId="10">#REF!</definedName>
    <definedName name="SISTEMA2">#REF!</definedName>
    <definedName name="SM" localSheetId="1">#REF!</definedName>
    <definedName name="SM" localSheetId="2">#REF!</definedName>
    <definedName name="SM" localSheetId="4">#REF!</definedName>
    <definedName name="SM" localSheetId="5">#REF!</definedName>
    <definedName name="SM" localSheetId="15">#REF!</definedName>
    <definedName name="SM" localSheetId="14">#REF!</definedName>
    <definedName name="SM" localSheetId="12">#REF!</definedName>
    <definedName name="SM" localSheetId="13">#REF!</definedName>
    <definedName name="SM" localSheetId="10">#REF!</definedName>
    <definedName name="SM">#REF!</definedName>
    <definedName name="SOLDADURA" localSheetId="1">#REF!</definedName>
    <definedName name="SOLDADURA" localSheetId="2">#REF!</definedName>
    <definedName name="SOLDADURA" localSheetId="4">#REF!</definedName>
    <definedName name="SOLDADURA" localSheetId="5">#REF!</definedName>
    <definedName name="SOLDADURA" localSheetId="15">#REF!</definedName>
    <definedName name="SOLDADURA" localSheetId="14">#REF!</definedName>
    <definedName name="SOLDADURA" localSheetId="12">#REF!</definedName>
    <definedName name="SOLDADURA" localSheetId="13">#REF!</definedName>
    <definedName name="SOLDADURA" localSheetId="10">#REF!</definedName>
    <definedName name="SOLDADURA">#REF!</definedName>
    <definedName name="SOLES" localSheetId="1">#REF!</definedName>
    <definedName name="SOLES" localSheetId="2">#REF!</definedName>
    <definedName name="SOLES" localSheetId="4">#REF!</definedName>
    <definedName name="SOLES" localSheetId="5">#REF!</definedName>
    <definedName name="SOLES" localSheetId="15">#REF!</definedName>
    <definedName name="SOLES" localSheetId="14">#REF!</definedName>
    <definedName name="SOLES" localSheetId="12">#REF!</definedName>
    <definedName name="SOLES" localSheetId="13">#REF!</definedName>
    <definedName name="SOLES" localSheetId="10">#REF!</definedName>
    <definedName name="SOLES">#REF!</definedName>
    <definedName name="ss" localSheetId="1">#REF!</definedName>
    <definedName name="ss" localSheetId="2">#REF!</definedName>
    <definedName name="ss" localSheetId="4">#REF!</definedName>
    <definedName name="ss" localSheetId="5">#REF!</definedName>
    <definedName name="ss" localSheetId="15">#REF!</definedName>
    <definedName name="ss" localSheetId="14">#REF!</definedName>
    <definedName name="ss" localSheetId="12">#REF!</definedName>
    <definedName name="ss" localSheetId="13">#REF!</definedName>
    <definedName name="ss" localSheetId="10">#REF!</definedName>
    <definedName name="ss">#REF!</definedName>
    <definedName name="SUBCON" localSheetId="1">#REF!</definedName>
    <definedName name="SUBCON" localSheetId="2">#REF!</definedName>
    <definedName name="SUBCON" localSheetId="4">#REF!</definedName>
    <definedName name="SUBCON" localSheetId="5">#REF!</definedName>
    <definedName name="SUBCON" localSheetId="15">#REF!</definedName>
    <definedName name="SUBCON" localSheetId="14">#REF!</definedName>
    <definedName name="SUBCON" localSheetId="12">#REF!</definedName>
    <definedName name="SUBCON" localSheetId="13">#REF!</definedName>
    <definedName name="SUBCON" localSheetId="10">#REF!</definedName>
    <definedName name="SUBCON">#REF!</definedName>
    <definedName name="Superestructura" localSheetId="1">#REF!</definedName>
    <definedName name="Superestructura" localSheetId="2">#REF!</definedName>
    <definedName name="Superestructura" localSheetId="4">#REF!</definedName>
    <definedName name="Superestructura" localSheetId="5">#REF!</definedName>
    <definedName name="Superestructura" localSheetId="15">#REF!</definedName>
    <definedName name="Superestructura" localSheetId="14">#REF!</definedName>
    <definedName name="Superestructura" localSheetId="12">#REF!</definedName>
    <definedName name="Superestructura" localSheetId="13">#REF!</definedName>
    <definedName name="Superestructura" localSheetId="10">#REF!</definedName>
    <definedName name="Superestructura">#REF!</definedName>
    <definedName name="surflex" localSheetId="1">#REF!</definedName>
    <definedName name="surflex" localSheetId="2">#REF!</definedName>
    <definedName name="surflex" localSheetId="4">#REF!</definedName>
    <definedName name="surflex" localSheetId="5">#REF!</definedName>
    <definedName name="surflex" localSheetId="15">#REF!</definedName>
    <definedName name="surflex" localSheetId="14">#REF!</definedName>
    <definedName name="surflex" localSheetId="12">#REF!</definedName>
    <definedName name="surflex" localSheetId="13">#REF!</definedName>
    <definedName name="surflex" localSheetId="10">#REF!</definedName>
    <definedName name="surflex">#REF!</definedName>
    <definedName name="T">'[14]Encofrado BVR Unispan'!$C$8</definedName>
    <definedName name="T.C">[21]CIERRE!$G$1</definedName>
    <definedName name="ta" localSheetId="1">'[23]Electricidad - Climatización'!#REF!</definedName>
    <definedName name="ta" localSheetId="2">'[23]Electricidad - Climatización'!#REF!</definedName>
    <definedName name="ta" localSheetId="4">'[23]Electricidad - Climatización'!#REF!</definedName>
    <definedName name="ta" localSheetId="5">'[23]Electricidad - Climatización'!#REF!</definedName>
    <definedName name="ta" localSheetId="15">'[23]Electricidad - Climatización'!#REF!</definedName>
    <definedName name="ta" localSheetId="14">'[23]Electricidad - Climatización'!#REF!</definedName>
    <definedName name="ta" localSheetId="12">'[23]Electricidad - Climatización'!#REF!</definedName>
    <definedName name="ta" localSheetId="13">'[23]Electricidad - Climatización'!#REF!</definedName>
    <definedName name="ta" localSheetId="10">'[23]Electricidad - Climatización'!#REF!</definedName>
    <definedName name="ta">'[23]Electricidad - Climatización'!#REF!</definedName>
    <definedName name="TABLA" localSheetId="1">#REF!</definedName>
    <definedName name="TABLA" localSheetId="2">#REF!</definedName>
    <definedName name="TABLA" localSheetId="4">#REF!</definedName>
    <definedName name="TABLA" localSheetId="5">#REF!</definedName>
    <definedName name="TABLA" localSheetId="15">#REF!</definedName>
    <definedName name="TABLA" localSheetId="14">#REF!</definedName>
    <definedName name="TABLA" localSheetId="12">#REF!</definedName>
    <definedName name="TABLA" localSheetId="13">#REF!</definedName>
    <definedName name="TABLA" localSheetId="10">#REF!</definedName>
    <definedName name="TABLA">#REF!</definedName>
    <definedName name="Tasa_pob" localSheetId="1">#REF!</definedName>
    <definedName name="Tasa_pob" localSheetId="2">#REF!</definedName>
    <definedName name="Tasa_pob" localSheetId="18">#REF!</definedName>
    <definedName name="Tasa_pob" localSheetId="4">#REF!</definedName>
    <definedName name="Tasa_pob" localSheetId="3">#REF!</definedName>
    <definedName name="Tasa_pob" localSheetId="8">#REF!</definedName>
    <definedName name="Tasa_pob" localSheetId="5">#REF!</definedName>
    <definedName name="Tasa_pob" localSheetId="15">#REF!</definedName>
    <definedName name="Tasa_pob" localSheetId="14">#REF!</definedName>
    <definedName name="Tasa_pob" localSheetId="12">#REF!</definedName>
    <definedName name="Tasa_pob" localSheetId="13">#REF!</definedName>
    <definedName name="Tasa_pob" localSheetId="10">#REF!</definedName>
    <definedName name="Tasa_pob" localSheetId="7">#REF!</definedName>
    <definedName name="Tasa_pob">#REF!</definedName>
    <definedName name="TC" localSheetId="1">#REF!</definedName>
    <definedName name="TC" localSheetId="2">#REF!</definedName>
    <definedName name="TC" localSheetId="4">#REF!</definedName>
    <definedName name="TC" localSheetId="5">#REF!</definedName>
    <definedName name="TC" localSheetId="15">#REF!</definedName>
    <definedName name="TC" localSheetId="14">#REF!</definedName>
    <definedName name="TC" localSheetId="12">#REF!</definedName>
    <definedName name="TC" localSheetId="13">#REF!</definedName>
    <definedName name="TC" localSheetId="10">#REF!</definedName>
    <definedName name="TC">#REF!</definedName>
    <definedName name="TD" localSheetId="1">#REF!</definedName>
    <definedName name="TD" localSheetId="2">#REF!</definedName>
    <definedName name="TD" localSheetId="4">#REF!</definedName>
    <definedName name="TD" localSheetId="5">#REF!</definedName>
    <definedName name="TD" localSheetId="15">#REF!</definedName>
    <definedName name="TD" localSheetId="14">#REF!</definedName>
    <definedName name="TD" localSheetId="12">#REF!</definedName>
    <definedName name="TD" localSheetId="13">#REF!</definedName>
    <definedName name="TD" localSheetId="10">#REF!</definedName>
    <definedName name="TD">#REF!</definedName>
    <definedName name="tecnopor" localSheetId="1">#REF!</definedName>
    <definedName name="tecnopor" localSheetId="2">#REF!</definedName>
    <definedName name="tecnopor" localSheetId="4">#REF!</definedName>
    <definedName name="tecnopor" localSheetId="5">#REF!</definedName>
    <definedName name="tecnopor" localSheetId="15">#REF!</definedName>
    <definedName name="tecnopor" localSheetId="14">#REF!</definedName>
    <definedName name="tecnopor" localSheetId="12">#REF!</definedName>
    <definedName name="tecnopor" localSheetId="13">#REF!</definedName>
    <definedName name="tecnopor" localSheetId="10">#REF!</definedName>
    <definedName name="tecnopor">#REF!</definedName>
    <definedName name="Teodolito" localSheetId="1">#REF!</definedName>
    <definedName name="Teodolito" localSheetId="2">#REF!</definedName>
    <definedName name="Teodolito" localSheetId="4">#REF!</definedName>
    <definedName name="Teodolito" localSheetId="5">#REF!</definedName>
    <definedName name="Teodolito" localSheetId="15">#REF!</definedName>
    <definedName name="Teodolito" localSheetId="14">#REF!</definedName>
    <definedName name="Teodolito" localSheetId="12">#REF!</definedName>
    <definedName name="Teodolito" localSheetId="13">#REF!</definedName>
    <definedName name="Teodolito" localSheetId="10">#REF!</definedName>
    <definedName name="Teodolito">#REF!</definedName>
    <definedName name="TGA" localSheetId="1">#REF!</definedName>
    <definedName name="TGA" localSheetId="2">#REF!</definedName>
    <definedName name="TGA" localSheetId="4">#REF!</definedName>
    <definedName name="TGA" localSheetId="5">#REF!</definedName>
    <definedName name="TGA" localSheetId="15">#REF!</definedName>
    <definedName name="TGA" localSheetId="14">#REF!</definedName>
    <definedName name="TGA" localSheetId="12">#REF!</definedName>
    <definedName name="TGA" localSheetId="13">#REF!</definedName>
    <definedName name="TGA" localSheetId="10">#REF!</definedName>
    <definedName name="TGA">#REF!</definedName>
    <definedName name="TINTE" localSheetId="1">#REF!</definedName>
    <definedName name="TINTE" localSheetId="2">#REF!</definedName>
    <definedName name="TINTE" localSheetId="4">#REF!</definedName>
    <definedName name="TINTE" localSheetId="5">#REF!</definedName>
    <definedName name="TINTE" localSheetId="15">#REF!</definedName>
    <definedName name="TINTE" localSheetId="14">#REF!</definedName>
    <definedName name="TINTE" localSheetId="12">#REF!</definedName>
    <definedName name="TINTE" localSheetId="13">#REF!</definedName>
    <definedName name="TINTE" localSheetId="10">#REF!</definedName>
    <definedName name="TINTE">#REF!</definedName>
    <definedName name="TINTES" localSheetId="1">#REF!</definedName>
    <definedName name="TINTES" localSheetId="2">#REF!</definedName>
    <definedName name="TINTES" localSheetId="4">#REF!</definedName>
    <definedName name="TINTES" localSheetId="5">#REF!</definedName>
    <definedName name="TINTES" localSheetId="15">#REF!</definedName>
    <definedName name="TINTES" localSheetId="14">#REF!</definedName>
    <definedName name="TINTES" localSheetId="12">#REF!</definedName>
    <definedName name="TINTES" localSheetId="13">#REF!</definedName>
    <definedName name="TINTES" localSheetId="10">#REF!</definedName>
    <definedName name="TINTES">#REF!</definedName>
    <definedName name="TIPCAMB" localSheetId="1">#REF!</definedName>
    <definedName name="TIPCAMB" localSheetId="2">#REF!</definedName>
    <definedName name="TIPCAMB" localSheetId="4">#REF!</definedName>
    <definedName name="TIPCAMB" localSheetId="5">#REF!</definedName>
    <definedName name="TIPCAMB" localSheetId="15">#REF!</definedName>
    <definedName name="TIPCAMB" localSheetId="14">#REF!</definedName>
    <definedName name="TIPCAMB" localSheetId="12">#REF!</definedName>
    <definedName name="TIPCAMB" localSheetId="13">#REF!</definedName>
    <definedName name="TIPCAMB" localSheetId="10">#REF!</definedName>
    <definedName name="TIPCAMB">#REF!</definedName>
    <definedName name="TOTAL" localSheetId="1">#REF!</definedName>
    <definedName name="TOTAL" localSheetId="2">#REF!</definedName>
    <definedName name="TOTAL" localSheetId="4">#REF!</definedName>
    <definedName name="TOTAL" localSheetId="5">#REF!</definedName>
    <definedName name="TOTAL" localSheetId="15">#REF!</definedName>
    <definedName name="TOTAL" localSheetId="14">#REF!</definedName>
    <definedName name="TOTAL" localSheetId="12">#REF!</definedName>
    <definedName name="TOTAL" localSheetId="13">#REF!</definedName>
    <definedName name="TOTAL" localSheetId="10">#REF!</definedName>
    <definedName name="TOTAL">#REF!</definedName>
    <definedName name="TOTO" localSheetId="1">#REF!</definedName>
    <definedName name="TOTO" localSheetId="2">#REF!</definedName>
    <definedName name="TOTO" localSheetId="4">#REF!</definedName>
    <definedName name="TOTO" localSheetId="3">#REF!</definedName>
    <definedName name="TOTO" localSheetId="8">#REF!</definedName>
    <definedName name="TOTO" localSheetId="5">#REF!</definedName>
    <definedName name="TOTO" localSheetId="15">#REF!</definedName>
    <definedName name="TOTO" localSheetId="14">#REF!</definedName>
    <definedName name="TOTO" localSheetId="12">#REF!</definedName>
    <definedName name="TOTO" localSheetId="13">#REF!</definedName>
    <definedName name="TOTO" localSheetId="10">#REF!</definedName>
    <definedName name="TOTO" localSheetId="7">#REF!</definedName>
    <definedName name="TOTO">#REF!</definedName>
    <definedName name="TR4P" localSheetId="1">#REF!</definedName>
    <definedName name="TR4P" localSheetId="2">#REF!</definedName>
    <definedName name="TR4P" localSheetId="4">#REF!</definedName>
    <definedName name="TR4P" localSheetId="5">#REF!</definedName>
    <definedName name="TR4P" localSheetId="15">#REF!</definedName>
    <definedName name="TR4P" localSheetId="14">#REF!</definedName>
    <definedName name="TR4P" localSheetId="12">#REF!</definedName>
    <definedName name="TR4P" localSheetId="13">#REF!</definedName>
    <definedName name="TR4P" localSheetId="10">#REF!</definedName>
    <definedName name="TR4P">#REF!</definedName>
    <definedName name="TRAPO" localSheetId="1">#REF!</definedName>
    <definedName name="TRAPO" localSheetId="2">#REF!</definedName>
    <definedName name="TRAPO" localSheetId="4">#REF!</definedName>
    <definedName name="TRAPO" localSheetId="5">#REF!</definedName>
    <definedName name="TRAPO" localSheetId="15">#REF!</definedName>
    <definedName name="TRAPO" localSheetId="14">#REF!</definedName>
    <definedName name="TRAPO" localSheetId="12">#REF!</definedName>
    <definedName name="TRAPO" localSheetId="13">#REF!</definedName>
    <definedName name="TRAPO" localSheetId="10">#REF!</definedName>
    <definedName name="TRAPO">#REF!</definedName>
    <definedName name="triplay" localSheetId="1">#REF!</definedName>
    <definedName name="triplay" localSheetId="2">#REF!</definedName>
    <definedName name="triplay" localSheetId="4">#REF!</definedName>
    <definedName name="triplay" localSheetId="5">#REF!</definedName>
    <definedName name="triplay" localSheetId="15">#REF!</definedName>
    <definedName name="triplay" localSheetId="14">#REF!</definedName>
    <definedName name="triplay" localSheetId="12">#REF!</definedName>
    <definedName name="triplay" localSheetId="13">#REF!</definedName>
    <definedName name="triplay" localSheetId="10">#REF!</definedName>
    <definedName name="triplay">#REF!</definedName>
    <definedName name="TT" localSheetId="1">#REF!</definedName>
    <definedName name="TT" localSheetId="2">#REF!</definedName>
    <definedName name="TT" localSheetId="4">#REF!</definedName>
    <definedName name="TT" localSheetId="5">#REF!</definedName>
    <definedName name="TT" localSheetId="15">#REF!</definedName>
    <definedName name="TT" localSheetId="14">#REF!</definedName>
    <definedName name="TT" localSheetId="12">#REF!</definedName>
    <definedName name="TT" localSheetId="13">#REF!</definedName>
    <definedName name="TT" localSheetId="10">#REF!</definedName>
    <definedName name="TT">#REF!</definedName>
    <definedName name="TTT" localSheetId="1">#REF!</definedName>
    <definedName name="TTT" localSheetId="2">#REF!</definedName>
    <definedName name="TTT" localSheetId="4">#REF!</definedName>
    <definedName name="TTT" localSheetId="5">#REF!</definedName>
    <definedName name="TTT" localSheetId="15">#REF!</definedName>
    <definedName name="TTT" localSheetId="14">#REF!</definedName>
    <definedName name="TTT" localSheetId="12">#REF!</definedName>
    <definedName name="TTT" localSheetId="13">#REF!</definedName>
    <definedName name="TTT" localSheetId="10">#REF!</definedName>
    <definedName name="TTT">#REF!</definedName>
    <definedName name="TUBO01" localSheetId="1">#REF!</definedName>
    <definedName name="TUBO01" localSheetId="2">#REF!</definedName>
    <definedName name="TUBO01" localSheetId="4">#REF!</definedName>
    <definedName name="TUBO01" localSheetId="5">#REF!</definedName>
    <definedName name="TUBO01" localSheetId="15">#REF!</definedName>
    <definedName name="TUBO01" localSheetId="14">#REF!</definedName>
    <definedName name="TUBO01" localSheetId="12">#REF!</definedName>
    <definedName name="TUBO01" localSheetId="13">#REF!</definedName>
    <definedName name="TUBO01" localSheetId="10">#REF!</definedName>
    <definedName name="TUBO01">#REF!</definedName>
    <definedName name="TUBO02" localSheetId="1">#REF!</definedName>
    <definedName name="TUBO02" localSheetId="2">#REF!</definedName>
    <definedName name="TUBO02" localSheetId="4">#REF!</definedName>
    <definedName name="TUBO02" localSheetId="5">#REF!</definedName>
    <definedName name="TUBO02" localSheetId="15">#REF!</definedName>
    <definedName name="TUBO02" localSheetId="14">#REF!</definedName>
    <definedName name="TUBO02" localSheetId="12">#REF!</definedName>
    <definedName name="TUBO02" localSheetId="13">#REF!</definedName>
    <definedName name="TUBO02" localSheetId="10">#REF!</definedName>
    <definedName name="TUBO02">#REF!</definedName>
    <definedName name="TUBO03" localSheetId="1">#REF!</definedName>
    <definedName name="TUBO03" localSheetId="2">#REF!</definedName>
    <definedName name="TUBO03" localSheetId="4">#REF!</definedName>
    <definedName name="TUBO03" localSheetId="5">#REF!</definedName>
    <definedName name="TUBO03" localSheetId="15">#REF!</definedName>
    <definedName name="TUBO03" localSheetId="14">#REF!</definedName>
    <definedName name="TUBO03" localSheetId="12">#REF!</definedName>
    <definedName name="TUBO03" localSheetId="13">#REF!</definedName>
    <definedName name="TUBO03" localSheetId="10">#REF!</definedName>
    <definedName name="TUBO03">#REF!</definedName>
    <definedName name="TUBOS" localSheetId="1">#REF!</definedName>
    <definedName name="TUBOS" localSheetId="2">#REF!</definedName>
    <definedName name="TUBOS" localSheetId="4">#REF!</definedName>
    <definedName name="TUBOS" localSheetId="5">#REF!</definedName>
    <definedName name="TUBOS" localSheetId="15">#REF!</definedName>
    <definedName name="TUBOS" localSheetId="14">#REF!</definedName>
    <definedName name="TUBOS" localSheetId="12">#REF!</definedName>
    <definedName name="TUBOS" localSheetId="13">#REF!</definedName>
    <definedName name="TUBOS" localSheetId="10">#REF!</definedName>
    <definedName name="TUBOS">#REF!</definedName>
    <definedName name="TUERCA01" localSheetId="1">#REF!</definedName>
    <definedName name="TUERCA01" localSheetId="2">#REF!</definedName>
    <definedName name="TUERCA01" localSheetId="4">#REF!</definedName>
    <definedName name="TUERCA01" localSheetId="5">#REF!</definedName>
    <definedName name="TUERCA01" localSheetId="15">#REF!</definedName>
    <definedName name="TUERCA01" localSheetId="14">#REF!</definedName>
    <definedName name="TUERCA01" localSheetId="12">#REF!</definedName>
    <definedName name="TUERCA01" localSheetId="13">#REF!</definedName>
    <definedName name="TUERCA01" localSheetId="10">#REF!</definedName>
    <definedName name="TUERCA01">#REF!</definedName>
    <definedName name="TUERCA02" localSheetId="1">#REF!</definedName>
    <definedName name="TUERCA02" localSheetId="2">#REF!</definedName>
    <definedName name="TUERCA02" localSheetId="4">#REF!</definedName>
    <definedName name="TUERCA02" localSheetId="5">#REF!</definedName>
    <definedName name="TUERCA02" localSheetId="15">#REF!</definedName>
    <definedName name="TUERCA02" localSheetId="14">#REF!</definedName>
    <definedName name="TUERCA02" localSheetId="12">#REF!</definedName>
    <definedName name="TUERCA02" localSheetId="13">#REF!</definedName>
    <definedName name="TUERCA02" localSheetId="10">#REF!</definedName>
    <definedName name="TUERCA02">#REF!</definedName>
    <definedName name="TUERCA03" localSheetId="1">#REF!</definedName>
    <definedName name="TUERCA03" localSheetId="2">#REF!</definedName>
    <definedName name="TUERCA03" localSheetId="4">#REF!</definedName>
    <definedName name="TUERCA03" localSheetId="5">#REF!</definedName>
    <definedName name="TUERCA03" localSheetId="15">#REF!</definedName>
    <definedName name="TUERCA03" localSheetId="14">#REF!</definedName>
    <definedName name="TUERCA03" localSheetId="12">#REF!</definedName>
    <definedName name="TUERCA03" localSheetId="13">#REF!</definedName>
    <definedName name="TUERCA03" localSheetId="10">#REF!</definedName>
    <definedName name="TUERCA03">#REF!</definedName>
    <definedName name="uf" localSheetId="1">'[23]Electricidad - Climatización'!#REF!</definedName>
    <definedName name="uf" localSheetId="2">'[23]Electricidad - Climatización'!#REF!</definedName>
    <definedName name="uf" localSheetId="4">'[23]Electricidad - Climatización'!#REF!</definedName>
    <definedName name="uf" localSheetId="5">'[23]Electricidad - Climatización'!#REF!</definedName>
    <definedName name="uf" localSheetId="15">'[23]Electricidad - Climatización'!#REF!</definedName>
    <definedName name="uf" localSheetId="14">'[23]Electricidad - Climatización'!#REF!</definedName>
    <definedName name="uf" localSheetId="12">'[23]Electricidad - Climatización'!#REF!</definedName>
    <definedName name="uf" localSheetId="13">'[23]Electricidad - Climatización'!#REF!</definedName>
    <definedName name="uf" localSheetId="10">'[23]Electricidad - Climatización'!#REF!</definedName>
    <definedName name="uf">'[23]Electricidad - Climatización'!#REF!</definedName>
    <definedName name="uss" localSheetId="1">#REF!</definedName>
    <definedName name="uss" localSheetId="2">#REF!</definedName>
    <definedName name="uss" localSheetId="4">#REF!</definedName>
    <definedName name="uss" localSheetId="5">#REF!</definedName>
    <definedName name="uss" localSheetId="15">#REF!</definedName>
    <definedName name="uss" localSheetId="14">#REF!</definedName>
    <definedName name="uss" localSheetId="12">#REF!</definedName>
    <definedName name="uss" localSheetId="13">#REF!</definedName>
    <definedName name="uss" localSheetId="10">#REF!</definedName>
    <definedName name="uss">#REF!</definedName>
    <definedName name="Util_DF_1_pm" localSheetId="1">#REF!</definedName>
    <definedName name="Util_DF_1_pm" localSheetId="2">#REF!</definedName>
    <definedName name="Util_DF_1_pm" localSheetId="4">#REF!</definedName>
    <definedName name="Util_DF_1_pm" localSheetId="3">#REF!</definedName>
    <definedName name="Util_DF_1_pm" localSheetId="8">#REF!</definedName>
    <definedName name="Util_DF_1_pm" localSheetId="5">#REF!</definedName>
    <definedName name="Util_DF_1_pm" localSheetId="15">#REF!</definedName>
    <definedName name="Util_DF_1_pm" localSheetId="14">#REF!</definedName>
    <definedName name="Util_DF_1_pm" localSheetId="12">#REF!</definedName>
    <definedName name="Util_DF_1_pm" localSheetId="13">#REF!</definedName>
    <definedName name="Util_DF_1_pm" localSheetId="10">#REF!</definedName>
    <definedName name="Util_DF_1_pm" localSheetId="7">#REF!</definedName>
    <definedName name="Util_DF_1_pm">#REF!</definedName>
    <definedName name="Util_DF_1_ps" localSheetId="7">#REF!</definedName>
    <definedName name="Util_DF_1_ps">'[13]ANEXO 27 - DISP FINAL INFRAEST'!$H$93</definedName>
    <definedName name="Util_DF_2_pm" localSheetId="1">#REF!</definedName>
    <definedName name="Util_DF_2_pm" localSheetId="2">#REF!</definedName>
    <definedName name="Util_DF_2_pm" localSheetId="4">#REF!</definedName>
    <definedName name="Util_DF_2_pm" localSheetId="3">#REF!</definedName>
    <definedName name="Util_DF_2_pm" localSheetId="8">#REF!</definedName>
    <definedName name="Util_DF_2_pm" localSheetId="5">#REF!</definedName>
    <definedName name="Util_DF_2_pm" localSheetId="15">#REF!</definedName>
    <definedName name="Util_DF_2_pm" localSheetId="14">#REF!</definedName>
    <definedName name="Util_DF_2_pm" localSheetId="12">#REF!</definedName>
    <definedName name="Util_DF_2_pm" localSheetId="13">#REF!</definedName>
    <definedName name="Util_DF_2_pm" localSheetId="10">#REF!</definedName>
    <definedName name="Util_DF_2_pm" localSheetId="7">#REF!</definedName>
    <definedName name="Util_DF_2_pm">#REF!</definedName>
    <definedName name="Util_DF_2_ps" localSheetId="1">#REF!</definedName>
    <definedName name="Util_DF_2_ps" localSheetId="2">#REF!</definedName>
    <definedName name="Util_DF_2_ps" localSheetId="4">#REF!</definedName>
    <definedName name="Util_DF_2_ps" localSheetId="3">#REF!</definedName>
    <definedName name="Util_DF_2_ps" localSheetId="8">#REF!</definedName>
    <definedName name="Util_DF_2_ps" localSheetId="5">#REF!</definedName>
    <definedName name="Util_DF_2_ps" localSheetId="15">#REF!</definedName>
    <definedName name="Util_DF_2_ps" localSheetId="14">#REF!</definedName>
    <definedName name="Util_DF_2_ps" localSheetId="12">#REF!</definedName>
    <definedName name="Util_DF_2_ps" localSheetId="13">#REF!</definedName>
    <definedName name="Util_DF_2_ps" localSheetId="10">#REF!</definedName>
    <definedName name="Util_DF_2_ps" localSheetId="7">#REF!</definedName>
    <definedName name="Util_DF_2_ps">#REF!</definedName>
    <definedName name="Util_Reaprov_1_pm" localSheetId="1">#REF!</definedName>
    <definedName name="Util_Reaprov_1_pm" localSheetId="2">#REF!</definedName>
    <definedName name="Util_Reaprov_1_pm" localSheetId="4">#REF!</definedName>
    <definedName name="Util_Reaprov_1_pm" localSheetId="3">#REF!</definedName>
    <definedName name="Util_Reaprov_1_pm" localSheetId="8">#REF!</definedName>
    <definedName name="Util_Reaprov_1_pm" localSheetId="5">#REF!</definedName>
    <definedName name="Util_Reaprov_1_pm" localSheetId="15">#REF!</definedName>
    <definedName name="Util_Reaprov_1_pm" localSheetId="14">#REF!</definedName>
    <definedName name="Util_Reaprov_1_pm" localSheetId="12">#REF!</definedName>
    <definedName name="Util_Reaprov_1_pm" localSheetId="13">#REF!</definedName>
    <definedName name="Util_Reaprov_1_pm" localSheetId="10">#REF!</definedName>
    <definedName name="Util_Reaprov_1_pm" localSheetId="7">#REF!</definedName>
    <definedName name="Util_Reaprov_1_pm">#REF!</definedName>
    <definedName name="Util_Reaprov_1_ps" localSheetId="7">#REF!</definedName>
    <definedName name="Util_Reaprov_1_ps">'[13]ANEXO 24 - REAPROVECH INFRAEST'!$H$70</definedName>
    <definedName name="Util_Reaprov_2_pm" localSheetId="1">#REF!</definedName>
    <definedName name="Util_Reaprov_2_pm" localSheetId="2">#REF!</definedName>
    <definedName name="Util_Reaprov_2_pm" localSheetId="4">#REF!</definedName>
    <definedName name="Util_Reaprov_2_pm" localSheetId="3">#REF!</definedName>
    <definedName name="Util_Reaprov_2_pm" localSheetId="8">#REF!</definedName>
    <definedName name="Util_Reaprov_2_pm" localSheetId="5">#REF!</definedName>
    <definedName name="Util_Reaprov_2_pm" localSheetId="15">#REF!</definedName>
    <definedName name="Util_Reaprov_2_pm" localSheetId="14">#REF!</definedName>
    <definedName name="Util_Reaprov_2_pm" localSheetId="12">#REF!</definedName>
    <definedName name="Util_Reaprov_2_pm" localSheetId="13">#REF!</definedName>
    <definedName name="Util_Reaprov_2_pm" localSheetId="10">#REF!</definedName>
    <definedName name="Util_Reaprov_2_pm" localSheetId="7">#REF!</definedName>
    <definedName name="Util_Reaprov_2_pm">#REF!</definedName>
    <definedName name="Util_Reaprov_2_ps" localSheetId="1">#REF!</definedName>
    <definedName name="Util_Reaprov_2_ps" localSheetId="2">#REF!</definedName>
    <definedName name="Util_Reaprov_2_ps" localSheetId="4">#REF!</definedName>
    <definedName name="Util_Reaprov_2_ps" localSheetId="3">#REF!</definedName>
    <definedName name="Util_Reaprov_2_ps" localSheetId="8">#REF!</definedName>
    <definedName name="Util_Reaprov_2_ps" localSheetId="5">#REF!</definedName>
    <definedName name="Util_Reaprov_2_ps" localSheetId="15">#REF!</definedName>
    <definedName name="Util_Reaprov_2_ps" localSheetId="14">#REF!</definedName>
    <definedName name="Util_Reaprov_2_ps" localSheetId="12">#REF!</definedName>
    <definedName name="Util_Reaprov_2_ps" localSheetId="13">#REF!</definedName>
    <definedName name="Util_Reaprov_2_ps" localSheetId="10">#REF!</definedName>
    <definedName name="Util_Reaprov_2_ps" localSheetId="7">#REF!</definedName>
    <definedName name="Util_Reaprov_2_ps">#REF!</definedName>
    <definedName name="uuu" localSheetId="1">#REF!</definedName>
    <definedName name="uuu" localSheetId="2">#REF!</definedName>
    <definedName name="uuu" localSheetId="4">#REF!</definedName>
    <definedName name="uuu" localSheetId="5">#REF!</definedName>
    <definedName name="uuu" localSheetId="15">#REF!</definedName>
    <definedName name="uuu" localSheetId="14">#REF!</definedName>
    <definedName name="uuu" localSheetId="12">#REF!</definedName>
    <definedName name="uuu" localSheetId="13">#REF!</definedName>
    <definedName name="uuu" localSheetId="10">#REF!</definedName>
    <definedName name="uuu">#REF!</definedName>
    <definedName name="VANITORIOS" localSheetId="1">#REF!</definedName>
    <definedName name="VANITORIOS" localSheetId="2">#REF!</definedName>
    <definedName name="VANITORIOS" localSheetId="4">#REF!</definedName>
    <definedName name="VANITORIOS" localSheetId="5">#REF!</definedName>
    <definedName name="VANITORIOS" localSheetId="15">#REF!</definedName>
    <definedName name="VANITORIOS" localSheetId="14">#REF!</definedName>
    <definedName name="VANITORIOS" localSheetId="12">#REF!</definedName>
    <definedName name="VANITORIOS" localSheetId="13">#REF!</definedName>
    <definedName name="VANITORIOS" localSheetId="10">#REF!</definedName>
    <definedName name="VANITORIOS">#REF!</definedName>
    <definedName name="VANOS" localSheetId="1">#REF!</definedName>
    <definedName name="VANOS" localSheetId="2">#REF!</definedName>
    <definedName name="VANOS" localSheetId="4">#REF!</definedName>
    <definedName name="VANOS" localSheetId="5">#REF!</definedName>
    <definedName name="VANOS" localSheetId="15">#REF!</definedName>
    <definedName name="VANOS" localSheetId="14">#REF!</definedName>
    <definedName name="VANOS" localSheetId="12">#REF!</definedName>
    <definedName name="VANOS" localSheetId="13">#REF!</definedName>
    <definedName name="VANOS" localSheetId="10">#REF!</definedName>
    <definedName name="VANOS">#REF!</definedName>
    <definedName name="Var_Consultorias" localSheetId="1">#REF!</definedName>
    <definedName name="Var_Consultorias" localSheetId="2">#REF!</definedName>
    <definedName name="Var_Consultorias" localSheetId="4">#REF!</definedName>
    <definedName name="Var_Consultorias" localSheetId="3">#REF!</definedName>
    <definedName name="Var_Consultorias" localSheetId="8">#REF!</definedName>
    <definedName name="Var_Consultorias" localSheetId="5">#REF!</definedName>
    <definedName name="Var_Consultorias" localSheetId="15">#REF!</definedName>
    <definedName name="Var_Consultorias" localSheetId="14">#REF!</definedName>
    <definedName name="Var_Consultorias" localSheetId="12">#REF!</definedName>
    <definedName name="Var_Consultorias" localSheetId="13">#REF!</definedName>
    <definedName name="Var_Consultorias" localSheetId="10">#REF!</definedName>
    <definedName name="Var_Consultorias" localSheetId="7">#REF!</definedName>
    <definedName name="Var_Consultorias">#REF!</definedName>
    <definedName name="Var_Equipamiento" localSheetId="1">#REF!</definedName>
    <definedName name="Var_Equipamiento" localSheetId="2">#REF!</definedName>
    <definedName name="Var_Equipamiento" localSheetId="4">#REF!</definedName>
    <definedName name="Var_Equipamiento" localSheetId="3">#REF!</definedName>
    <definedName name="Var_Equipamiento" localSheetId="8">#REF!</definedName>
    <definedName name="Var_Equipamiento" localSheetId="5">#REF!</definedName>
    <definedName name="Var_Equipamiento" localSheetId="15">#REF!</definedName>
    <definedName name="Var_Equipamiento" localSheetId="14">#REF!</definedName>
    <definedName name="Var_Equipamiento" localSheetId="12">#REF!</definedName>
    <definedName name="Var_Equipamiento" localSheetId="13">#REF!</definedName>
    <definedName name="Var_Equipamiento" localSheetId="10">#REF!</definedName>
    <definedName name="Var_Equipamiento" localSheetId="7">#REF!</definedName>
    <definedName name="Var_Equipamiento">#REF!</definedName>
    <definedName name="Var_ManejoResiduos" localSheetId="1">#REF!</definedName>
    <definedName name="Var_ManejoResiduos" localSheetId="2">#REF!</definedName>
    <definedName name="Var_ManejoResiduos" localSheetId="4">#REF!</definedName>
    <definedName name="Var_ManejoResiduos" localSheetId="3">#REF!</definedName>
    <definedName name="Var_ManejoResiduos" localSheetId="8">#REF!</definedName>
    <definedName name="Var_ManejoResiduos" localSheetId="5">#REF!</definedName>
    <definedName name="Var_ManejoResiduos" localSheetId="15">#REF!</definedName>
    <definedName name="Var_ManejoResiduos" localSheetId="14">#REF!</definedName>
    <definedName name="Var_ManejoResiduos" localSheetId="12">#REF!</definedName>
    <definedName name="Var_ManejoResiduos" localSheetId="13">#REF!</definedName>
    <definedName name="Var_ManejoResiduos" localSheetId="10">#REF!</definedName>
    <definedName name="Var_ManejoResiduos" localSheetId="7">#REF!</definedName>
    <definedName name="Var_ManejoResiduos">#REF!</definedName>
    <definedName name="Var_Obras" localSheetId="1">#REF!</definedName>
    <definedName name="Var_Obras" localSheetId="2">#REF!</definedName>
    <definedName name="Var_Obras" localSheetId="4">#REF!</definedName>
    <definedName name="Var_Obras" localSheetId="3">#REF!</definedName>
    <definedName name="Var_Obras" localSheetId="8">#REF!</definedName>
    <definedName name="Var_Obras" localSheetId="5">#REF!</definedName>
    <definedName name="Var_Obras" localSheetId="15">#REF!</definedName>
    <definedName name="Var_Obras" localSheetId="14">#REF!</definedName>
    <definedName name="Var_Obras" localSheetId="12">#REF!</definedName>
    <definedName name="Var_Obras" localSheetId="13">#REF!</definedName>
    <definedName name="Var_Obras" localSheetId="10">#REF!</definedName>
    <definedName name="Var_Obras" localSheetId="7">#REF!</definedName>
    <definedName name="Var_Obras">#REF!</definedName>
    <definedName name="VarInf_Cons" localSheetId="7">'[29]ANALISIS SENSIBILIDAD'!$G$7</definedName>
    <definedName name="VarInf_Cons">'[30]ANALISIS SENSIBILIDAD'!$G$7</definedName>
    <definedName name="VarInf_Eq" localSheetId="7">'[29]ANALISIS SENSIBILIDAD'!$G$6</definedName>
    <definedName name="VarInf_Eq">'[30]ANALISIS SENSIBILIDAD'!$G$6</definedName>
    <definedName name="VarInf_ExpT" localSheetId="7">'[29]ANALISIS SENSIBILIDAD'!$G$11</definedName>
    <definedName name="VarInf_ExpT">'[30]ANALISIS SENSIBILIDAD'!$G$11</definedName>
    <definedName name="VarInf_GG" localSheetId="7">'[29]ANALISIS SENSIBILIDAD'!$G$8</definedName>
    <definedName name="VarInf_GG">'[30]ANALISIS SENSIBILIDAD'!$G$8</definedName>
    <definedName name="VarInf_Obras" localSheetId="7">'[29]ANALISIS SENSIBILIDAD'!$G$5</definedName>
    <definedName name="VarInf_Obras">'[30]ANALISIS SENSIBILIDAD'!$G$5</definedName>
    <definedName name="VarInf_Superv" localSheetId="7">'[29]ANALISIS SENSIBILIDAD'!$G$10</definedName>
    <definedName name="VarInf_Superv">'[30]ANALISIS SENSIBILIDAD'!$G$10</definedName>
    <definedName name="VarInf_Util" localSheetId="7">'[29]ANALISIS SENSIBILIDAD'!$G$9</definedName>
    <definedName name="VarInf_Util">'[30]ANALISIS SENSIBILIDAD'!$G$9</definedName>
    <definedName name="VarSup_Cons" localSheetId="7">'[29]ANALISIS SENSIBILIDAD'!$E$7</definedName>
    <definedName name="VarSup_Cons">'[30]ANALISIS SENSIBILIDAD'!$E$7</definedName>
    <definedName name="VarSup_Eq" localSheetId="7">'[29]ANALISIS SENSIBILIDAD'!$E$6</definedName>
    <definedName name="VarSup_Eq">'[30]ANALISIS SENSIBILIDAD'!$E$6</definedName>
    <definedName name="VarSup_ExpT" localSheetId="7">'[29]ANALISIS SENSIBILIDAD'!$E$11</definedName>
    <definedName name="VarSup_ExpT">'[30]ANALISIS SENSIBILIDAD'!$E$11</definedName>
    <definedName name="VarSup_GG" localSheetId="7">'[29]ANALISIS SENSIBILIDAD'!$E$8</definedName>
    <definedName name="VarSup_GG">'[30]ANALISIS SENSIBILIDAD'!$E$8</definedName>
    <definedName name="VarSup_Obras" localSheetId="7">'[29]ANALISIS SENSIBILIDAD'!$E$5</definedName>
    <definedName name="VarSup_Obras">'[30]ANALISIS SENSIBILIDAD'!$E$5</definedName>
    <definedName name="VarSup_Superv" localSheetId="7">'[29]ANALISIS SENSIBILIDAD'!$E$10</definedName>
    <definedName name="VarSup_Superv">'[30]ANALISIS SENSIBILIDAD'!$E$10</definedName>
    <definedName name="VarSup_Util" localSheetId="7">'[29]ANALISIS SENSIBILIDAD'!$E$9</definedName>
    <definedName name="VarSup_Util">'[30]ANALISIS SENSIBILIDAD'!$E$9</definedName>
    <definedName name="vehic_recolec1" localSheetId="1">#REF!</definedName>
    <definedName name="vehic_recolec1" localSheetId="2">#REF!</definedName>
    <definedName name="vehic_recolec1" localSheetId="18">#REF!</definedName>
    <definedName name="vehic_recolec1" localSheetId="4">#REF!</definedName>
    <definedName name="vehic_recolec1" localSheetId="3">#REF!</definedName>
    <definedName name="vehic_recolec1" localSheetId="8">#REF!</definedName>
    <definedName name="vehic_recolec1" localSheetId="5">#REF!</definedName>
    <definedName name="vehic_recolec1" localSheetId="15">#REF!</definedName>
    <definedName name="vehic_recolec1" localSheetId="14">#REF!</definedName>
    <definedName name="vehic_recolec1" localSheetId="12">#REF!</definedName>
    <definedName name="vehic_recolec1" localSheetId="13">#REF!</definedName>
    <definedName name="vehic_recolec1" localSheetId="10">#REF!</definedName>
    <definedName name="vehic_recolec1" localSheetId="7">#REF!</definedName>
    <definedName name="vehic_recolec1">#REF!</definedName>
    <definedName name="vehic_recolec2" localSheetId="1">#REF!</definedName>
    <definedName name="vehic_recolec2" localSheetId="2">#REF!</definedName>
    <definedName name="vehic_recolec2" localSheetId="18">#REF!</definedName>
    <definedName name="vehic_recolec2" localSheetId="4">#REF!</definedName>
    <definedName name="vehic_recolec2" localSheetId="3">#REF!</definedName>
    <definedName name="vehic_recolec2" localSheetId="8">#REF!</definedName>
    <definedName name="vehic_recolec2" localSheetId="5">#REF!</definedName>
    <definedName name="vehic_recolec2" localSheetId="15">#REF!</definedName>
    <definedName name="vehic_recolec2" localSheetId="14">#REF!</definedName>
    <definedName name="vehic_recolec2" localSheetId="12">#REF!</definedName>
    <definedName name="vehic_recolec2" localSheetId="13">#REF!</definedName>
    <definedName name="vehic_recolec2" localSheetId="10">#REF!</definedName>
    <definedName name="vehic_recolec2" localSheetId="7">#REF!</definedName>
    <definedName name="vehic_recolec2">#REF!</definedName>
    <definedName name="vehiculo">[11]Hoja2!$B$2:$B$4</definedName>
    <definedName name="VENTANAS" localSheetId="1">#REF!</definedName>
    <definedName name="VENTANAS" localSheetId="2">#REF!</definedName>
    <definedName name="VENTANAS" localSheetId="4">#REF!</definedName>
    <definedName name="VENTANAS" localSheetId="5">#REF!</definedName>
    <definedName name="VENTANAS" localSheetId="15">#REF!</definedName>
    <definedName name="VENTANAS" localSheetId="14">#REF!</definedName>
    <definedName name="VENTANAS" localSheetId="12">#REF!</definedName>
    <definedName name="VENTANAS" localSheetId="13">#REF!</definedName>
    <definedName name="VENTANAS" localSheetId="10">#REF!</definedName>
    <definedName name="VENTANAS">#REF!</definedName>
    <definedName name="vg" localSheetId="1">'[19]31-CI GATF'!#REF!</definedName>
    <definedName name="vg" localSheetId="2">'[19]31-CI GATF'!#REF!</definedName>
    <definedName name="vg" localSheetId="4">'[19]31-CI GATF'!#REF!</definedName>
    <definedName name="vg" localSheetId="3">'[19]31-CI GATF'!#REF!</definedName>
    <definedName name="vg" localSheetId="8">'[19]31-CI GATF'!#REF!</definedName>
    <definedName name="vg" localSheetId="5">'[19]31-CI GATF'!#REF!</definedName>
    <definedName name="vg" localSheetId="15">'[19]31-CI GATF'!#REF!</definedName>
    <definedName name="vg" localSheetId="14">'[19]31-CI GATF'!#REF!</definedName>
    <definedName name="vg" localSheetId="12">'[19]31-CI GATF'!#REF!</definedName>
    <definedName name="vg" localSheetId="13">'[19]31-CI GATF'!#REF!</definedName>
    <definedName name="vg" localSheetId="10">'[19]31-CI GATF'!#REF!</definedName>
    <definedName name="vg" localSheetId="7">'[20]31-CI GATF'!#REF!</definedName>
    <definedName name="vg">'[19]31-CI GATF'!#REF!</definedName>
    <definedName name="VI" localSheetId="1">#REF!</definedName>
    <definedName name="VI" localSheetId="2">#REF!</definedName>
    <definedName name="VI" localSheetId="4">#REF!</definedName>
    <definedName name="VI" localSheetId="5">#REF!</definedName>
    <definedName name="VI" localSheetId="15">#REF!</definedName>
    <definedName name="VI" localSheetId="14">#REF!</definedName>
    <definedName name="VI" localSheetId="12">#REF!</definedName>
    <definedName name="VI" localSheetId="13">#REF!</definedName>
    <definedName name="VI" localSheetId="10">#REF!</definedName>
    <definedName name="VI">#REF!</definedName>
    <definedName name="vibradora" localSheetId="1">#REF!</definedName>
    <definedName name="vibradora" localSheetId="2">#REF!</definedName>
    <definedName name="vibradora" localSheetId="4">#REF!</definedName>
    <definedName name="vibradora" localSheetId="5">#REF!</definedName>
    <definedName name="vibradora" localSheetId="15">#REF!</definedName>
    <definedName name="vibradora" localSheetId="14">#REF!</definedName>
    <definedName name="vibradora" localSheetId="12">#REF!</definedName>
    <definedName name="vibradora" localSheetId="13">#REF!</definedName>
    <definedName name="vibradora" localSheetId="10">#REF!</definedName>
    <definedName name="vibradora">#REF!</definedName>
    <definedName name="VIGA01" localSheetId="1">#REF!</definedName>
    <definedName name="VIGA01" localSheetId="2">#REF!</definedName>
    <definedName name="VIGA01" localSheetId="4">#REF!</definedName>
    <definedName name="VIGA01" localSheetId="5">#REF!</definedName>
    <definedName name="VIGA01" localSheetId="15">#REF!</definedName>
    <definedName name="VIGA01" localSheetId="14">#REF!</definedName>
    <definedName name="VIGA01" localSheetId="12">#REF!</definedName>
    <definedName name="VIGA01" localSheetId="13">#REF!</definedName>
    <definedName name="VIGA01" localSheetId="10">#REF!</definedName>
    <definedName name="VIGA01">#REF!</definedName>
    <definedName name="VIGA02" localSheetId="1">#REF!</definedName>
    <definedName name="VIGA02" localSheetId="2">#REF!</definedName>
    <definedName name="VIGA02" localSheetId="4">#REF!</definedName>
    <definedName name="VIGA02" localSheetId="5">#REF!</definedName>
    <definedName name="VIGA02" localSheetId="15">#REF!</definedName>
    <definedName name="VIGA02" localSheetId="14">#REF!</definedName>
    <definedName name="VIGA02" localSheetId="12">#REF!</definedName>
    <definedName name="VIGA02" localSheetId="13">#REF!</definedName>
    <definedName name="VIGA02" localSheetId="10">#REF!</definedName>
    <definedName name="VIGA02">#REF!</definedName>
    <definedName name="VIGA03" localSheetId="1">#REF!</definedName>
    <definedName name="VIGA03" localSheetId="2">#REF!</definedName>
    <definedName name="VIGA03" localSheetId="4">#REF!</definedName>
    <definedName name="VIGA03" localSheetId="5">#REF!</definedName>
    <definedName name="VIGA03" localSheetId="15">#REF!</definedName>
    <definedName name="VIGA03" localSheetId="14">#REF!</definedName>
    <definedName name="VIGA03" localSheetId="12">#REF!</definedName>
    <definedName name="VIGA03" localSheetId="13">#REF!</definedName>
    <definedName name="VIGA03" localSheetId="10">#REF!</definedName>
    <definedName name="VIGA03">#REF!</definedName>
    <definedName name="VNI" localSheetId="1">#REF!</definedName>
    <definedName name="VNI" localSheetId="2">#REF!</definedName>
    <definedName name="VNI" localSheetId="4">#REF!</definedName>
    <definedName name="VNI" localSheetId="5">#REF!</definedName>
    <definedName name="VNI" localSheetId="15">#REF!</definedName>
    <definedName name="VNI" localSheetId="14">#REF!</definedName>
    <definedName name="VNI" localSheetId="12">#REF!</definedName>
    <definedName name="VNI" localSheetId="13">#REF!</definedName>
    <definedName name="VNI" localSheetId="10">#REF!</definedName>
    <definedName name="VNI">#REF!</definedName>
    <definedName name="VNIM" localSheetId="1">#REF!</definedName>
    <definedName name="VNIM" localSheetId="2">#REF!</definedName>
    <definedName name="VNIM" localSheetId="4">#REF!</definedName>
    <definedName name="VNIM" localSheetId="5">#REF!</definedName>
    <definedName name="VNIM" localSheetId="15">#REF!</definedName>
    <definedName name="VNIM" localSheetId="14">#REF!</definedName>
    <definedName name="VNIM" localSheetId="12">#REF!</definedName>
    <definedName name="VNIM" localSheetId="13">#REF!</definedName>
    <definedName name="VNIM" localSheetId="10">#REF!</definedName>
    <definedName name="VNIM">#REF!</definedName>
    <definedName name="wrn.VOLCAN." localSheetId="1" hidden="1">{#N/A,#N/A,FALSE,"Resumen"}</definedName>
    <definedName name="wrn.VOLCAN." localSheetId="2" hidden="1">{#N/A,#N/A,FALSE,"Resumen"}</definedName>
    <definedName name="wrn.VOLCAN." localSheetId="4" hidden="1">{#N/A,#N/A,FALSE,"Resumen"}</definedName>
    <definedName name="wrn.VOLCAN." localSheetId="5" hidden="1">{#N/A,#N/A,FALSE,"Resumen"}</definedName>
    <definedName name="wrn.VOLCAN." localSheetId="15" hidden="1">{#N/A,#N/A,FALSE,"Resumen"}</definedName>
    <definedName name="wrn.VOLCAN." localSheetId="14" hidden="1">{#N/A,#N/A,FALSE,"Resumen"}</definedName>
    <definedName name="wrn.VOLCAN." localSheetId="12" hidden="1">{#N/A,#N/A,FALSE,"Resumen"}</definedName>
    <definedName name="wrn.VOLCAN." localSheetId="13" hidden="1">{#N/A,#N/A,FALSE,"Resumen"}</definedName>
    <definedName name="wrn.VOLCAN." localSheetId="10" hidden="1">{#N/A,#N/A,FALSE,"Resumen"}</definedName>
    <definedName name="wrn.VOLCAN." hidden="1">{#N/A,#N/A,FALSE,"Resumen"}</definedName>
    <definedName name="X" localSheetId="1">#REF!</definedName>
    <definedName name="X" localSheetId="2">#REF!</definedName>
    <definedName name="X" localSheetId="4">#REF!</definedName>
    <definedName name="X" localSheetId="5">#REF!</definedName>
    <definedName name="X" localSheetId="15">#REF!</definedName>
    <definedName name="X" localSheetId="14">#REF!</definedName>
    <definedName name="X" localSheetId="12">#REF!</definedName>
    <definedName name="X" localSheetId="13">#REF!</definedName>
    <definedName name="X" localSheetId="10">#REF!</definedName>
    <definedName name="X">#REF!</definedName>
    <definedName name="xx" localSheetId="1">'[1]Menu No. 4'!#REF!</definedName>
    <definedName name="xx" localSheetId="2">'[1]Menu No. 4'!#REF!</definedName>
    <definedName name="xx" localSheetId="4">'[1]Menu No. 4'!#REF!</definedName>
    <definedName name="xx" localSheetId="3">'[1]Menu No. 4'!#REF!</definedName>
    <definedName name="xx" localSheetId="8">'[1]Menu No. 4'!#REF!</definedName>
    <definedName name="xx" localSheetId="5">'[1]Menu No. 4'!#REF!</definedName>
    <definedName name="xx" localSheetId="15">'[1]Menu No. 4'!#REF!</definedName>
    <definedName name="xx" localSheetId="14">'[1]Menu No. 4'!#REF!</definedName>
    <definedName name="xx" localSheetId="12">'[1]Menu No. 4'!#REF!</definedName>
    <definedName name="xx" localSheetId="13">'[1]Menu No. 4'!#REF!</definedName>
    <definedName name="xx" localSheetId="10">'[1]Menu No. 4'!#REF!</definedName>
    <definedName name="xx" localSheetId="7">'[1]Menu No. 4'!#REF!</definedName>
    <definedName name="xx">'[1]Menu No. 4'!#REF!</definedName>
    <definedName name="yute" localSheetId="1">#REF!</definedName>
    <definedName name="yute" localSheetId="2">#REF!</definedName>
    <definedName name="yute" localSheetId="4">#REF!</definedName>
    <definedName name="yute" localSheetId="5">#REF!</definedName>
    <definedName name="yute" localSheetId="15">#REF!</definedName>
    <definedName name="yute" localSheetId="14">#REF!</definedName>
    <definedName name="yute" localSheetId="12">#REF!</definedName>
    <definedName name="yute" localSheetId="13">#REF!</definedName>
    <definedName name="yute" localSheetId="10">#REF!</definedName>
    <definedName name="yute">#REF!</definedName>
    <definedName name="z" localSheetId="1">#REF!</definedName>
    <definedName name="z" localSheetId="2">#REF!</definedName>
    <definedName name="z" localSheetId="4">#REF!</definedName>
    <definedName name="z" localSheetId="3">#REF!</definedName>
    <definedName name="z" localSheetId="8">#REF!</definedName>
    <definedName name="z" localSheetId="5">#REF!</definedName>
    <definedName name="z" localSheetId="15">#REF!</definedName>
    <definedName name="z" localSheetId="14">#REF!</definedName>
    <definedName name="z" localSheetId="12">#REF!</definedName>
    <definedName name="z" localSheetId="13">#REF!</definedName>
    <definedName name="z" localSheetId="10">#REF!</definedName>
    <definedName name="z" localSheetId="7">#REF!</definedName>
    <definedName name="z">#REF!</definedName>
    <definedName name="Zaña" localSheetId="1">#REF!</definedName>
    <definedName name="Zaña" localSheetId="2">#REF!</definedName>
    <definedName name="Zaña" localSheetId="4">#REF!</definedName>
    <definedName name="Zaña" localSheetId="3">#REF!</definedName>
    <definedName name="Zaña" localSheetId="8">#REF!</definedName>
    <definedName name="Zaña" localSheetId="5">#REF!</definedName>
    <definedName name="Zaña" localSheetId="15">#REF!</definedName>
    <definedName name="Zaña" localSheetId="14">#REF!</definedName>
    <definedName name="Zaña" localSheetId="12">#REF!</definedName>
    <definedName name="Zaña" localSheetId="13">#REF!</definedName>
    <definedName name="Zaña" localSheetId="10">#REF!</definedName>
    <definedName name="Zaña" localSheetId="7">#REF!</definedName>
    <definedName name="Zaña">#REF!</definedName>
    <definedName name="Zaña2" localSheetId="1">#REF!</definedName>
    <definedName name="Zaña2" localSheetId="2">#REF!</definedName>
    <definedName name="Zaña2" localSheetId="4">#REF!</definedName>
    <definedName name="Zaña2" localSheetId="3">#REF!</definedName>
    <definedName name="Zaña2" localSheetId="8">#REF!</definedName>
    <definedName name="Zaña2" localSheetId="5">#REF!</definedName>
    <definedName name="Zaña2" localSheetId="15">#REF!</definedName>
    <definedName name="Zaña2" localSheetId="14">#REF!</definedName>
    <definedName name="Zaña2" localSheetId="12">#REF!</definedName>
    <definedName name="Zaña2" localSheetId="13">#REF!</definedName>
    <definedName name="Zaña2" localSheetId="10">#REF!</definedName>
    <definedName name="Zaña2" localSheetId="7">#REF!</definedName>
    <definedName name="Zaña2">#REF!</definedName>
    <definedName name="ZETA" localSheetId="1">#REF!</definedName>
    <definedName name="ZETA" localSheetId="2">#REF!</definedName>
    <definedName name="ZETA" localSheetId="4">#REF!</definedName>
    <definedName name="ZETA" localSheetId="5">#REF!</definedName>
    <definedName name="ZETA" localSheetId="15">#REF!</definedName>
    <definedName name="ZETA" localSheetId="14">#REF!</definedName>
    <definedName name="ZETA" localSheetId="12">#REF!</definedName>
    <definedName name="ZETA" localSheetId="13">#REF!</definedName>
    <definedName name="ZETA" localSheetId="10">#REF!</definedName>
    <definedName name="ZETA">#REF!</definedName>
  </definedNames>
  <calcPr calcId="181029"/>
  <fileRecoveryPr autoRecover="0"/>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599" i="199" l="1"/>
  <c r="R600" i="199"/>
  <c r="R601" i="199"/>
  <c r="R602" i="199"/>
  <c r="R598" i="199"/>
  <c r="Q298" i="199" l="1"/>
  <c r="Q299" i="199"/>
  <c r="G744" i="199" l="1"/>
  <c r="C180" i="215"/>
  <c r="AU6" i="199" l="1"/>
  <c r="AF134" i="201" l="1"/>
  <c r="AE121" i="199" s="1"/>
  <c r="L134" i="201"/>
  <c r="C275" i="215"/>
  <c r="AE120" i="199"/>
  <c r="Q17" i="201"/>
  <c r="Q14" i="210" l="1"/>
  <c r="O64" i="199"/>
  <c r="B599" i="199" l="1"/>
  <c r="B616" i="199" s="1"/>
  <c r="G69" i="215" l="1"/>
  <c r="F69" i="215"/>
  <c r="E69" i="215"/>
  <c r="D69" i="215"/>
  <c r="G111" i="215"/>
  <c r="F111" i="215"/>
  <c r="E111" i="215"/>
  <c r="D111" i="215"/>
  <c r="N373" i="199" l="1"/>
  <c r="C454" i="215" l="1"/>
  <c r="B18" i="213" l="1"/>
  <c r="AJ326" i="199" l="1"/>
  <c r="G207" i="222" l="1"/>
  <c r="G206" i="222"/>
  <c r="G205" i="222"/>
  <c r="G203" i="222"/>
  <c r="G789" i="199"/>
  <c r="C31" i="106"/>
  <c r="C41" i="106" s="1"/>
  <c r="R154" i="199"/>
  <c r="B15" i="201"/>
  <c r="B217" i="199"/>
  <c r="G745" i="199" s="1"/>
  <c r="B169" i="199"/>
  <c r="B197" i="199"/>
  <c r="C121" i="215"/>
  <c r="E121" i="215" s="1"/>
  <c r="D164" i="215"/>
  <c r="F164" i="215" s="1"/>
  <c r="I164" i="215" s="1"/>
  <c r="K164" i="215" s="1"/>
  <c r="B96" i="213"/>
  <c r="E96" i="213"/>
  <c r="G96" i="213" s="1"/>
  <c r="I96" i="213" s="1"/>
  <c r="E95" i="213"/>
  <c r="G95" i="213" s="1"/>
  <c r="I95" i="213" s="1"/>
  <c r="E92" i="213"/>
  <c r="E93" i="213"/>
  <c r="G93" i="213" s="1"/>
  <c r="I93" i="213" s="1"/>
  <c r="E91" i="213"/>
  <c r="G91" i="213" s="1"/>
  <c r="I91" i="213" s="1"/>
  <c r="E88" i="213"/>
  <c r="E86" i="213"/>
  <c r="G86" i="213" s="1"/>
  <c r="I86" i="213" s="1"/>
  <c r="E80" i="213"/>
  <c r="G80" i="213" s="1"/>
  <c r="I80" i="213" s="1"/>
  <c r="E81" i="213"/>
  <c r="E79" i="213"/>
  <c r="G79" i="213" s="1"/>
  <c r="I79" i="213" s="1"/>
  <c r="E68" i="213"/>
  <c r="E69" i="213"/>
  <c r="E70" i="213"/>
  <c r="G70" i="213" s="1"/>
  <c r="I70" i="213" s="1"/>
  <c r="E71" i="213"/>
  <c r="G71" i="213" s="1"/>
  <c r="I71" i="213" s="1"/>
  <c r="E72" i="213"/>
  <c r="G72" i="213" s="1"/>
  <c r="I72" i="213" s="1"/>
  <c r="E73" i="213"/>
  <c r="G73" i="213" s="1"/>
  <c r="I73" i="213" s="1"/>
  <c r="E74" i="213"/>
  <c r="G74" i="213" s="1"/>
  <c r="I74" i="213" s="1"/>
  <c r="E75" i="213"/>
  <c r="G75" i="213" s="1"/>
  <c r="I75" i="213" s="1"/>
  <c r="E76" i="213"/>
  <c r="E60" i="213"/>
  <c r="G60" i="213" s="1"/>
  <c r="I60" i="213" s="1"/>
  <c r="E61" i="213"/>
  <c r="G61" i="213" s="1"/>
  <c r="I61" i="213" s="1"/>
  <c r="E62" i="213"/>
  <c r="G62" i="213" s="1"/>
  <c r="I62" i="213" s="1"/>
  <c r="E63" i="213"/>
  <c r="G63" i="213" s="1"/>
  <c r="I63" i="213" s="1"/>
  <c r="E64" i="213"/>
  <c r="G64" i="213" s="1"/>
  <c r="I64" i="213" s="1"/>
  <c r="E59" i="213"/>
  <c r="G59" i="213" s="1"/>
  <c r="I59" i="213" s="1"/>
  <c r="O190" i="215"/>
  <c r="O189" i="215"/>
  <c r="O188" i="215"/>
  <c r="J191" i="215"/>
  <c r="D206" i="215" s="1"/>
  <c r="K285" i="215"/>
  <c r="K280" i="215"/>
  <c r="J285" i="215"/>
  <c r="D300" i="215" s="1"/>
  <c r="J280" i="215"/>
  <c r="O257" i="215"/>
  <c r="O258" i="215"/>
  <c r="O259" i="215"/>
  <c r="O260" i="215"/>
  <c r="O261" i="215"/>
  <c r="O262" i="215"/>
  <c r="O263" i="215"/>
  <c r="O264" i="215"/>
  <c r="O265" i="215"/>
  <c r="O184" i="215"/>
  <c r="O185" i="215" s="1"/>
  <c r="D164" i="225" s="1"/>
  <c r="O158" i="215"/>
  <c r="O157" i="215"/>
  <c r="O156" i="215"/>
  <c r="O155" i="215"/>
  <c r="O154" i="215"/>
  <c r="O164" i="215"/>
  <c r="O163" i="215"/>
  <c r="O162" i="215"/>
  <c r="O153" i="215"/>
  <c r="BB438" i="199"/>
  <c r="AW558" i="199"/>
  <c r="AA479" i="199"/>
  <c r="U592" i="199" s="1"/>
  <c r="AA480" i="199"/>
  <c r="U593" i="199" s="1"/>
  <c r="AA481" i="199"/>
  <c r="U594" i="199" s="1"/>
  <c r="AA482" i="199"/>
  <c r="U595" i="199" s="1"/>
  <c r="AA483" i="199"/>
  <c r="U596" i="199" s="1"/>
  <c r="AA484" i="199"/>
  <c r="U597" i="199" s="1"/>
  <c r="AA478" i="199"/>
  <c r="U591" i="199" s="1"/>
  <c r="AA475" i="199"/>
  <c r="U588" i="199" s="1"/>
  <c r="AA476" i="199"/>
  <c r="U589" i="199" s="1"/>
  <c r="AA474" i="199"/>
  <c r="U587" i="199" s="1"/>
  <c r="AA464" i="199"/>
  <c r="U577" i="199" s="1"/>
  <c r="AA465" i="199"/>
  <c r="U578" i="199" s="1"/>
  <c r="AA466" i="199"/>
  <c r="U579" i="199" s="1"/>
  <c r="AA467" i="199"/>
  <c r="U580" i="199" s="1"/>
  <c r="AA468" i="199"/>
  <c r="U581" i="199" s="1"/>
  <c r="AA469" i="199"/>
  <c r="U582" i="199" s="1"/>
  <c r="AA470" i="199"/>
  <c r="U583" i="199" s="1"/>
  <c r="AA463" i="199"/>
  <c r="U576" i="199" s="1"/>
  <c r="U584" i="199"/>
  <c r="U586" i="199"/>
  <c r="U573" i="199"/>
  <c r="U574" i="199"/>
  <c r="U562" i="199"/>
  <c r="U552" i="199"/>
  <c r="U553" i="199"/>
  <c r="U554" i="199"/>
  <c r="U555" i="199"/>
  <c r="U556" i="199"/>
  <c r="U544" i="199"/>
  <c r="W615" i="199"/>
  <c r="Y615" i="199"/>
  <c r="AA615" i="199"/>
  <c r="AC615" i="199"/>
  <c r="AE615" i="199"/>
  <c r="AG615" i="199"/>
  <c r="AI615" i="199"/>
  <c r="AK615" i="199"/>
  <c r="AM615" i="199"/>
  <c r="AO615" i="199"/>
  <c r="AQ615" i="199"/>
  <c r="W616" i="199"/>
  <c r="Y616" i="199"/>
  <c r="AA616" i="199"/>
  <c r="AC616" i="199"/>
  <c r="AE616" i="199"/>
  <c r="AG616" i="199"/>
  <c r="AI616" i="199"/>
  <c r="AK616" i="199"/>
  <c r="AM616" i="199"/>
  <c r="AO616" i="199"/>
  <c r="AQ616" i="199"/>
  <c r="W617" i="199"/>
  <c r="Y617" i="199"/>
  <c r="AA617" i="199"/>
  <c r="AC617" i="199"/>
  <c r="AE617" i="199"/>
  <c r="AG617" i="199"/>
  <c r="AI617" i="199"/>
  <c r="AK617" i="199"/>
  <c r="AM617" i="199"/>
  <c r="AO617" i="199"/>
  <c r="AQ617" i="199"/>
  <c r="W618" i="199"/>
  <c r="Y618" i="199"/>
  <c r="AA618" i="199"/>
  <c r="AC618" i="199"/>
  <c r="AE618" i="199"/>
  <c r="AG618" i="199"/>
  <c r="AI618" i="199"/>
  <c r="AK618" i="199"/>
  <c r="AM618" i="199"/>
  <c r="AO618" i="199"/>
  <c r="AQ618" i="199"/>
  <c r="W619" i="199"/>
  <c r="Y619" i="199"/>
  <c r="AA619" i="199"/>
  <c r="AC619" i="199"/>
  <c r="AE619" i="199"/>
  <c r="AG619" i="199"/>
  <c r="AI619" i="199"/>
  <c r="AK619" i="199"/>
  <c r="AM619" i="199"/>
  <c r="AO619" i="199"/>
  <c r="AQ619" i="199"/>
  <c r="U616" i="199"/>
  <c r="U617" i="199"/>
  <c r="U618" i="199"/>
  <c r="U619" i="199"/>
  <c r="U614" i="199"/>
  <c r="W614" i="199"/>
  <c r="Y614" i="199"/>
  <c r="AA614" i="199"/>
  <c r="AC614" i="199"/>
  <c r="AE614" i="199"/>
  <c r="AG614" i="199"/>
  <c r="AI614" i="199"/>
  <c r="AK614" i="199"/>
  <c r="AM614" i="199"/>
  <c r="AO614" i="199"/>
  <c r="AQ614" i="199"/>
  <c r="U615" i="199"/>
  <c r="AS616" i="199"/>
  <c r="AS617" i="199"/>
  <c r="AS618" i="199"/>
  <c r="AS619" i="199"/>
  <c r="AS615" i="199"/>
  <c r="AW569" i="199"/>
  <c r="AW563" i="199"/>
  <c r="U533" i="199"/>
  <c r="AQ533" i="199"/>
  <c r="AO529" i="199"/>
  <c r="AC529" i="199"/>
  <c r="AA529" i="199"/>
  <c r="Y529" i="199"/>
  <c r="W529" i="199"/>
  <c r="U529" i="199"/>
  <c r="AE529" i="199"/>
  <c r="AG529" i="199"/>
  <c r="AI529" i="199"/>
  <c r="AK529" i="199"/>
  <c r="AM529" i="199"/>
  <c r="AQ529" i="199"/>
  <c r="W530" i="199"/>
  <c r="Y530" i="199"/>
  <c r="AA530" i="199"/>
  <c r="AC530" i="199"/>
  <c r="AE530" i="199"/>
  <c r="AG530" i="199"/>
  <c r="AI530" i="199"/>
  <c r="AK530" i="199"/>
  <c r="AM530" i="199"/>
  <c r="AO530" i="199"/>
  <c r="AQ530" i="199"/>
  <c r="W531" i="199"/>
  <c r="Y531" i="199"/>
  <c r="AA531" i="199"/>
  <c r="AC531" i="199"/>
  <c r="AE531" i="199"/>
  <c r="AG531" i="199"/>
  <c r="AI531" i="199"/>
  <c r="AK531" i="199"/>
  <c r="AM531" i="199"/>
  <c r="AO531" i="199"/>
  <c r="AQ531" i="199"/>
  <c r="W532" i="199"/>
  <c r="Y532" i="199"/>
  <c r="AA532" i="199"/>
  <c r="AC532" i="199"/>
  <c r="AE532" i="199"/>
  <c r="AG532" i="199"/>
  <c r="AI532" i="199"/>
  <c r="AK532" i="199"/>
  <c r="AM532" i="199"/>
  <c r="AO532" i="199"/>
  <c r="AQ532" i="199"/>
  <c r="W533" i="199"/>
  <c r="Y533" i="199"/>
  <c r="AA533" i="199"/>
  <c r="AC533" i="199"/>
  <c r="AE533" i="199"/>
  <c r="AG533" i="199"/>
  <c r="AI533" i="199"/>
  <c r="AK533" i="199"/>
  <c r="AM533" i="199"/>
  <c r="AO533" i="199"/>
  <c r="U530" i="199"/>
  <c r="U531" i="199"/>
  <c r="U532" i="199"/>
  <c r="AE527" i="199"/>
  <c r="W527" i="199"/>
  <c r="Y527" i="199"/>
  <c r="AA527" i="199"/>
  <c r="AC527" i="199"/>
  <c r="AG527" i="199"/>
  <c r="AI527" i="199"/>
  <c r="AK527" i="199"/>
  <c r="AM527" i="199"/>
  <c r="AO527" i="199"/>
  <c r="AQ527" i="199"/>
  <c r="U527" i="199"/>
  <c r="W526" i="199"/>
  <c r="AA526" i="199"/>
  <c r="AQ526" i="199"/>
  <c r="Y526" i="199"/>
  <c r="AC526" i="199"/>
  <c r="AE526" i="199"/>
  <c r="AG526" i="199"/>
  <c r="AI526" i="199"/>
  <c r="AK526" i="199"/>
  <c r="AM526" i="199"/>
  <c r="AO526" i="199"/>
  <c r="U526" i="199"/>
  <c r="AQ525" i="199"/>
  <c r="AO525" i="199"/>
  <c r="AM525" i="199"/>
  <c r="AK525" i="199"/>
  <c r="AI525" i="199"/>
  <c r="AG525" i="199"/>
  <c r="AE525" i="199"/>
  <c r="AC525" i="199"/>
  <c r="AA525" i="199"/>
  <c r="Y525" i="199"/>
  <c r="W525" i="199"/>
  <c r="U525" i="199"/>
  <c r="AQ524" i="199"/>
  <c r="AO524" i="199"/>
  <c r="AM524" i="199"/>
  <c r="AK524" i="199"/>
  <c r="AI524" i="199"/>
  <c r="AG524" i="199"/>
  <c r="AE524" i="199"/>
  <c r="AC524" i="199"/>
  <c r="AA524" i="199"/>
  <c r="Y524" i="199"/>
  <c r="W524" i="199"/>
  <c r="U524" i="199"/>
  <c r="AQ523" i="199"/>
  <c r="AO523" i="199"/>
  <c r="AM523" i="199"/>
  <c r="AK523" i="199"/>
  <c r="AI523" i="199"/>
  <c r="AG523" i="199"/>
  <c r="AE523" i="199"/>
  <c r="AC523" i="199"/>
  <c r="AA523" i="199"/>
  <c r="Y523" i="199"/>
  <c r="W523" i="199"/>
  <c r="U523" i="199"/>
  <c r="U567" i="199"/>
  <c r="Q470" i="199"/>
  <c r="R583" i="199" s="1"/>
  <c r="Q484" i="199"/>
  <c r="R597" i="199" s="1"/>
  <c r="Q480" i="199"/>
  <c r="R593" i="199" s="1"/>
  <c r="Q476" i="199"/>
  <c r="R589" i="199" s="1"/>
  <c r="Q482" i="199"/>
  <c r="R595" i="199" s="1"/>
  <c r="Q483" i="199"/>
  <c r="R596" i="199" s="1"/>
  <c r="Q479" i="199"/>
  <c r="R592" i="199" s="1"/>
  <c r="Q472" i="199"/>
  <c r="R585" i="199" s="1"/>
  <c r="Q473" i="199"/>
  <c r="R586" i="199" s="1"/>
  <c r="Q474" i="199"/>
  <c r="R587" i="199" s="1"/>
  <c r="Q475" i="199"/>
  <c r="R588" i="199" s="1"/>
  <c r="Q464" i="199"/>
  <c r="R577" i="199" s="1"/>
  <c r="Q465" i="199"/>
  <c r="R578" i="199" s="1"/>
  <c r="Q466" i="199"/>
  <c r="R579" i="199" s="1"/>
  <c r="Q467" i="199"/>
  <c r="R580" i="199" s="1"/>
  <c r="Q468" i="199"/>
  <c r="R581" i="199" s="1"/>
  <c r="Q469" i="199"/>
  <c r="R582" i="199" s="1"/>
  <c r="Q457" i="199"/>
  <c r="R570" i="199" s="1"/>
  <c r="Q458" i="199"/>
  <c r="R571" i="199" s="1"/>
  <c r="Q459" i="199"/>
  <c r="R572" i="199" s="1"/>
  <c r="Q460" i="199"/>
  <c r="R573" i="199" s="1"/>
  <c r="Q461" i="199"/>
  <c r="R574" i="199" s="1"/>
  <c r="Q446" i="199"/>
  <c r="R559" i="199" s="1"/>
  <c r="Q447" i="199"/>
  <c r="R560" i="199" s="1"/>
  <c r="Q448" i="199"/>
  <c r="R561" i="199" s="1"/>
  <c r="Q449" i="199"/>
  <c r="R562" i="199" s="1"/>
  <c r="Q450" i="199"/>
  <c r="R563" i="199" s="1"/>
  <c r="Q451" i="199"/>
  <c r="R564" i="199" s="1"/>
  <c r="Q452" i="199"/>
  <c r="R565" i="199" s="1"/>
  <c r="Q453" i="199"/>
  <c r="R566" i="199" s="1"/>
  <c r="Q454" i="199"/>
  <c r="R567" i="199" s="1"/>
  <c r="Q438" i="199"/>
  <c r="R551" i="199" s="1"/>
  <c r="Q439" i="199"/>
  <c r="Q440" i="199"/>
  <c r="R553" i="199" s="1"/>
  <c r="Q441" i="199"/>
  <c r="R554" i="199" s="1"/>
  <c r="Q442" i="199"/>
  <c r="R555" i="199" s="1"/>
  <c r="Q443" i="199"/>
  <c r="R556" i="199" s="1"/>
  <c r="Q434" i="199"/>
  <c r="R547" i="199" s="1"/>
  <c r="Q435" i="199"/>
  <c r="R548" i="199" s="1"/>
  <c r="BA616" i="199"/>
  <c r="G98" i="219"/>
  <c r="G99" i="219" s="1"/>
  <c r="G94" i="219"/>
  <c r="G93" i="219"/>
  <c r="G84" i="219"/>
  <c r="G78" i="219"/>
  <c r="G79" i="219"/>
  <c r="G80" i="219"/>
  <c r="G81" i="219"/>
  <c r="G77" i="219"/>
  <c r="G64" i="219"/>
  <c r="G65" i="219"/>
  <c r="G63" i="219"/>
  <c r="G49" i="219"/>
  <c r="G50" i="219"/>
  <c r="G51" i="219"/>
  <c r="G52" i="219"/>
  <c r="G53" i="219"/>
  <c r="G48" i="219"/>
  <c r="G42" i="219"/>
  <c r="G41" i="219"/>
  <c r="G43" i="219" s="1"/>
  <c r="G29" i="219"/>
  <c r="G30" i="219"/>
  <c r="G31" i="219"/>
  <c r="G32" i="219"/>
  <c r="G33" i="219"/>
  <c r="G34" i="219"/>
  <c r="G35" i="219"/>
  <c r="G36" i="219"/>
  <c r="G37" i="219"/>
  <c r="G38" i="219"/>
  <c r="G28" i="219"/>
  <c r="F178" i="216"/>
  <c r="F179" i="216"/>
  <c r="F180" i="216"/>
  <c r="G350" i="213"/>
  <c r="E345" i="213"/>
  <c r="G345" i="213" s="1"/>
  <c r="E346" i="213"/>
  <c r="X480" i="199" s="1"/>
  <c r="AD480" i="199" s="1"/>
  <c r="AW593" i="199" s="1"/>
  <c r="E347" i="213"/>
  <c r="G347" i="213" s="1"/>
  <c r="E348" i="213"/>
  <c r="G348" i="213" s="1"/>
  <c r="E349" i="213"/>
  <c r="E344" i="213"/>
  <c r="G344" i="213" s="1"/>
  <c r="E327" i="213"/>
  <c r="G327" i="213" s="1"/>
  <c r="E328" i="213"/>
  <c r="I328" i="213" s="1"/>
  <c r="AG465" i="199" s="1"/>
  <c r="E329" i="213"/>
  <c r="G329" i="213" s="1"/>
  <c r="E330" i="213"/>
  <c r="G330" i="213" s="1"/>
  <c r="E331" i="213"/>
  <c r="G331" i="213" s="1"/>
  <c r="E332" i="213"/>
  <c r="I332" i="213" s="1"/>
  <c r="AG469" i="199" s="1"/>
  <c r="E333" i="213"/>
  <c r="G333" i="213" s="1"/>
  <c r="E334" i="213"/>
  <c r="G334" i="213" s="1"/>
  <c r="E335" i="213"/>
  <c r="E336" i="213"/>
  <c r="G336" i="213" s="1"/>
  <c r="E337" i="213"/>
  <c r="G337" i="213" s="1"/>
  <c r="E338" i="213"/>
  <c r="G338" i="213" s="1"/>
  <c r="E326" i="213"/>
  <c r="I326" i="213" s="1"/>
  <c r="AG463" i="199" s="1"/>
  <c r="G339" i="213"/>
  <c r="E73" i="215"/>
  <c r="E32" i="213" s="1"/>
  <c r="AA472" i="199"/>
  <c r="U585" i="199" s="1"/>
  <c r="P207" i="199"/>
  <c r="P206" i="199"/>
  <c r="P205" i="199"/>
  <c r="P204" i="199"/>
  <c r="P203" i="199"/>
  <c r="P202" i="199"/>
  <c r="AA723" i="199"/>
  <c r="AA719" i="199"/>
  <c r="X516" i="199"/>
  <c r="Z516" i="199"/>
  <c r="AB516" i="199"/>
  <c r="AD516" i="199"/>
  <c r="AF516" i="199"/>
  <c r="AH516" i="199"/>
  <c r="AJ516" i="199"/>
  <c r="AL516" i="199"/>
  <c r="AN516" i="199"/>
  <c r="AP516" i="199"/>
  <c r="AR516" i="199"/>
  <c r="V516" i="199"/>
  <c r="C435" i="215"/>
  <c r="F467" i="215" s="1"/>
  <c r="J474" i="225"/>
  <c r="J473" i="225" s="1"/>
  <c r="K474" i="225"/>
  <c r="K473" i="225" s="1"/>
  <c r="L474" i="225"/>
  <c r="L473" i="225" s="1"/>
  <c r="J476" i="225"/>
  <c r="K476" i="225"/>
  <c r="L476" i="225"/>
  <c r="J477" i="225"/>
  <c r="K477" i="225"/>
  <c r="L477" i="225"/>
  <c r="I477" i="225"/>
  <c r="I476" i="225"/>
  <c r="J471" i="225"/>
  <c r="K471" i="225"/>
  <c r="L471" i="225"/>
  <c r="J472" i="225"/>
  <c r="J470" i="225" s="1"/>
  <c r="K472" i="225"/>
  <c r="L472" i="225"/>
  <c r="I474" i="225"/>
  <c r="I473" i="225" s="1"/>
  <c r="I472" i="225"/>
  <c r="I471" i="225"/>
  <c r="B445" i="199"/>
  <c r="B558" i="199" s="1"/>
  <c r="B442" i="199"/>
  <c r="B555" i="199" s="1"/>
  <c r="G207" i="199"/>
  <c r="G206" i="199"/>
  <c r="G205" i="199"/>
  <c r="G204" i="199"/>
  <c r="G203" i="199"/>
  <c r="G202" i="199"/>
  <c r="O71" i="199"/>
  <c r="AP53" i="199"/>
  <c r="AN53" i="199"/>
  <c r="AR51" i="199"/>
  <c r="AP51" i="199"/>
  <c r="AN51" i="199"/>
  <c r="AC34" i="199"/>
  <c r="AC29" i="199"/>
  <c r="B17" i="199"/>
  <c r="L14" i="199" s="1"/>
  <c r="V300" i="199"/>
  <c r="AP300" i="199" s="1"/>
  <c r="V299" i="199"/>
  <c r="AP299" i="199" s="1"/>
  <c r="V298" i="199"/>
  <c r="AP298" i="199" s="1"/>
  <c r="V297" i="199"/>
  <c r="AP297" i="199" s="1"/>
  <c r="N406" i="199"/>
  <c r="U607" i="199"/>
  <c r="B431" i="199"/>
  <c r="B544" i="199" s="1"/>
  <c r="AF128" i="201"/>
  <c r="R151" i="199" s="1"/>
  <c r="AE127" i="199"/>
  <c r="J396" i="225"/>
  <c r="K396" i="225"/>
  <c r="L396" i="225"/>
  <c r="J397" i="225"/>
  <c r="K397" i="225"/>
  <c r="L397" i="225"/>
  <c r="J398" i="225"/>
  <c r="K398" i="225"/>
  <c r="L398" i="225"/>
  <c r="J399" i="225"/>
  <c r="K399" i="225"/>
  <c r="L399" i="225"/>
  <c r="J400" i="225"/>
  <c r="K400" i="225"/>
  <c r="L400" i="225"/>
  <c r="J401" i="225"/>
  <c r="K401" i="225"/>
  <c r="L401" i="225"/>
  <c r="J402" i="225"/>
  <c r="K402" i="225"/>
  <c r="L402" i="225"/>
  <c r="I402" i="225"/>
  <c r="I400" i="225"/>
  <c r="J404" i="225"/>
  <c r="K404" i="225"/>
  <c r="L404" i="225"/>
  <c r="J405" i="225"/>
  <c r="K405" i="225"/>
  <c r="L405" i="225"/>
  <c r="J406" i="225"/>
  <c r="K406" i="225"/>
  <c r="L406" i="225"/>
  <c r="J407" i="225"/>
  <c r="K407" i="225"/>
  <c r="L407" i="225"/>
  <c r="J408" i="225"/>
  <c r="K408" i="225"/>
  <c r="L408" i="225"/>
  <c r="J409" i="225"/>
  <c r="K409" i="225"/>
  <c r="L409" i="225"/>
  <c r="J410" i="225"/>
  <c r="K410" i="225"/>
  <c r="L410" i="225"/>
  <c r="J411" i="225"/>
  <c r="K411" i="225"/>
  <c r="L411" i="225"/>
  <c r="J412" i="225"/>
  <c r="K412" i="225"/>
  <c r="L412" i="225"/>
  <c r="J413" i="225"/>
  <c r="K413" i="225"/>
  <c r="L413" i="225"/>
  <c r="J415" i="225"/>
  <c r="K415" i="225"/>
  <c r="L415" i="225"/>
  <c r="J416" i="225"/>
  <c r="K416" i="225"/>
  <c r="L416" i="225"/>
  <c r="J417" i="225"/>
  <c r="K417" i="225"/>
  <c r="L417" i="225"/>
  <c r="I417" i="225"/>
  <c r="I416" i="225"/>
  <c r="I415" i="225"/>
  <c r="J419" i="225"/>
  <c r="K419" i="225"/>
  <c r="L419" i="225"/>
  <c r="J420" i="225"/>
  <c r="K420" i="225"/>
  <c r="L420" i="225"/>
  <c r="J422" i="225"/>
  <c r="K422" i="225"/>
  <c r="L422" i="225"/>
  <c r="J423" i="225"/>
  <c r="K423" i="225"/>
  <c r="L423" i="225"/>
  <c r="J424" i="225"/>
  <c r="K424" i="225"/>
  <c r="L424" i="225"/>
  <c r="J425" i="225"/>
  <c r="K425" i="225"/>
  <c r="L425" i="225"/>
  <c r="J426" i="225"/>
  <c r="K426" i="225"/>
  <c r="L426" i="225"/>
  <c r="J427" i="225"/>
  <c r="K427" i="225"/>
  <c r="L427" i="225"/>
  <c r="J428" i="225"/>
  <c r="K428" i="225"/>
  <c r="L428" i="225"/>
  <c r="J429" i="225"/>
  <c r="K429" i="225"/>
  <c r="L429" i="225"/>
  <c r="J430" i="225"/>
  <c r="K430" i="225"/>
  <c r="L430" i="225"/>
  <c r="J431" i="225"/>
  <c r="K431" i="225"/>
  <c r="L431" i="225"/>
  <c r="J432" i="225"/>
  <c r="K432" i="225"/>
  <c r="L432" i="225"/>
  <c r="J433" i="225"/>
  <c r="K433" i="225"/>
  <c r="L433" i="225"/>
  <c r="J434" i="225"/>
  <c r="K434" i="225"/>
  <c r="L434" i="225"/>
  <c r="J435" i="225"/>
  <c r="K435" i="225"/>
  <c r="L435" i="225"/>
  <c r="I435" i="225"/>
  <c r="I434" i="225"/>
  <c r="I433" i="225"/>
  <c r="I432" i="225"/>
  <c r="I431" i="225"/>
  <c r="I430" i="225"/>
  <c r="I429" i="225"/>
  <c r="I428" i="225"/>
  <c r="I427" i="225"/>
  <c r="I426" i="225"/>
  <c r="I425" i="225"/>
  <c r="I424" i="225"/>
  <c r="I423" i="225"/>
  <c r="I422" i="225"/>
  <c r="J437" i="225"/>
  <c r="K437" i="225"/>
  <c r="L437" i="225"/>
  <c r="J438" i="225"/>
  <c r="K438" i="225"/>
  <c r="L438" i="225"/>
  <c r="J439" i="225"/>
  <c r="K439" i="225"/>
  <c r="L439" i="225"/>
  <c r="J440" i="225"/>
  <c r="K440" i="225"/>
  <c r="L440" i="225"/>
  <c r="J441" i="225"/>
  <c r="K441" i="225"/>
  <c r="L441" i="225"/>
  <c r="J442" i="225"/>
  <c r="K442" i="225"/>
  <c r="L442" i="225"/>
  <c r="I442" i="225"/>
  <c r="I441" i="225"/>
  <c r="I440" i="225"/>
  <c r="I439" i="225"/>
  <c r="I438" i="225"/>
  <c r="I437" i="225"/>
  <c r="J444" i="225"/>
  <c r="K444" i="225"/>
  <c r="L444" i="225"/>
  <c r="J445" i="225"/>
  <c r="K445" i="225"/>
  <c r="L445" i="225"/>
  <c r="J446" i="225"/>
  <c r="K446" i="225"/>
  <c r="L446" i="225"/>
  <c r="J448" i="225"/>
  <c r="K448" i="225"/>
  <c r="L448" i="225"/>
  <c r="J449" i="225"/>
  <c r="K449" i="225"/>
  <c r="L449" i="225"/>
  <c r="J450" i="225"/>
  <c r="K450" i="225"/>
  <c r="L450" i="225"/>
  <c r="J451" i="225"/>
  <c r="K451" i="225"/>
  <c r="L451" i="225"/>
  <c r="J353" i="225"/>
  <c r="K353" i="225"/>
  <c r="L353" i="225"/>
  <c r="I353" i="225"/>
  <c r="J324" i="225"/>
  <c r="K324" i="225"/>
  <c r="L324" i="225"/>
  <c r="J325" i="225"/>
  <c r="K325" i="225"/>
  <c r="L325" i="225"/>
  <c r="J326" i="225"/>
  <c r="K326" i="225"/>
  <c r="L326" i="225"/>
  <c r="J327" i="225"/>
  <c r="K327" i="225"/>
  <c r="L327" i="225"/>
  <c r="I327" i="225"/>
  <c r="I326" i="225"/>
  <c r="I325" i="225"/>
  <c r="I324" i="225"/>
  <c r="E306" i="225"/>
  <c r="F306" i="225" s="1"/>
  <c r="G306" i="225" s="1"/>
  <c r="E307" i="225"/>
  <c r="E305" i="225"/>
  <c r="F305" i="225" s="1"/>
  <c r="E303" i="225"/>
  <c r="F303" i="225" s="1"/>
  <c r="I297" i="225"/>
  <c r="E297" i="225"/>
  <c r="J297" i="225" s="1"/>
  <c r="I288" i="225"/>
  <c r="E288" i="225"/>
  <c r="F288" i="225" s="1"/>
  <c r="E290" i="225"/>
  <c r="E291" i="225"/>
  <c r="F291" i="225" s="1"/>
  <c r="E292" i="225"/>
  <c r="F292" i="225" s="1"/>
  <c r="G292" i="225" s="1"/>
  <c r="L292" i="225" s="1"/>
  <c r="E293" i="225"/>
  <c r="F293" i="225" s="1"/>
  <c r="G293" i="225" s="1"/>
  <c r="L293" i="225" s="1"/>
  <c r="E294" i="225"/>
  <c r="F294" i="225" s="1"/>
  <c r="I290" i="225"/>
  <c r="J269" i="225"/>
  <c r="K269" i="225"/>
  <c r="L269" i="225"/>
  <c r="J270" i="225"/>
  <c r="K270" i="225"/>
  <c r="L270" i="225"/>
  <c r="I270" i="225"/>
  <c r="I269" i="225"/>
  <c r="D221" i="225"/>
  <c r="D222" i="225" s="1"/>
  <c r="D223" i="225" s="1"/>
  <c r="D224" i="225" s="1"/>
  <c r="I224" i="225" s="1"/>
  <c r="L60" i="201"/>
  <c r="AC253" i="199"/>
  <c r="N374" i="199" s="1"/>
  <c r="C242" i="199"/>
  <c r="B277" i="199" s="1"/>
  <c r="C399" i="199" s="1"/>
  <c r="B593" i="215" s="1"/>
  <c r="Q119" i="201"/>
  <c r="AA119" i="201" s="1"/>
  <c r="AT119" i="201" s="1"/>
  <c r="Q120" i="201"/>
  <c r="AA120" i="201" s="1"/>
  <c r="AT120" i="201" s="1"/>
  <c r="Q121" i="201"/>
  <c r="AA121" i="201" s="1"/>
  <c r="AT121" i="201" s="1"/>
  <c r="Q122" i="201"/>
  <c r="AA122" i="201" s="1"/>
  <c r="AT122" i="201" s="1"/>
  <c r="Q123" i="201"/>
  <c r="Q124" i="201"/>
  <c r="AA124" i="201" s="1"/>
  <c r="AT124" i="201" s="1"/>
  <c r="Q125" i="201"/>
  <c r="AA125" i="201" s="1"/>
  <c r="AT125" i="201" s="1"/>
  <c r="Q126" i="201"/>
  <c r="Q127" i="201"/>
  <c r="AA127" i="201" s="1"/>
  <c r="AT127" i="201" s="1"/>
  <c r="Q118" i="201"/>
  <c r="AA118" i="201" s="1"/>
  <c r="AT118" i="201" s="1"/>
  <c r="AC290" i="199"/>
  <c r="N417" i="199" s="1"/>
  <c r="AC289" i="199"/>
  <c r="N416" i="199" s="1"/>
  <c r="AC287" i="199"/>
  <c r="N413" i="199" s="1"/>
  <c r="AC285" i="199"/>
  <c r="N411" i="199" s="1"/>
  <c r="AC284" i="199"/>
  <c r="N410" i="199" s="1"/>
  <c r="AC283" i="199"/>
  <c r="N409" i="199" s="1"/>
  <c r="AC282" i="199"/>
  <c r="N407" i="199" s="1"/>
  <c r="AC280" i="199"/>
  <c r="N404" i="199" s="1"/>
  <c r="AC279" i="199"/>
  <c r="N403" i="199" s="1"/>
  <c r="AC278" i="199"/>
  <c r="N401" i="199" s="1"/>
  <c r="AC277" i="199"/>
  <c r="N399" i="199" s="1"/>
  <c r="AC276" i="199"/>
  <c r="AC275" i="199"/>
  <c r="AC274" i="199"/>
  <c r="N396" i="199" s="1"/>
  <c r="AC273" i="199"/>
  <c r="N395" i="199" s="1"/>
  <c r="AC272" i="199"/>
  <c r="N394" i="199" s="1"/>
  <c r="AC271" i="199"/>
  <c r="N393" i="199" s="1"/>
  <c r="AC270" i="199"/>
  <c r="N392" i="199" s="1"/>
  <c r="AC269" i="199"/>
  <c r="N391" i="199" s="1"/>
  <c r="AC268" i="199"/>
  <c r="N390" i="199" s="1"/>
  <c r="AC266" i="199"/>
  <c r="N388" i="199" s="1"/>
  <c r="AC267" i="199"/>
  <c r="N389" i="199" s="1"/>
  <c r="AC265" i="199"/>
  <c r="N387" i="199" s="1"/>
  <c r="AC264" i="199"/>
  <c r="N386" i="199" s="1"/>
  <c r="AC263" i="199"/>
  <c r="N385" i="199" s="1"/>
  <c r="AC262" i="199"/>
  <c r="N384" i="199" s="1"/>
  <c r="AC261" i="199"/>
  <c r="N383" i="199" s="1"/>
  <c r="AC260" i="199"/>
  <c r="N382" i="199" s="1"/>
  <c r="AC259" i="199"/>
  <c r="AC258" i="199"/>
  <c r="N380" i="199" s="1"/>
  <c r="AC257" i="199"/>
  <c r="N378" i="199" s="1"/>
  <c r="AC256" i="199"/>
  <c r="N377" i="199" s="1"/>
  <c r="AC255" i="199"/>
  <c r="N376" i="199" s="1"/>
  <c r="AC254" i="199"/>
  <c r="N375" i="199" s="1"/>
  <c r="AC251" i="199"/>
  <c r="E79" i="215"/>
  <c r="E38" i="213" s="1"/>
  <c r="C23" i="100"/>
  <c r="C64" i="100" s="1"/>
  <c r="B600" i="199"/>
  <c r="B617" i="199" s="1"/>
  <c r="G787" i="199" s="1"/>
  <c r="B601" i="199"/>
  <c r="B618" i="199" s="1"/>
  <c r="G788" i="199" s="1"/>
  <c r="B602" i="199"/>
  <c r="B619" i="199" s="1"/>
  <c r="B598" i="199"/>
  <c r="B615" i="199" s="1"/>
  <c r="AC655" i="199"/>
  <c r="AC656" i="199" s="1"/>
  <c r="AF655" i="199"/>
  <c r="AF656" i="199" s="1"/>
  <c r="AI655" i="199"/>
  <c r="AI656" i="199" s="1"/>
  <c r="AL655" i="199"/>
  <c r="AL656" i="199" s="1"/>
  <c r="AO655" i="199"/>
  <c r="AO656" i="199" s="1"/>
  <c r="AR655" i="199"/>
  <c r="AR656" i="199" s="1"/>
  <c r="AC653" i="199"/>
  <c r="AF653" i="199"/>
  <c r="AI653" i="199"/>
  <c r="AL653" i="199"/>
  <c r="AO653" i="199"/>
  <c r="AR653" i="199"/>
  <c r="AC654" i="199"/>
  <c r="AF654" i="199"/>
  <c r="AI654" i="199"/>
  <c r="AL654" i="199"/>
  <c r="AO654" i="199"/>
  <c r="AR654" i="199"/>
  <c r="AC646" i="199"/>
  <c r="AF646" i="199"/>
  <c r="AI646" i="199"/>
  <c r="AL646" i="199"/>
  <c r="AO646" i="199"/>
  <c r="AR646" i="199"/>
  <c r="AC647" i="199"/>
  <c r="AF647" i="199"/>
  <c r="AI647" i="199"/>
  <c r="AL647" i="199"/>
  <c r="AO647" i="199"/>
  <c r="AR647" i="199"/>
  <c r="AC648" i="199"/>
  <c r="AF648" i="199"/>
  <c r="AI648" i="199"/>
  <c r="AL648" i="199"/>
  <c r="AO648" i="199"/>
  <c r="AR648" i="199"/>
  <c r="AC649" i="199"/>
  <c r="AF649" i="199"/>
  <c r="AI649" i="199"/>
  <c r="AL649" i="199"/>
  <c r="AO649" i="199"/>
  <c r="AR649" i="199"/>
  <c r="AC650" i="199"/>
  <c r="AF650" i="199"/>
  <c r="AI650" i="199"/>
  <c r="AL650" i="199"/>
  <c r="AO650" i="199"/>
  <c r="AR650" i="199"/>
  <c r="AC644" i="199"/>
  <c r="AF644" i="199"/>
  <c r="AI644" i="199"/>
  <c r="AL644" i="199"/>
  <c r="AO644" i="199"/>
  <c r="AR644" i="199"/>
  <c r="AC672" i="199"/>
  <c r="AF672" i="199"/>
  <c r="AI672" i="199"/>
  <c r="AL672" i="199"/>
  <c r="AO672" i="199"/>
  <c r="AR672" i="199"/>
  <c r="AC671" i="199"/>
  <c r="AF671" i="199"/>
  <c r="AI671" i="199"/>
  <c r="AL671" i="199"/>
  <c r="AO671" i="199"/>
  <c r="AR671" i="199"/>
  <c r="AC665" i="199"/>
  <c r="AF665" i="199"/>
  <c r="AI665" i="199"/>
  <c r="AL665" i="199"/>
  <c r="AO665" i="199"/>
  <c r="AR665" i="199"/>
  <c r="AC664" i="199"/>
  <c r="AF664" i="199"/>
  <c r="AI664" i="199"/>
  <c r="AL664" i="199"/>
  <c r="AO664" i="199"/>
  <c r="AR664" i="199"/>
  <c r="AC634" i="199"/>
  <c r="AC635" i="199" s="1"/>
  <c r="AF634" i="199"/>
  <c r="AF635" i="199" s="1"/>
  <c r="AI634" i="199"/>
  <c r="AI635" i="199" s="1"/>
  <c r="AL634" i="199"/>
  <c r="AL635" i="199" s="1"/>
  <c r="AO634" i="199"/>
  <c r="AO635" i="199" s="1"/>
  <c r="AR634" i="199"/>
  <c r="AR635" i="199" s="1"/>
  <c r="AC627" i="199"/>
  <c r="AF627" i="199"/>
  <c r="AI627" i="199"/>
  <c r="AL627" i="199"/>
  <c r="AO627" i="199"/>
  <c r="AR627" i="199"/>
  <c r="AC628" i="199"/>
  <c r="AF628" i="199"/>
  <c r="AI628" i="199"/>
  <c r="AL628" i="199"/>
  <c r="AO628" i="199"/>
  <c r="AR628" i="199"/>
  <c r="D166" i="41"/>
  <c r="E166" i="41"/>
  <c r="G166" i="41"/>
  <c r="H166" i="41"/>
  <c r="J166" i="41"/>
  <c r="K166" i="41"/>
  <c r="M166" i="41"/>
  <c r="D167" i="41"/>
  <c r="E167" i="41"/>
  <c r="F167" i="41"/>
  <c r="G167" i="41"/>
  <c r="H167" i="41"/>
  <c r="I167" i="41"/>
  <c r="J167" i="41"/>
  <c r="K167" i="41"/>
  <c r="L167" i="41"/>
  <c r="M167" i="41"/>
  <c r="D168" i="41"/>
  <c r="D180" i="41" s="1"/>
  <c r="E168" i="41"/>
  <c r="F168" i="41"/>
  <c r="F180" i="41" s="1"/>
  <c r="G168" i="41"/>
  <c r="G180" i="41" s="1"/>
  <c r="H168" i="41"/>
  <c r="H180" i="41" s="1"/>
  <c r="I168" i="41"/>
  <c r="I180" i="41" s="1"/>
  <c r="J168" i="41"/>
  <c r="J180" i="41" s="1"/>
  <c r="K168" i="41"/>
  <c r="K180" i="41" s="1"/>
  <c r="L168" i="41"/>
  <c r="L180" i="41" s="1"/>
  <c r="M168" i="41"/>
  <c r="M180" i="41" s="1"/>
  <c r="C167" i="41"/>
  <c r="C168" i="41"/>
  <c r="C180" i="41" s="1"/>
  <c r="C171" i="41"/>
  <c r="D171" i="41"/>
  <c r="E171" i="41"/>
  <c r="F171" i="41"/>
  <c r="G171" i="41"/>
  <c r="H171" i="41"/>
  <c r="I171" i="41"/>
  <c r="J171" i="41"/>
  <c r="K171" i="41"/>
  <c r="L171" i="41"/>
  <c r="M171" i="41"/>
  <c r="C164" i="41"/>
  <c r="D164" i="41"/>
  <c r="E164" i="41"/>
  <c r="F164" i="41"/>
  <c r="G164" i="41"/>
  <c r="H164" i="41"/>
  <c r="I164" i="41"/>
  <c r="J164" i="41"/>
  <c r="K164" i="41"/>
  <c r="L164" i="41"/>
  <c r="M164" i="41"/>
  <c r="C161" i="41"/>
  <c r="D161" i="41"/>
  <c r="E161" i="41"/>
  <c r="G161" i="41"/>
  <c r="J161" i="41"/>
  <c r="K161" i="41"/>
  <c r="M161" i="41"/>
  <c r="C158" i="41"/>
  <c r="D158" i="41"/>
  <c r="E158" i="41"/>
  <c r="F158" i="41"/>
  <c r="G158" i="41"/>
  <c r="I158" i="41"/>
  <c r="J158" i="41"/>
  <c r="K158" i="41"/>
  <c r="L158" i="41"/>
  <c r="M158" i="41"/>
  <c r="C155" i="41"/>
  <c r="D155" i="41"/>
  <c r="E155" i="41"/>
  <c r="F155" i="41"/>
  <c r="G155" i="41"/>
  <c r="H155" i="41"/>
  <c r="I155" i="41"/>
  <c r="J155" i="41"/>
  <c r="K155" i="41"/>
  <c r="L155" i="41"/>
  <c r="M155" i="41"/>
  <c r="D154" i="41"/>
  <c r="E154" i="41"/>
  <c r="G154" i="41"/>
  <c r="H154" i="41"/>
  <c r="J154" i="41"/>
  <c r="K154" i="41"/>
  <c r="M154" i="41"/>
  <c r="D157" i="41"/>
  <c r="E157" i="41"/>
  <c r="G157" i="41"/>
  <c r="H157" i="41"/>
  <c r="J157" i="41"/>
  <c r="K157" i="41"/>
  <c r="M157" i="41"/>
  <c r="D160" i="41"/>
  <c r="E160" i="41"/>
  <c r="F160" i="41"/>
  <c r="G160" i="41"/>
  <c r="H160" i="41"/>
  <c r="I160" i="41"/>
  <c r="J160" i="41"/>
  <c r="K160" i="41"/>
  <c r="L160" i="41"/>
  <c r="M160" i="41"/>
  <c r="D163" i="41"/>
  <c r="E163" i="41"/>
  <c r="G163" i="41"/>
  <c r="H163" i="41"/>
  <c r="J163" i="41"/>
  <c r="K163" i="41"/>
  <c r="M163" i="41"/>
  <c r="D170" i="41"/>
  <c r="E170" i="41"/>
  <c r="G170" i="41"/>
  <c r="H170" i="41"/>
  <c r="J170" i="41"/>
  <c r="K170" i="41"/>
  <c r="M170" i="41"/>
  <c r="C170" i="41"/>
  <c r="C166" i="41"/>
  <c r="C163" i="41"/>
  <c r="C160" i="41"/>
  <c r="C157" i="41"/>
  <c r="C154" i="41"/>
  <c r="P25" i="100"/>
  <c r="D142" i="41"/>
  <c r="E142" i="41"/>
  <c r="F142" i="41"/>
  <c r="T634" i="199" s="1"/>
  <c r="T635" i="199" s="1"/>
  <c r="G142" i="41"/>
  <c r="H142" i="41"/>
  <c r="I142" i="41"/>
  <c r="W634" i="199" s="1"/>
  <c r="J142" i="41"/>
  <c r="K142" i="41"/>
  <c r="L142" i="41"/>
  <c r="Z634" i="199" s="1"/>
  <c r="Z635" i="199" s="1"/>
  <c r="M142" i="41"/>
  <c r="C142" i="41"/>
  <c r="Q634" i="199" s="1"/>
  <c r="Q635" i="199" s="1"/>
  <c r="D141" i="41"/>
  <c r="E141" i="41"/>
  <c r="G141" i="41"/>
  <c r="J141" i="41"/>
  <c r="K141" i="41"/>
  <c r="M141" i="41"/>
  <c r="C141" i="41"/>
  <c r="Q628" i="199" s="1"/>
  <c r="D140" i="41"/>
  <c r="E140" i="41"/>
  <c r="G140" i="41"/>
  <c r="H140" i="41"/>
  <c r="J140" i="41"/>
  <c r="J143" i="41" s="1"/>
  <c r="L25" i="100" s="1"/>
  <c r="K140" i="41"/>
  <c r="M140" i="41"/>
  <c r="C140" i="41"/>
  <c r="L128" i="41"/>
  <c r="L166" i="41" s="1"/>
  <c r="N133" i="41"/>
  <c r="N130" i="41"/>
  <c r="N129" i="41"/>
  <c r="N126" i="41"/>
  <c r="N122" i="41"/>
  <c r="N117" i="41"/>
  <c r="D134" i="41"/>
  <c r="E134" i="41"/>
  <c r="G134" i="41"/>
  <c r="J134" i="41"/>
  <c r="K134" i="41"/>
  <c r="M134" i="41"/>
  <c r="C134" i="41"/>
  <c r="F96" i="41"/>
  <c r="B23" i="41"/>
  <c r="F207" i="216"/>
  <c r="F206" i="216"/>
  <c r="F256" i="216"/>
  <c r="F255" i="216"/>
  <c r="F254" i="216"/>
  <c r="F253" i="216"/>
  <c r="F252" i="216"/>
  <c r="G15" i="219"/>
  <c r="D107" i="41"/>
  <c r="F107" i="41" s="1"/>
  <c r="B107" i="41"/>
  <c r="D105" i="41"/>
  <c r="F105" i="41" s="1"/>
  <c r="B105" i="41"/>
  <c r="B88" i="41"/>
  <c r="B87" i="41"/>
  <c r="D79" i="41"/>
  <c r="F79" i="41" s="1"/>
  <c r="D78" i="41"/>
  <c r="F78" i="41" s="1"/>
  <c r="D75" i="41"/>
  <c r="F75" i="41" s="1"/>
  <c r="D76" i="41"/>
  <c r="F76" i="41" s="1"/>
  <c r="D74" i="41"/>
  <c r="F74" i="41" s="1"/>
  <c r="B75" i="41"/>
  <c r="B76" i="41"/>
  <c r="B74" i="41"/>
  <c r="D66" i="41"/>
  <c r="F66" i="41" s="1"/>
  <c r="B66" i="41"/>
  <c r="D64" i="41"/>
  <c r="F64" i="41" s="1"/>
  <c r="B64" i="41"/>
  <c r="D56" i="41"/>
  <c r="F56" i="41" s="1"/>
  <c r="D57" i="41"/>
  <c r="F57" i="41" s="1"/>
  <c r="D55" i="41"/>
  <c r="F55" i="41" s="1"/>
  <c r="B56" i="41"/>
  <c r="B57" i="41"/>
  <c r="B55" i="41"/>
  <c r="D40" i="41"/>
  <c r="F40" i="41" s="1"/>
  <c r="D41" i="41"/>
  <c r="F41" i="41" s="1"/>
  <c r="D42" i="41"/>
  <c r="F42" i="41" s="1"/>
  <c r="D43" i="41"/>
  <c r="F43" i="41" s="1"/>
  <c r="D44" i="41"/>
  <c r="F44" i="41" s="1"/>
  <c r="D45" i="41"/>
  <c r="F45" i="41" s="1"/>
  <c r="D46" i="41"/>
  <c r="F46" i="41" s="1"/>
  <c r="D47" i="41"/>
  <c r="F47" i="41" s="1"/>
  <c r="D48" i="41"/>
  <c r="F48" i="41" s="1"/>
  <c r="B40" i="41"/>
  <c r="B41" i="41"/>
  <c r="B42" i="41"/>
  <c r="B43" i="41"/>
  <c r="B44" i="41"/>
  <c r="B45" i="41"/>
  <c r="B46" i="41"/>
  <c r="B47" i="41"/>
  <c r="B48" i="41"/>
  <c r="B39" i="41"/>
  <c r="D33" i="41"/>
  <c r="F33" i="41" s="1"/>
  <c r="D34" i="41"/>
  <c r="F34" i="41" s="1"/>
  <c r="D35" i="41"/>
  <c r="F35" i="41" s="1"/>
  <c r="D36" i="41"/>
  <c r="F36" i="41" s="1"/>
  <c r="D37" i="41"/>
  <c r="F37" i="41" s="1"/>
  <c r="D32" i="41"/>
  <c r="F32" i="41" s="1"/>
  <c r="B33" i="41"/>
  <c r="B34" i="41"/>
  <c r="B35" i="41"/>
  <c r="B36" i="41"/>
  <c r="B37" i="41"/>
  <c r="B32" i="41"/>
  <c r="D8" i="41"/>
  <c r="H8" i="41" s="1"/>
  <c r="E8" i="41"/>
  <c r="I8" i="41" s="1"/>
  <c r="F8" i="41"/>
  <c r="J8" i="41" s="1"/>
  <c r="D9" i="41"/>
  <c r="H9" i="41" s="1"/>
  <c r="E9" i="41"/>
  <c r="I9" i="41" s="1"/>
  <c r="F9" i="41"/>
  <c r="J9" i="41" s="1"/>
  <c r="E7" i="41"/>
  <c r="I7" i="41" s="1"/>
  <c r="F7" i="41"/>
  <c r="J7" i="41" s="1"/>
  <c r="D7" i="41"/>
  <c r="H7" i="41" s="1"/>
  <c r="H14" i="21"/>
  <c r="H15" i="21"/>
  <c r="E296" i="225"/>
  <c r="F296" i="225" s="1"/>
  <c r="E289" i="225"/>
  <c r="F289" i="225" s="1"/>
  <c r="E287" i="225"/>
  <c r="F287" i="225" s="1"/>
  <c r="E278" i="225"/>
  <c r="F278" i="225" s="1"/>
  <c r="E279" i="225"/>
  <c r="E280" i="225"/>
  <c r="F280" i="225" s="1"/>
  <c r="G280" i="225" s="1"/>
  <c r="L280" i="225" s="1"/>
  <c r="E281" i="225"/>
  <c r="F281" i="225" s="1"/>
  <c r="G281" i="225" s="1"/>
  <c r="L281" i="225" s="1"/>
  <c r="E282" i="225"/>
  <c r="F282" i="225" s="1"/>
  <c r="E283" i="225"/>
  <c r="F283" i="225" s="1"/>
  <c r="E284" i="225"/>
  <c r="F284" i="225" s="1"/>
  <c r="G284" i="225" s="1"/>
  <c r="L284" i="225" s="1"/>
  <c r="E285" i="225"/>
  <c r="F285" i="225" s="1"/>
  <c r="E277" i="225"/>
  <c r="F277" i="225" s="1"/>
  <c r="E274" i="225"/>
  <c r="F274" i="225" s="1"/>
  <c r="E275" i="225"/>
  <c r="F275" i="225" s="1"/>
  <c r="G275" i="225" s="1"/>
  <c r="L275" i="225" s="1"/>
  <c r="D273" i="225"/>
  <c r="E273" i="225" s="1"/>
  <c r="F273" i="225" s="1"/>
  <c r="G273" i="225" s="1"/>
  <c r="L273" i="225" s="1"/>
  <c r="B271" i="225"/>
  <c r="B266" i="225"/>
  <c r="B267" i="225"/>
  <c r="B256" i="225"/>
  <c r="B257" i="225"/>
  <c r="B258" i="225"/>
  <c r="B259" i="225"/>
  <c r="B260" i="225"/>
  <c r="B261" i="225"/>
  <c r="B262" i="225"/>
  <c r="B263" i="225"/>
  <c r="B264" i="225"/>
  <c r="B265" i="225"/>
  <c r="B255" i="225"/>
  <c r="B251" i="225"/>
  <c r="B252" i="225"/>
  <c r="B253" i="225"/>
  <c r="B250" i="225"/>
  <c r="D239" i="225"/>
  <c r="E239" i="225" s="1"/>
  <c r="D238" i="225"/>
  <c r="I238" i="225" s="1"/>
  <c r="D236" i="225"/>
  <c r="I236" i="225" s="1"/>
  <c r="I235" i="225" s="1"/>
  <c r="E217" i="225"/>
  <c r="F217" i="225" s="1"/>
  <c r="K217" i="225" s="1"/>
  <c r="E218" i="225"/>
  <c r="E219" i="225"/>
  <c r="F219" i="225" s="1"/>
  <c r="G219" i="225" s="1"/>
  <c r="L219" i="225" s="1"/>
  <c r="E220" i="225"/>
  <c r="J220" i="225" s="1"/>
  <c r="E216" i="225"/>
  <c r="B201" i="225"/>
  <c r="B202" i="225"/>
  <c r="B203" i="225"/>
  <c r="B204" i="225"/>
  <c r="B200" i="225"/>
  <c r="B187" i="225"/>
  <c r="B188" i="225"/>
  <c r="B189" i="225"/>
  <c r="B190" i="225"/>
  <c r="B191" i="225"/>
  <c r="B192" i="225"/>
  <c r="B193" i="225"/>
  <c r="B194" i="225"/>
  <c r="B195" i="225"/>
  <c r="B196" i="225"/>
  <c r="B197" i="225"/>
  <c r="B198" i="225"/>
  <c r="B186" i="225"/>
  <c r="B175" i="225"/>
  <c r="B176" i="225"/>
  <c r="B177" i="225"/>
  <c r="B178" i="225"/>
  <c r="B179" i="225"/>
  <c r="B180" i="225"/>
  <c r="B181" i="225"/>
  <c r="B174" i="225"/>
  <c r="D157" i="225"/>
  <c r="D158" i="225" s="1"/>
  <c r="E156" i="225"/>
  <c r="F156" i="225" s="1"/>
  <c r="G156" i="225" s="1"/>
  <c r="L156" i="225" s="1"/>
  <c r="E152" i="225"/>
  <c r="J152" i="225" s="1"/>
  <c r="E153" i="225"/>
  <c r="B137" i="225"/>
  <c r="B138" i="225"/>
  <c r="B139" i="225"/>
  <c r="B140" i="225"/>
  <c r="B136" i="225"/>
  <c r="B134" i="225"/>
  <c r="B123" i="225"/>
  <c r="B124" i="225"/>
  <c r="B125" i="225"/>
  <c r="B126" i="225"/>
  <c r="B127" i="225"/>
  <c r="B128" i="225"/>
  <c r="B129" i="225"/>
  <c r="B130" i="225"/>
  <c r="B131" i="225"/>
  <c r="B132" i="225"/>
  <c r="B133" i="225"/>
  <c r="B122" i="225"/>
  <c r="B111" i="225"/>
  <c r="B112" i="225"/>
  <c r="B113" i="225"/>
  <c r="B114" i="225"/>
  <c r="B115" i="225"/>
  <c r="B116" i="225"/>
  <c r="B117" i="225"/>
  <c r="B110" i="225"/>
  <c r="E9" i="225"/>
  <c r="J9" i="225" s="1"/>
  <c r="F9" i="225"/>
  <c r="K9" i="225" s="1"/>
  <c r="G9" i="225"/>
  <c r="L9" i="225" s="1"/>
  <c r="E10" i="225"/>
  <c r="J10" i="225" s="1"/>
  <c r="F10" i="225"/>
  <c r="K10" i="225" s="1"/>
  <c r="G10" i="225"/>
  <c r="L10" i="225" s="1"/>
  <c r="E11" i="225"/>
  <c r="J11" i="225" s="1"/>
  <c r="F11" i="225"/>
  <c r="K11" i="225" s="1"/>
  <c r="G11" i="225"/>
  <c r="L11" i="225" s="1"/>
  <c r="D10" i="225"/>
  <c r="I10" i="225" s="1"/>
  <c r="D11" i="225"/>
  <c r="I11" i="225" s="1"/>
  <c r="F40" i="215"/>
  <c r="E40" i="215"/>
  <c r="D40" i="215"/>
  <c r="C40" i="215"/>
  <c r="D9" i="225"/>
  <c r="I9" i="225" s="1"/>
  <c r="L462" i="225"/>
  <c r="K462" i="225"/>
  <c r="J462" i="225"/>
  <c r="I462" i="225"/>
  <c r="L461" i="225"/>
  <c r="K461" i="225"/>
  <c r="J461" i="225"/>
  <c r="I461" i="225"/>
  <c r="L460" i="225"/>
  <c r="K460" i="225"/>
  <c r="J460" i="225"/>
  <c r="I460" i="225"/>
  <c r="L459" i="225"/>
  <c r="K459" i="225"/>
  <c r="J459" i="225"/>
  <c r="I459" i="225"/>
  <c r="L457" i="225"/>
  <c r="L456" i="225" s="1"/>
  <c r="K457" i="225"/>
  <c r="K456" i="225" s="1"/>
  <c r="J457" i="225"/>
  <c r="J456" i="225" s="1"/>
  <c r="I457" i="225"/>
  <c r="I456" i="225" s="1"/>
  <c r="I451" i="225"/>
  <c r="I450" i="225"/>
  <c r="I449" i="225"/>
  <c r="I448" i="225"/>
  <c r="I446" i="225"/>
  <c r="I445" i="225"/>
  <c r="I444" i="225"/>
  <c r="I420" i="225"/>
  <c r="I419" i="225"/>
  <c r="I413" i="225"/>
  <c r="I412" i="225"/>
  <c r="I411" i="225"/>
  <c r="I410" i="225"/>
  <c r="I409" i="225"/>
  <c r="I408" i="225"/>
  <c r="I407" i="225"/>
  <c r="I406" i="225"/>
  <c r="I405" i="225"/>
  <c r="I404" i="225"/>
  <c r="I401" i="225"/>
  <c r="I399" i="225"/>
  <c r="I398" i="225"/>
  <c r="I397" i="225"/>
  <c r="I396" i="225"/>
  <c r="L394" i="225"/>
  <c r="K394" i="225"/>
  <c r="J394" i="225"/>
  <c r="I394" i="225"/>
  <c r="L393" i="225"/>
  <c r="K393" i="225"/>
  <c r="J393" i="225"/>
  <c r="I393" i="225"/>
  <c r="L382" i="225"/>
  <c r="K382" i="225"/>
  <c r="J382" i="225"/>
  <c r="I382" i="225"/>
  <c r="L383" i="225"/>
  <c r="K383" i="225"/>
  <c r="J383" i="225"/>
  <c r="I383" i="225"/>
  <c r="L384" i="225"/>
  <c r="K384" i="225"/>
  <c r="J384" i="225"/>
  <c r="I384" i="225"/>
  <c r="L380" i="225"/>
  <c r="K380" i="225"/>
  <c r="J380" i="225"/>
  <c r="I380" i="225"/>
  <c r="L381" i="225"/>
  <c r="K381" i="225"/>
  <c r="J381" i="225"/>
  <c r="I381" i="225"/>
  <c r="L378" i="225"/>
  <c r="L377" i="225" s="1"/>
  <c r="K378" i="225"/>
  <c r="K377" i="225" s="1"/>
  <c r="J378" i="225"/>
  <c r="J377" i="225" s="1"/>
  <c r="I378" i="225"/>
  <c r="I377" i="225" s="1"/>
  <c r="L371" i="225"/>
  <c r="L370" i="225" s="1"/>
  <c r="K371" i="225"/>
  <c r="K370" i="225" s="1"/>
  <c r="J371" i="225"/>
  <c r="J370" i="225" s="1"/>
  <c r="I371" i="225"/>
  <c r="I370" i="225" s="1"/>
  <c r="L369" i="225"/>
  <c r="K369" i="225"/>
  <c r="J369" i="225"/>
  <c r="I369" i="225"/>
  <c r="L368" i="225"/>
  <c r="K368" i="225"/>
  <c r="J368" i="225"/>
  <c r="I368" i="225"/>
  <c r="L367" i="225"/>
  <c r="K367" i="225"/>
  <c r="J367" i="225"/>
  <c r="I367" i="225"/>
  <c r="L366" i="225"/>
  <c r="K366" i="225"/>
  <c r="J366" i="225"/>
  <c r="I366" i="225"/>
  <c r="L365" i="225"/>
  <c r="K365" i="225"/>
  <c r="J365" i="225"/>
  <c r="I365" i="225"/>
  <c r="L364" i="225"/>
  <c r="K364" i="225"/>
  <c r="J364" i="225"/>
  <c r="I364" i="225"/>
  <c r="L362" i="225"/>
  <c r="K362" i="225"/>
  <c r="J362" i="225"/>
  <c r="I362" i="225"/>
  <c r="L361" i="225"/>
  <c r="K361" i="225"/>
  <c r="J361" i="225"/>
  <c r="I361" i="225"/>
  <c r="L360" i="225"/>
  <c r="K360" i="225"/>
  <c r="J360" i="225"/>
  <c r="I360" i="225"/>
  <c r="L359" i="225"/>
  <c r="K359" i="225"/>
  <c r="J359" i="225"/>
  <c r="I359" i="225"/>
  <c r="L358" i="225"/>
  <c r="K358" i="225"/>
  <c r="J358" i="225"/>
  <c r="I358" i="225"/>
  <c r="L357" i="225"/>
  <c r="K357" i="225"/>
  <c r="J357" i="225"/>
  <c r="I357" i="225"/>
  <c r="L356" i="225"/>
  <c r="K356" i="225"/>
  <c r="J356" i="225"/>
  <c r="I356" i="225"/>
  <c r="L355" i="225"/>
  <c r="K355" i="225"/>
  <c r="J355" i="225"/>
  <c r="I355" i="225"/>
  <c r="L352" i="225"/>
  <c r="K352" i="225"/>
  <c r="J352" i="225"/>
  <c r="I352" i="225"/>
  <c r="L354" i="225"/>
  <c r="K354" i="225"/>
  <c r="J354" i="225"/>
  <c r="I354" i="225"/>
  <c r="L351" i="225"/>
  <c r="K351" i="225"/>
  <c r="J351" i="225"/>
  <c r="I351" i="225"/>
  <c r="L350" i="225"/>
  <c r="K350" i="225"/>
  <c r="J350" i="225"/>
  <c r="I350" i="225"/>
  <c r="L348" i="225"/>
  <c r="K348" i="225"/>
  <c r="J348" i="225"/>
  <c r="I348" i="225"/>
  <c r="L347" i="225"/>
  <c r="K347" i="225"/>
  <c r="J347" i="225"/>
  <c r="I347" i="225"/>
  <c r="L346" i="225"/>
  <c r="K346" i="225"/>
  <c r="J346" i="225"/>
  <c r="I346" i="225"/>
  <c r="L343" i="225"/>
  <c r="K343" i="225"/>
  <c r="J343" i="225"/>
  <c r="I343" i="225"/>
  <c r="L344" i="225"/>
  <c r="K344" i="225"/>
  <c r="J344" i="225"/>
  <c r="I344" i="225"/>
  <c r="L342" i="225"/>
  <c r="K342" i="225"/>
  <c r="J342" i="225"/>
  <c r="I342" i="225"/>
  <c r="L341" i="225"/>
  <c r="K341" i="225"/>
  <c r="J341" i="225"/>
  <c r="I341" i="225"/>
  <c r="L339" i="225"/>
  <c r="K339" i="225"/>
  <c r="J339" i="225"/>
  <c r="I339" i="225"/>
  <c r="L338" i="225"/>
  <c r="K338" i="225"/>
  <c r="J338" i="225"/>
  <c r="I338" i="225"/>
  <c r="L337" i="225"/>
  <c r="K337" i="225"/>
  <c r="J337" i="225"/>
  <c r="I337" i="225"/>
  <c r="L336" i="225"/>
  <c r="K336" i="225"/>
  <c r="J336" i="225"/>
  <c r="I336" i="225"/>
  <c r="L335" i="225"/>
  <c r="K335" i="225"/>
  <c r="J335" i="225"/>
  <c r="I335" i="225"/>
  <c r="L334" i="225"/>
  <c r="K334" i="225"/>
  <c r="J334" i="225"/>
  <c r="I334" i="225"/>
  <c r="L333" i="225"/>
  <c r="K333" i="225"/>
  <c r="J333" i="225"/>
  <c r="I333" i="225"/>
  <c r="L332" i="225"/>
  <c r="K332" i="225"/>
  <c r="J332" i="225"/>
  <c r="I332" i="225"/>
  <c r="L331" i="225"/>
  <c r="K331" i="225"/>
  <c r="J331" i="225"/>
  <c r="I331" i="225"/>
  <c r="L330" i="225"/>
  <c r="K330" i="225"/>
  <c r="J330" i="225"/>
  <c r="I330" i="225"/>
  <c r="L329" i="225"/>
  <c r="K329" i="225"/>
  <c r="J329" i="225"/>
  <c r="I329" i="225"/>
  <c r="L323" i="225"/>
  <c r="K323" i="225"/>
  <c r="J323" i="225"/>
  <c r="I323" i="225"/>
  <c r="L319" i="225"/>
  <c r="K319" i="225"/>
  <c r="J319" i="225"/>
  <c r="I319" i="225"/>
  <c r="L322" i="225"/>
  <c r="K322" i="225"/>
  <c r="J322" i="225"/>
  <c r="I322" i="225"/>
  <c r="L321" i="225"/>
  <c r="K321" i="225"/>
  <c r="J321" i="225"/>
  <c r="I321" i="225"/>
  <c r="L317" i="225"/>
  <c r="K317" i="225"/>
  <c r="J317" i="225"/>
  <c r="I317" i="225"/>
  <c r="L318" i="225"/>
  <c r="K318" i="225"/>
  <c r="J318" i="225"/>
  <c r="I318" i="225"/>
  <c r="L320" i="225"/>
  <c r="K320" i="225"/>
  <c r="J320" i="225"/>
  <c r="I320" i="225"/>
  <c r="L315" i="225"/>
  <c r="L314" i="225" s="1"/>
  <c r="K315" i="225"/>
  <c r="K314" i="225" s="1"/>
  <c r="J315" i="225"/>
  <c r="J314" i="225" s="1"/>
  <c r="I315" i="225"/>
  <c r="I314" i="225" s="1"/>
  <c r="I307" i="225"/>
  <c r="L306" i="225"/>
  <c r="I306" i="225"/>
  <c r="I305" i="225"/>
  <c r="I303" i="225"/>
  <c r="I302" i="225" s="1"/>
  <c r="J296" i="225"/>
  <c r="I296" i="225"/>
  <c r="I294" i="225"/>
  <c r="I293" i="225"/>
  <c r="I292" i="225"/>
  <c r="I291" i="225"/>
  <c r="I289" i="225"/>
  <c r="I287" i="225"/>
  <c r="I285" i="225"/>
  <c r="J284" i="225"/>
  <c r="I284" i="225"/>
  <c r="J283" i="225"/>
  <c r="I283" i="225"/>
  <c r="I282" i="225"/>
  <c r="J281" i="225"/>
  <c r="I281" i="225"/>
  <c r="I280" i="225"/>
  <c r="I279" i="225"/>
  <c r="I278" i="225"/>
  <c r="I277" i="225"/>
  <c r="I275" i="225"/>
  <c r="J274" i="225"/>
  <c r="I274" i="225"/>
  <c r="I220" i="225"/>
  <c r="I219" i="225"/>
  <c r="I218" i="225"/>
  <c r="I217" i="225"/>
  <c r="I216" i="225"/>
  <c r="I156" i="225"/>
  <c r="I155" i="225"/>
  <c r="I154" i="225"/>
  <c r="I153" i="225"/>
  <c r="I152" i="225"/>
  <c r="L95" i="225"/>
  <c r="L94" i="225" s="1"/>
  <c r="K95" i="225"/>
  <c r="K94" i="225" s="1"/>
  <c r="J95" i="225"/>
  <c r="J94" i="225" s="1"/>
  <c r="I95" i="225"/>
  <c r="I94" i="225" s="1"/>
  <c r="L86" i="225"/>
  <c r="K86" i="225"/>
  <c r="J86" i="225"/>
  <c r="I86" i="225"/>
  <c r="E226" i="213"/>
  <c r="G226" i="213" s="1"/>
  <c r="I226" i="213" s="1"/>
  <c r="E221" i="213"/>
  <c r="G221" i="213" s="1"/>
  <c r="I221" i="213" s="1"/>
  <c r="B232" i="213"/>
  <c r="B226" i="213"/>
  <c r="B221" i="213"/>
  <c r="E547" i="215"/>
  <c r="E232" i="213" s="1"/>
  <c r="E492" i="215"/>
  <c r="E439" i="215"/>
  <c r="Q775" i="199"/>
  <c r="Q770" i="199"/>
  <c r="Q765" i="199"/>
  <c r="B38" i="215"/>
  <c r="B39" i="215"/>
  <c r="B37" i="215"/>
  <c r="C19" i="100"/>
  <c r="C60" i="100" s="1"/>
  <c r="C20" i="100"/>
  <c r="C61" i="100" s="1"/>
  <c r="C21" i="100"/>
  <c r="C62" i="100" s="1"/>
  <c r="C22" i="100"/>
  <c r="C63" i="100" s="1"/>
  <c r="U520" i="199"/>
  <c r="G786" i="199"/>
  <c r="Y540" i="199"/>
  <c r="B476" i="199"/>
  <c r="B589" i="199" s="1"/>
  <c r="G10" i="219"/>
  <c r="G11" i="219"/>
  <c r="G12" i="219"/>
  <c r="G13" i="219"/>
  <c r="G14" i="219"/>
  <c r="G16" i="219"/>
  <c r="G17" i="219"/>
  <c r="G18" i="219"/>
  <c r="G19" i="219"/>
  <c r="C543" i="215"/>
  <c r="D543" i="215" s="1"/>
  <c r="C488" i="215"/>
  <c r="D488" i="215" s="1"/>
  <c r="B252" i="213"/>
  <c r="B253" i="213"/>
  <c r="B254" i="213"/>
  <c r="B255" i="213"/>
  <c r="B256" i="213"/>
  <c r="B251" i="213"/>
  <c r="E239" i="213"/>
  <c r="E240" i="213" s="1"/>
  <c r="E223" i="213"/>
  <c r="G223" i="213" s="1"/>
  <c r="I223" i="213" s="1"/>
  <c r="E222" i="213"/>
  <c r="G222" i="213" s="1"/>
  <c r="B239" i="213"/>
  <c r="B223" i="213"/>
  <c r="B222" i="213"/>
  <c r="E554" i="215"/>
  <c r="E245" i="213" s="1"/>
  <c r="G245" i="213" s="1"/>
  <c r="I245" i="213" s="1"/>
  <c r="B301" i="213"/>
  <c r="B302" i="213"/>
  <c r="B303" i="213"/>
  <c r="B304" i="213"/>
  <c r="B305" i="213"/>
  <c r="B306" i="213"/>
  <c r="B307" i="213"/>
  <c r="B308" i="213"/>
  <c r="B309" i="213"/>
  <c r="B310" i="213"/>
  <c r="B300" i="213"/>
  <c r="B268" i="213"/>
  <c r="B269" i="213"/>
  <c r="B270" i="213"/>
  <c r="B266" i="213"/>
  <c r="B246" i="213"/>
  <c r="B247" i="213"/>
  <c r="B245" i="213"/>
  <c r="B234" i="213"/>
  <c r="B235" i="213"/>
  <c r="B233" i="213"/>
  <c r="E578" i="215"/>
  <c r="E300" i="213" s="1"/>
  <c r="E579" i="215"/>
  <c r="E301" i="213" s="1"/>
  <c r="E580" i="215"/>
  <c r="E302" i="213" s="1"/>
  <c r="E581" i="215"/>
  <c r="E303" i="213" s="1"/>
  <c r="E582" i="215"/>
  <c r="E304" i="213" s="1"/>
  <c r="E583" i="215"/>
  <c r="E305" i="213" s="1"/>
  <c r="E584" i="215"/>
  <c r="E306" i="213" s="1"/>
  <c r="E585" i="215"/>
  <c r="E307" i="213" s="1"/>
  <c r="E586" i="215"/>
  <c r="E308" i="213" s="1"/>
  <c r="E587" i="215"/>
  <c r="E309" i="213" s="1"/>
  <c r="E588" i="215"/>
  <c r="E310" i="213" s="1"/>
  <c r="E556" i="215"/>
  <c r="E247" i="213" s="1"/>
  <c r="G247" i="213" s="1"/>
  <c r="I247" i="213" s="1"/>
  <c r="B267" i="213"/>
  <c r="E560" i="215"/>
  <c r="E266" i="213" s="1"/>
  <c r="E522" i="215"/>
  <c r="E288" i="213" s="1"/>
  <c r="E523" i="215"/>
  <c r="E289" i="213" s="1"/>
  <c r="E524" i="215"/>
  <c r="E290" i="213" s="1"/>
  <c r="E525" i="215"/>
  <c r="E291" i="213" s="1"/>
  <c r="E526" i="215"/>
  <c r="E292" i="213" s="1"/>
  <c r="E527" i="215"/>
  <c r="E293" i="213" s="1"/>
  <c r="E528" i="215"/>
  <c r="E294" i="213" s="1"/>
  <c r="E529" i="215"/>
  <c r="E530" i="215"/>
  <c r="E296" i="213" s="1"/>
  <c r="E531" i="215"/>
  <c r="E297" i="213" s="1"/>
  <c r="E521" i="215"/>
  <c r="E287" i="213" s="1"/>
  <c r="B288" i="213"/>
  <c r="B289" i="213"/>
  <c r="B290" i="213"/>
  <c r="B291" i="213"/>
  <c r="B292" i="213"/>
  <c r="B293" i="213"/>
  <c r="B294" i="213"/>
  <c r="B295" i="213"/>
  <c r="B296" i="213"/>
  <c r="B297" i="213"/>
  <c r="B287" i="213"/>
  <c r="B260" i="213"/>
  <c r="B261" i="213"/>
  <c r="B262" i="213"/>
  <c r="B263" i="213"/>
  <c r="B259" i="213"/>
  <c r="B315" i="213"/>
  <c r="B316" i="213"/>
  <c r="B317" i="213"/>
  <c r="B318" i="213"/>
  <c r="B319" i="213"/>
  <c r="B314" i="213"/>
  <c r="F315" i="213"/>
  <c r="F316" i="213"/>
  <c r="F317" i="213"/>
  <c r="F318" i="213"/>
  <c r="F319" i="213"/>
  <c r="F314" i="213"/>
  <c r="X460" i="199" s="1"/>
  <c r="AD460" i="199" s="1"/>
  <c r="AW573" i="199" s="1"/>
  <c r="E228" i="213"/>
  <c r="G228" i="213" s="1"/>
  <c r="I228" i="213" s="1"/>
  <c r="E229" i="213"/>
  <c r="E227" i="213"/>
  <c r="G227" i="213" s="1"/>
  <c r="I227" i="213" s="1"/>
  <c r="E242" i="213"/>
  <c r="E243" i="213" s="1"/>
  <c r="B228" i="213"/>
  <c r="B229" i="213"/>
  <c r="B227" i="213"/>
  <c r="B242" i="213"/>
  <c r="E503" i="215"/>
  <c r="E259" i="213" s="1"/>
  <c r="E499" i="215"/>
  <c r="E468" i="215"/>
  <c r="E275" i="213" s="1"/>
  <c r="E469" i="215"/>
  <c r="E276" i="213" s="1"/>
  <c r="E470" i="215"/>
  <c r="E277" i="213" s="1"/>
  <c r="E471" i="215"/>
  <c r="E278" i="213" s="1"/>
  <c r="E472" i="215"/>
  <c r="E279" i="213" s="1"/>
  <c r="E473" i="215"/>
  <c r="E280" i="213" s="1"/>
  <c r="E474" i="215"/>
  <c r="E281" i="213" s="1"/>
  <c r="E475" i="215"/>
  <c r="E282" i="213" s="1"/>
  <c r="E476" i="215"/>
  <c r="E283" i="213" s="1"/>
  <c r="E477" i="215"/>
  <c r="E284" i="213" s="1"/>
  <c r="E467" i="215"/>
  <c r="E274" i="213" s="1"/>
  <c r="E450" i="215"/>
  <c r="E252" i="213" s="1"/>
  <c r="E451" i="215"/>
  <c r="E253" i="213" s="1"/>
  <c r="E452" i="215"/>
  <c r="E254" i="213" s="1"/>
  <c r="E453" i="215"/>
  <c r="E255" i="213" s="1"/>
  <c r="E454" i="215"/>
  <c r="E256" i="213" s="1"/>
  <c r="E449" i="215"/>
  <c r="E251" i="213" s="1"/>
  <c r="E458" i="215"/>
  <c r="E192" i="213"/>
  <c r="G192" i="213" s="1"/>
  <c r="I192" i="213" s="1"/>
  <c r="I193" i="213" s="1"/>
  <c r="AG453" i="199" s="1"/>
  <c r="B192" i="213"/>
  <c r="E187" i="213"/>
  <c r="G187" i="213" s="1"/>
  <c r="I187" i="213" s="1"/>
  <c r="E188" i="213"/>
  <c r="G188" i="213" s="1"/>
  <c r="I188" i="213" s="1"/>
  <c r="E189" i="213"/>
  <c r="G189" i="213" s="1"/>
  <c r="I189" i="213" s="1"/>
  <c r="E186" i="213"/>
  <c r="G186" i="213" s="1"/>
  <c r="I186" i="213" s="1"/>
  <c r="B187" i="213"/>
  <c r="B188" i="213"/>
  <c r="B189" i="213"/>
  <c r="B186" i="213"/>
  <c r="E182" i="213"/>
  <c r="G182" i="213" s="1"/>
  <c r="I182" i="213" s="1"/>
  <c r="E183" i="213"/>
  <c r="G183" i="213" s="1"/>
  <c r="I183" i="213" s="1"/>
  <c r="E184" i="213"/>
  <c r="G184" i="213" s="1"/>
  <c r="I184" i="213" s="1"/>
  <c r="E181" i="213"/>
  <c r="G181" i="213" s="1"/>
  <c r="I181" i="213" s="1"/>
  <c r="B182" i="213"/>
  <c r="B183" i="213"/>
  <c r="B184" i="213"/>
  <c r="B181" i="213"/>
  <c r="E176" i="213"/>
  <c r="G176" i="213" s="1"/>
  <c r="I176" i="213" s="1"/>
  <c r="E177" i="213"/>
  <c r="G177" i="213" s="1"/>
  <c r="I177" i="213" s="1"/>
  <c r="E178" i="213"/>
  <c r="G178" i="213" s="1"/>
  <c r="I178" i="213" s="1"/>
  <c r="E179" i="213"/>
  <c r="G179" i="213" s="1"/>
  <c r="I179" i="213" s="1"/>
  <c r="E175" i="213"/>
  <c r="G175" i="213" s="1"/>
  <c r="L370" i="215"/>
  <c r="L368" i="215"/>
  <c r="L369" i="215"/>
  <c r="E295" i="213"/>
  <c r="G458" i="215"/>
  <c r="V494" i="199"/>
  <c r="B196" i="213"/>
  <c r="B197" i="213"/>
  <c r="B198" i="213"/>
  <c r="B195" i="213"/>
  <c r="B202" i="213"/>
  <c r="B203" i="213"/>
  <c r="B204" i="213"/>
  <c r="B205" i="213"/>
  <c r="B206" i="213"/>
  <c r="B207" i="213"/>
  <c r="B208" i="213"/>
  <c r="B209" i="213"/>
  <c r="B210" i="213"/>
  <c r="B211" i="213"/>
  <c r="B212" i="213"/>
  <c r="B213" i="213"/>
  <c r="B201" i="213"/>
  <c r="L404" i="215"/>
  <c r="E202" i="213" s="1"/>
  <c r="L405" i="215"/>
  <c r="E203" i="213" s="1"/>
  <c r="L406" i="215"/>
  <c r="E204" i="213" s="1"/>
  <c r="L407" i="215"/>
  <c r="E205" i="213" s="1"/>
  <c r="L408" i="215"/>
  <c r="E206" i="213" s="1"/>
  <c r="L409" i="215"/>
  <c r="E207" i="213" s="1"/>
  <c r="L410" i="215"/>
  <c r="E208" i="213" s="1"/>
  <c r="L411" i="215"/>
  <c r="E209" i="213" s="1"/>
  <c r="L412" i="215"/>
  <c r="E210" i="213" s="1"/>
  <c r="L413" i="215"/>
  <c r="E211" i="213" s="1"/>
  <c r="L414" i="215"/>
  <c r="E212" i="213" s="1"/>
  <c r="L415" i="215"/>
  <c r="E213" i="213" s="1"/>
  <c r="L403" i="215"/>
  <c r="E201" i="213" s="1"/>
  <c r="L395" i="215"/>
  <c r="E195" i="213" s="1"/>
  <c r="L367" i="215"/>
  <c r="L366" i="215"/>
  <c r="B151" i="213"/>
  <c r="B152" i="213"/>
  <c r="B153" i="213"/>
  <c r="B154" i="213"/>
  <c r="B150" i="213"/>
  <c r="E384" i="215"/>
  <c r="E151" i="213" s="1"/>
  <c r="E385" i="215"/>
  <c r="E152" i="213" s="1"/>
  <c r="E386" i="215"/>
  <c r="E387" i="215"/>
  <c r="E154" i="213" s="1"/>
  <c r="E383" i="215"/>
  <c r="E150" i="213" s="1"/>
  <c r="E392" i="215"/>
  <c r="E158" i="213" s="1"/>
  <c r="E393" i="215"/>
  <c r="E159" i="213" s="1"/>
  <c r="E394" i="215"/>
  <c r="E160" i="213" s="1"/>
  <c r="E395" i="215"/>
  <c r="E161" i="213" s="1"/>
  <c r="E396" i="215"/>
  <c r="E162" i="213" s="1"/>
  <c r="E397" i="215"/>
  <c r="E163" i="213" s="1"/>
  <c r="E398" i="215"/>
  <c r="E164" i="213" s="1"/>
  <c r="E399" i="215"/>
  <c r="E165" i="213" s="1"/>
  <c r="E400" i="215"/>
  <c r="E166" i="213" s="1"/>
  <c r="E401" i="215"/>
  <c r="E167" i="213" s="1"/>
  <c r="E402" i="215"/>
  <c r="E168" i="213" s="1"/>
  <c r="E403" i="215"/>
  <c r="E169" i="213" s="1"/>
  <c r="E391" i="215"/>
  <c r="E157" i="213" s="1"/>
  <c r="B139" i="213"/>
  <c r="B140" i="213"/>
  <c r="B141" i="213"/>
  <c r="B138" i="213"/>
  <c r="E334" i="215"/>
  <c r="E335" i="215"/>
  <c r="E336" i="215"/>
  <c r="E337" i="215"/>
  <c r="E333" i="215"/>
  <c r="E318" i="215"/>
  <c r="E319" i="215"/>
  <c r="E320" i="215"/>
  <c r="E321" i="215"/>
  <c r="E322" i="215"/>
  <c r="E323" i="215"/>
  <c r="E324" i="215"/>
  <c r="E325" i="215"/>
  <c r="E326" i="215"/>
  <c r="E327" i="215"/>
  <c r="E328" i="215"/>
  <c r="E329" i="215"/>
  <c r="E317" i="215"/>
  <c r="E306" i="215"/>
  <c r="E307" i="215"/>
  <c r="E308" i="215"/>
  <c r="E309" i="215"/>
  <c r="E310" i="215"/>
  <c r="E311" i="215"/>
  <c r="E312" i="215"/>
  <c r="E305" i="215"/>
  <c r="E240" i="215"/>
  <c r="E126" i="213" s="1"/>
  <c r="E241" i="215"/>
  <c r="E127" i="213" s="1"/>
  <c r="E242" i="215"/>
  <c r="E128" i="213" s="1"/>
  <c r="E243" i="215"/>
  <c r="E129" i="213" s="1"/>
  <c r="E239" i="215"/>
  <c r="E125" i="213" s="1"/>
  <c r="E223" i="215"/>
  <c r="E111" i="213" s="1"/>
  <c r="E224" i="215"/>
  <c r="E112" i="213" s="1"/>
  <c r="E225" i="215"/>
  <c r="E113" i="213" s="1"/>
  <c r="E226" i="215"/>
  <c r="E114" i="213" s="1"/>
  <c r="E227" i="215"/>
  <c r="E115" i="213" s="1"/>
  <c r="E228" i="215"/>
  <c r="E116" i="213" s="1"/>
  <c r="E229" i="215"/>
  <c r="E117" i="213" s="1"/>
  <c r="E230" i="215"/>
  <c r="E118" i="213" s="1"/>
  <c r="E231" i="215"/>
  <c r="E119" i="213" s="1"/>
  <c r="E232" i="215"/>
  <c r="E120" i="213" s="1"/>
  <c r="E233" i="215"/>
  <c r="E121" i="213" s="1"/>
  <c r="E234" i="215"/>
  <c r="E122" i="213" s="1"/>
  <c r="E235" i="215"/>
  <c r="E123" i="213" s="1"/>
  <c r="E212" i="215"/>
  <c r="E101" i="213" s="1"/>
  <c r="E213" i="215"/>
  <c r="E102" i="213" s="1"/>
  <c r="E214" i="215"/>
  <c r="E103" i="213" s="1"/>
  <c r="E215" i="215"/>
  <c r="E104" i="213" s="1"/>
  <c r="E216" i="215"/>
  <c r="E105" i="213" s="1"/>
  <c r="E217" i="215"/>
  <c r="E106" i="213" s="1"/>
  <c r="E218" i="215"/>
  <c r="E107" i="213" s="1"/>
  <c r="E211" i="215"/>
  <c r="E100" i="213" s="1"/>
  <c r="B126" i="213"/>
  <c r="B127" i="213"/>
  <c r="B128" i="213"/>
  <c r="B129" i="213"/>
  <c r="B125" i="213"/>
  <c r="B112" i="213"/>
  <c r="B113" i="213"/>
  <c r="B114" i="213"/>
  <c r="B115" i="213"/>
  <c r="B116" i="213"/>
  <c r="B117" i="213"/>
  <c r="B118" i="213"/>
  <c r="B119" i="213"/>
  <c r="B120" i="213"/>
  <c r="B121" i="213"/>
  <c r="B122" i="213"/>
  <c r="B123" i="213"/>
  <c r="B111" i="213"/>
  <c r="B101" i="213"/>
  <c r="B102" i="213"/>
  <c r="B103" i="213"/>
  <c r="B104" i="213"/>
  <c r="B105" i="213"/>
  <c r="B106" i="213"/>
  <c r="B107" i="213"/>
  <c r="B100" i="213"/>
  <c r="B95" i="213"/>
  <c r="G92" i="213"/>
  <c r="I92" i="213" s="1"/>
  <c r="B92" i="213"/>
  <c r="B93" i="213"/>
  <c r="B91" i="213"/>
  <c r="B88" i="213"/>
  <c r="B86" i="213"/>
  <c r="B80" i="213"/>
  <c r="B81" i="213"/>
  <c r="B79" i="213"/>
  <c r="B82" i="213"/>
  <c r="G68" i="213"/>
  <c r="I68" i="213" s="1"/>
  <c r="G69" i="213"/>
  <c r="I69" i="213" s="1"/>
  <c r="G76" i="213"/>
  <c r="I76" i="213" s="1"/>
  <c r="B68" i="213"/>
  <c r="B69" i="213"/>
  <c r="B70" i="213"/>
  <c r="B71" i="213"/>
  <c r="B72" i="213"/>
  <c r="B73" i="213"/>
  <c r="B74" i="213"/>
  <c r="B75" i="213"/>
  <c r="B76" i="213"/>
  <c r="B67" i="213"/>
  <c r="B60" i="213"/>
  <c r="B61" i="213"/>
  <c r="B62" i="213"/>
  <c r="B63" i="213"/>
  <c r="B64" i="213"/>
  <c r="B59" i="213"/>
  <c r="B42" i="213"/>
  <c r="B43" i="213"/>
  <c r="B44" i="213"/>
  <c r="B45" i="213"/>
  <c r="B46" i="213"/>
  <c r="B47" i="213"/>
  <c r="B48" i="213"/>
  <c r="B49" i="213"/>
  <c r="B50" i="213"/>
  <c r="B41" i="213"/>
  <c r="B33" i="213"/>
  <c r="B34" i="213"/>
  <c r="B35" i="213"/>
  <c r="B36" i="213"/>
  <c r="B37" i="213"/>
  <c r="B38" i="213"/>
  <c r="B32" i="213"/>
  <c r="X484" i="199"/>
  <c r="AD484" i="199" s="1"/>
  <c r="AW597" i="199" s="1"/>
  <c r="X478" i="199"/>
  <c r="AD478" i="199" s="1"/>
  <c r="AW591" i="199" s="1"/>
  <c r="X470" i="199"/>
  <c r="AD470" i="199" s="1"/>
  <c r="AW583" i="199" s="1"/>
  <c r="X471" i="199"/>
  <c r="AD471" i="199" s="1"/>
  <c r="AW584" i="199" s="1"/>
  <c r="X476" i="199"/>
  <c r="AD476" i="199" s="1"/>
  <c r="AW589" i="199" s="1"/>
  <c r="I339" i="213"/>
  <c r="AG476" i="199" s="1"/>
  <c r="I333" i="213"/>
  <c r="AG470" i="199" s="1"/>
  <c r="I334" i="213"/>
  <c r="AG471" i="199" s="1"/>
  <c r="I350" i="213"/>
  <c r="AG484" i="199" s="1"/>
  <c r="I344" i="213"/>
  <c r="AG478" i="199" s="1"/>
  <c r="B345" i="213"/>
  <c r="B347" i="213"/>
  <c r="B348" i="213"/>
  <c r="B349" i="213"/>
  <c r="B344" i="213"/>
  <c r="B327" i="213"/>
  <c r="B328" i="213"/>
  <c r="B329" i="213"/>
  <c r="B330" i="213"/>
  <c r="B331" i="213"/>
  <c r="B332" i="213"/>
  <c r="B334" i="213"/>
  <c r="B335" i="213"/>
  <c r="B336" i="213"/>
  <c r="B337" i="213"/>
  <c r="B338" i="213"/>
  <c r="B326" i="213"/>
  <c r="E127" i="215"/>
  <c r="G75" i="225" s="1"/>
  <c r="L75" i="225" s="1"/>
  <c r="E128" i="215"/>
  <c r="G76" i="225" s="1"/>
  <c r="L76" i="225" s="1"/>
  <c r="E129" i="215"/>
  <c r="G77" i="225" s="1"/>
  <c r="L77" i="225" s="1"/>
  <c r="E130" i="215"/>
  <c r="G78" i="225" s="1"/>
  <c r="L78" i="225" s="1"/>
  <c r="E131" i="215"/>
  <c r="G79" i="225" s="1"/>
  <c r="L79" i="225" s="1"/>
  <c r="E132" i="215"/>
  <c r="G80" i="225" s="1"/>
  <c r="L80" i="225" s="1"/>
  <c r="E133" i="215"/>
  <c r="G81" i="225" s="1"/>
  <c r="L81" i="225" s="1"/>
  <c r="E134" i="215"/>
  <c r="G82" i="225" s="1"/>
  <c r="L82" i="225" s="1"/>
  <c r="E135" i="215"/>
  <c r="G83" i="225" s="1"/>
  <c r="L83" i="225" s="1"/>
  <c r="E126" i="215"/>
  <c r="E122" i="215"/>
  <c r="E120" i="215"/>
  <c r="E119" i="215"/>
  <c r="E118" i="215"/>
  <c r="E117" i="215"/>
  <c r="E116" i="215"/>
  <c r="E93" i="215"/>
  <c r="E50" i="213" s="1"/>
  <c r="E92" i="215"/>
  <c r="E49" i="213" s="1"/>
  <c r="E91" i="215"/>
  <c r="E48" i="213" s="1"/>
  <c r="E90" i="215"/>
  <c r="E47" i="213" s="1"/>
  <c r="E89" i="215"/>
  <c r="E46" i="213" s="1"/>
  <c r="E88" i="215"/>
  <c r="E45" i="213" s="1"/>
  <c r="E87" i="215"/>
  <c r="E44" i="213" s="1"/>
  <c r="E86" i="215"/>
  <c r="E43" i="213" s="1"/>
  <c r="E85" i="215"/>
  <c r="E42" i="213" s="1"/>
  <c r="E84" i="215"/>
  <c r="E41" i="213" s="1"/>
  <c r="E77" i="215"/>
  <c r="E36" i="213" s="1"/>
  <c r="E76" i="215"/>
  <c r="E35" i="213" s="1"/>
  <c r="E75" i="215"/>
  <c r="E34" i="213" s="1"/>
  <c r="E74" i="215"/>
  <c r="E33" i="213" s="1"/>
  <c r="E153" i="213"/>
  <c r="AA445" i="199"/>
  <c r="U558" i="199" s="1"/>
  <c r="AA450" i="199"/>
  <c r="AA456" i="199" s="1"/>
  <c r="U569" i="199" s="1"/>
  <c r="Q433" i="199"/>
  <c r="R546" i="199" s="1"/>
  <c r="Q437" i="199"/>
  <c r="R550" i="199" s="1"/>
  <c r="R552" i="199"/>
  <c r="Q445" i="199"/>
  <c r="Q456" i="199"/>
  <c r="R569" i="199" s="1"/>
  <c r="Q463" i="199"/>
  <c r="R576" i="199" s="1"/>
  <c r="Q471" i="199"/>
  <c r="Q478" i="199"/>
  <c r="R591" i="199" s="1"/>
  <c r="Q481" i="199"/>
  <c r="R594" i="199" s="1"/>
  <c r="B484" i="199"/>
  <c r="B597" i="199" s="1"/>
  <c r="B433" i="199"/>
  <c r="B546" i="199" s="1"/>
  <c r="B434" i="199"/>
  <c r="B547" i="199" s="1"/>
  <c r="B435" i="199"/>
  <c r="B548" i="199" s="1"/>
  <c r="B437" i="199"/>
  <c r="B550" i="199" s="1"/>
  <c r="B438" i="199"/>
  <c r="B551" i="199" s="1"/>
  <c r="B439" i="199"/>
  <c r="B552" i="199" s="1"/>
  <c r="B440" i="199"/>
  <c r="B553" i="199" s="1"/>
  <c r="B441" i="199"/>
  <c r="B554" i="199" s="1"/>
  <c r="B443" i="199"/>
  <c r="B556" i="199" s="1"/>
  <c r="B446" i="199"/>
  <c r="B559" i="199" s="1"/>
  <c r="B447" i="199"/>
  <c r="B560" i="199" s="1"/>
  <c r="B448" i="199"/>
  <c r="B561" i="199" s="1"/>
  <c r="B449" i="199"/>
  <c r="B562" i="199" s="1"/>
  <c r="B450" i="199"/>
  <c r="B563" i="199" s="1"/>
  <c r="B451" i="199"/>
  <c r="B564" i="199" s="1"/>
  <c r="B452" i="199"/>
  <c r="B565" i="199" s="1"/>
  <c r="B453" i="199"/>
  <c r="B566" i="199" s="1"/>
  <c r="B454" i="199"/>
  <c r="B567" i="199" s="1"/>
  <c r="B456" i="199"/>
  <c r="B569" i="199" s="1"/>
  <c r="B457" i="199"/>
  <c r="B570" i="199" s="1"/>
  <c r="B458" i="199"/>
  <c r="B571" i="199" s="1"/>
  <c r="B459" i="199"/>
  <c r="B572" i="199" s="1"/>
  <c r="B460" i="199"/>
  <c r="B573" i="199" s="1"/>
  <c r="B461" i="199"/>
  <c r="B574" i="199" s="1"/>
  <c r="B463" i="199"/>
  <c r="B576" i="199" s="1"/>
  <c r="B464" i="199"/>
  <c r="B577" i="199" s="1"/>
  <c r="B465" i="199"/>
  <c r="B578" i="199" s="1"/>
  <c r="B466" i="199"/>
  <c r="B579" i="199" s="1"/>
  <c r="B467" i="199"/>
  <c r="B580" i="199" s="1"/>
  <c r="B468" i="199"/>
  <c r="B581" i="199" s="1"/>
  <c r="B469" i="199"/>
  <c r="B582" i="199" s="1"/>
  <c r="B470" i="199"/>
  <c r="B583" i="199" s="1"/>
  <c r="B471" i="199"/>
  <c r="B584" i="199" s="1"/>
  <c r="B472" i="199"/>
  <c r="B585" i="199" s="1"/>
  <c r="B473" i="199"/>
  <c r="B586" i="199" s="1"/>
  <c r="B474" i="199"/>
  <c r="B587" i="199" s="1"/>
  <c r="B475" i="199"/>
  <c r="B588" i="199" s="1"/>
  <c r="B478" i="199"/>
  <c r="B591" i="199" s="1"/>
  <c r="B479" i="199"/>
  <c r="B592" i="199" s="1"/>
  <c r="B480" i="199"/>
  <c r="B593" i="199" s="1"/>
  <c r="B481" i="199"/>
  <c r="B594" i="199" s="1"/>
  <c r="B482" i="199"/>
  <c r="B595" i="199" s="1"/>
  <c r="B483" i="199"/>
  <c r="B596" i="199" s="1"/>
  <c r="N419" i="199"/>
  <c r="N415" i="199"/>
  <c r="N412" i="199"/>
  <c r="Q431" i="199"/>
  <c r="R544" i="199" s="1"/>
  <c r="N398" i="199"/>
  <c r="N397" i="199"/>
  <c r="N381" i="199"/>
  <c r="N372" i="199"/>
  <c r="K289" i="199"/>
  <c r="K287" i="199"/>
  <c r="K282" i="199"/>
  <c r="K277" i="199"/>
  <c r="V245" i="199"/>
  <c r="G784" i="199" s="1"/>
  <c r="V244" i="199"/>
  <c r="G783" i="199" s="1"/>
  <c r="V243" i="199"/>
  <c r="G782" i="199" s="1"/>
  <c r="V242" i="199"/>
  <c r="G781" i="199" s="1"/>
  <c r="V241" i="199"/>
  <c r="G776" i="199" s="1"/>
  <c r="V240" i="199"/>
  <c r="G775" i="199" s="1"/>
  <c r="V239" i="199"/>
  <c r="G771" i="199" s="1"/>
  <c r="V238" i="199"/>
  <c r="V237" i="199"/>
  <c r="G766" i="199" s="1"/>
  <c r="V236" i="199"/>
  <c r="G765" i="199" s="1"/>
  <c r="V235" i="199"/>
  <c r="G763" i="199" s="1"/>
  <c r="V234" i="199"/>
  <c r="G760" i="199" s="1"/>
  <c r="V233" i="199"/>
  <c r="K255" i="199" s="1"/>
  <c r="V232" i="199"/>
  <c r="G755" i="199" s="1"/>
  <c r="V231" i="199"/>
  <c r="K251" i="199" s="1"/>
  <c r="C244" i="199"/>
  <c r="C240" i="199"/>
  <c r="B271" i="199" s="1"/>
  <c r="C393" i="199" s="1"/>
  <c r="B503" i="199" s="1"/>
  <c r="C16" i="100" s="1"/>
  <c r="C57" i="100" s="1"/>
  <c r="C236" i="199"/>
  <c r="G750" i="199" s="1"/>
  <c r="C233" i="199"/>
  <c r="B138" i="215" s="1"/>
  <c r="C232" i="199"/>
  <c r="B42" i="215" s="1"/>
  <c r="C231" i="199"/>
  <c r="B5" i="215" s="1"/>
  <c r="V186" i="199"/>
  <c r="V185" i="199"/>
  <c r="V184" i="199"/>
  <c r="V183" i="199"/>
  <c r="V182" i="199"/>
  <c r="V181" i="199"/>
  <c r="V180" i="199"/>
  <c r="V179" i="199"/>
  <c r="V178" i="199"/>
  <c r="V177" i="199"/>
  <c r="V176" i="199"/>
  <c r="V175" i="199"/>
  <c r="V174" i="199"/>
  <c r="V173" i="199"/>
  <c r="V172" i="199"/>
  <c r="B5" i="213"/>
  <c r="B7" i="213" s="1"/>
  <c r="K252" i="199"/>
  <c r="C185" i="199"/>
  <c r="C183" i="199"/>
  <c r="C181" i="199"/>
  <c r="C177" i="199"/>
  <c r="C174" i="199"/>
  <c r="C173" i="199"/>
  <c r="C172" i="199"/>
  <c r="L51" i="201"/>
  <c r="D12" i="215"/>
  <c r="J347" i="215"/>
  <c r="B366" i="225" s="1"/>
  <c r="C347" i="215"/>
  <c r="B280" i="225" s="1"/>
  <c r="J185" i="215"/>
  <c r="L392" i="215"/>
  <c r="D265" i="215"/>
  <c r="F265" i="215" s="1"/>
  <c r="I265" i="215" s="1"/>
  <c r="K265" i="215" s="1"/>
  <c r="D264" i="215"/>
  <c r="F264" i="215" s="1"/>
  <c r="I264" i="215" s="1"/>
  <c r="K264" i="215" s="1"/>
  <c r="D263" i="215"/>
  <c r="F263" i="215" s="1"/>
  <c r="I263" i="215" s="1"/>
  <c r="K263" i="215" s="1"/>
  <c r="D262" i="215"/>
  <c r="F262" i="215" s="1"/>
  <c r="I262" i="215" s="1"/>
  <c r="K262" i="215" s="1"/>
  <c r="D261" i="215"/>
  <c r="F261" i="215" s="1"/>
  <c r="I261" i="215" s="1"/>
  <c r="K261" i="215" s="1"/>
  <c r="D260" i="215"/>
  <c r="F260" i="215" s="1"/>
  <c r="I260" i="215" s="1"/>
  <c r="K260" i="215" s="1"/>
  <c r="D259" i="215"/>
  <c r="F259" i="215" s="1"/>
  <c r="I259" i="215" s="1"/>
  <c r="K259" i="215" s="1"/>
  <c r="D258" i="215"/>
  <c r="F258" i="215" s="1"/>
  <c r="I258" i="215" s="1"/>
  <c r="K258" i="215" s="1"/>
  <c r="D257" i="215"/>
  <c r="F257" i="215" s="1"/>
  <c r="I257" i="215" s="1"/>
  <c r="K257" i="215" s="1"/>
  <c r="D155" i="215"/>
  <c r="F155" i="215" s="1"/>
  <c r="I155" i="215" s="1"/>
  <c r="K155" i="215" s="1"/>
  <c r="D154" i="215"/>
  <c r="F154" i="215" s="1"/>
  <c r="I154" i="215" s="1"/>
  <c r="B29" i="213"/>
  <c r="B28" i="213"/>
  <c r="B27" i="213"/>
  <c r="L397" i="215"/>
  <c r="E197" i="213" s="1"/>
  <c r="E367" i="215"/>
  <c r="E139" i="213" s="1"/>
  <c r="G139" i="213" s="1"/>
  <c r="I139" i="213" s="1"/>
  <c r="B23" i="213"/>
  <c r="L398" i="215"/>
  <c r="E198" i="213" s="1"/>
  <c r="G85" i="219"/>
  <c r="G9" i="219"/>
  <c r="G45" i="219"/>
  <c r="G46" i="219" s="1"/>
  <c r="D284" i="215"/>
  <c r="F284" i="215" s="1"/>
  <c r="G284" i="215" s="1"/>
  <c r="O284" i="215" s="1"/>
  <c r="D283" i="215"/>
  <c r="F283" i="215" s="1"/>
  <c r="D279" i="215"/>
  <c r="F279" i="215" s="1"/>
  <c r="D256" i="215"/>
  <c r="F256" i="215" s="1"/>
  <c r="I256" i="215" s="1"/>
  <c r="D25" i="215"/>
  <c r="D19" i="215"/>
  <c r="H19" i="215"/>
  <c r="D32" i="215"/>
  <c r="H32" i="215"/>
  <c r="E555" i="215"/>
  <c r="E246" i="213" s="1"/>
  <c r="E550" i="215"/>
  <c r="E235" i="213" s="1"/>
  <c r="G235" i="213" s="1"/>
  <c r="I235" i="213" s="1"/>
  <c r="E549" i="215"/>
  <c r="E234" i="213" s="1"/>
  <c r="G234" i="213" s="1"/>
  <c r="I234" i="213" s="1"/>
  <c r="E548" i="215"/>
  <c r="E233" i="213" s="1"/>
  <c r="G233" i="213" s="1"/>
  <c r="I233" i="213" s="1"/>
  <c r="E573" i="215"/>
  <c r="G573" i="215" s="1"/>
  <c r="E572" i="215"/>
  <c r="G572" i="215" s="1"/>
  <c r="E571" i="215"/>
  <c r="G571" i="215" s="1"/>
  <c r="E570" i="215"/>
  <c r="G570" i="215" s="1"/>
  <c r="E569" i="215"/>
  <c r="G569" i="215" s="1"/>
  <c r="E568" i="215"/>
  <c r="G568" i="215" s="1"/>
  <c r="E516" i="215"/>
  <c r="E515" i="215"/>
  <c r="G515" i="215" s="1"/>
  <c r="E514" i="215"/>
  <c r="G514" i="215" s="1"/>
  <c r="E513" i="215"/>
  <c r="E316" i="213" s="1"/>
  <c r="E512" i="215"/>
  <c r="G512" i="215" s="1"/>
  <c r="E511" i="215"/>
  <c r="E314" i="213" s="1"/>
  <c r="D542" i="215"/>
  <c r="F560" i="215" s="1"/>
  <c r="D487" i="215"/>
  <c r="E504" i="215" s="1"/>
  <c r="E494" i="215"/>
  <c r="E493" i="215"/>
  <c r="E463" i="215"/>
  <c r="G463" i="215" s="1"/>
  <c r="E462" i="215"/>
  <c r="G462" i="215" s="1"/>
  <c r="E461" i="215"/>
  <c r="G461" i="215" s="1"/>
  <c r="E460" i="215"/>
  <c r="G460" i="215" s="1"/>
  <c r="E459" i="215"/>
  <c r="G459" i="215" s="1"/>
  <c r="E441" i="215"/>
  <c r="E440" i="215"/>
  <c r="D434" i="215"/>
  <c r="F449" i="215" s="1"/>
  <c r="F251" i="213" s="1"/>
  <c r="G251" i="213" s="1"/>
  <c r="I251" i="213" s="1"/>
  <c r="L396" i="215"/>
  <c r="E196" i="213" s="1"/>
  <c r="E379" i="215"/>
  <c r="E147" i="213" s="1"/>
  <c r="G147" i="213" s="1"/>
  <c r="I147" i="213" s="1"/>
  <c r="E378" i="215"/>
  <c r="E146" i="213" s="1"/>
  <c r="G146" i="213" s="1"/>
  <c r="I146" i="213" s="1"/>
  <c r="E377" i="215"/>
  <c r="E144" i="213" s="1"/>
  <c r="G144" i="213" s="1"/>
  <c r="I144" i="213" s="1"/>
  <c r="L388" i="215"/>
  <c r="L387" i="215"/>
  <c r="L386" i="215"/>
  <c r="L385" i="215"/>
  <c r="L380" i="215"/>
  <c r="L379" i="215"/>
  <c r="L378" i="215"/>
  <c r="L377" i="215"/>
  <c r="E369" i="215"/>
  <c r="E141" i="213" s="1"/>
  <c r="G141" i="213" s="1"/>
  <c r="I141" i="213" s="1"/>
  <c r="E368" i="215"/>
  <c r="D88" i="41" s="1"/>
  <c r="E366" i="215"/>
  <c r="I359" i="215"/>
  <c r="K358" i="215"/>
  <c r="M411" i="215" s="1"/>
  <c r="N411" i="215" s="1"/>
  <c r="K359" i="215"/>
  <c r="G516" i="215"/>
  <c r="E319" i="213"/>
  <c r="E507" i="215"/>
  <c r="E263" i="213" s="1"/>
  <c r="E564" i="215"/>
  <c r="E270" i="213" s="1"/>
  <c r="E495" i="215"/>
  <c r="E505" i="215"/>
  <c r="E261" i="213" s="1"/>
  <c r="E445" i="215"/>
  <c r="B359" i="215"/>
  <c r="D359" i="215"/>
  <c r="D248" i="225" s="1"/>
  <c r="E248" i="225" s="1"/>
  <c r="J248" i="225" s="1"/>
  <c r="J247" i="225" s="1"/>
  <c r="D358" i="215"/>
  <c r="F383" i="215" s="1"/>
  <c r="M403" i="215"/>
  <c r="I5" i="218"/>
  <c r="C178" i="216"/>
  <c r="B180" i="216"/>
  <c r="C180" i="216" s="1"/>
  <c r="B179" i="216"/>
  <c r="C179" i="216" s="1"/>
  <c r="N470" i="218"/>
  <c r="N469" i="218"/>
  <c r="N468" i="218"/>
  <c r="N467" i="218"/>
  <c r="N466" i="218"/>
  <c r="N464" i="218"/>
  <c r="N463" i="218"/>
  <c r="N462" i="218"/>
  <c r="N461" i="218"/>
  <c r="N460" i="218"/>
  <c r="N459" i="218"/>
  <c r="N458" i="218"/>
  <c r="N456" i="218"/>
  <c r="N455" i="218"/>
  <c r="N454" i="218"/>
  <c r="N453" i="218"/>
  <c r="N452" i="218"/>
  <c r="N450" i="218"/>
  <c r="N449" i="218" s="1"/>
  <c r="N448" i="218"/>
  <c r="N447" i="218"/>
  <c r="N446" i="218"/>
  <c r="N444" i="218"/>
  <c r="N443" i="218"/>
  <c r="N441" i="218"/>
  <c r="N440" i="218" s="1"/>
  <c r="N439" i="218"/>
  <c r="N438" i="218"/>
  <c r="N437" i="218"/>
  <c r="N435" i="218"/>
  <c r="N434" i="218"/>
  <c r="N432" i="218"/>
  <c r="N431" i="218"/>
  <c r="N429" i="218"/>
  <c r="N428" i="218"/>
  <c r="N426" i="218"/>
  <c r="N425" i="218"/>
  <c r="N424" i="218"/>
  <c r="N422" i="218"/>
  <c r="N421" i="218" s="1"/>
  <c r="N420" i="218"/>
  <c r="N419" i="218"/>
  <c r="N418" i="218"/>
  <c r="N416" i="218"/>
  <c r="N415" i="218"/>
  <c r="N414" i="218"/>
  <c r="N413" i="218"/>
  <c r="N411" i="218"/>
  <c r="N410" i="218"/>
  <c r="N409" i="218"/>
  <c r="N408" i="218"/>
  <c r="N406" i="218"/>
  <c r="N405" i="218" s="1"/>
  <c r="N403" i="218"/>
  <c r="N402" i="218"/>
  <c r="N401" i="218"/>
  <c r="N400" i="218"/>
  <c r="N399" i="218"/>
  <c r="N398" i="218"/>
  <c r="N397" i="218"/>
  <c r="N396" i="218"/>
  <c r="N395" i="218"/>
  <c r="N393" i="218"/>
  <c r="N392" i="218"/>
  <c r="N391" i="218"/>
  <c r="N389" i="218"/>
  <c r="N388" i="218"/>
  <c r="N387" i="218"/>
  <c r="N385" i="218"/>
  <c r="N384" i="218" s="1"/>
  <c r="N383" i="218"/>
  <c r="N382" i="218" s="1"/>
  <c r="N381" i="218"/>
  <c r="N380" i="218"/>
  <c r="N379" i="218"/>
  <c r="N378" i="218"/>
  <c r="N377" i="218"/>
  <c r="N375" i="218"/>
  <c r="N374" i="218"/>
  <c r="N372" i="218"/>
  <c r="N371" i="218" s="1"/>
  <c r="N370" i="218"/>
  <c r="N369" i="218"/>
  <c r="N367" i="218"/>
  <c r="N366" i="218"/>
  <c r="N364" i="218"/>
  <c r="N363" i="218" s="1"/>
  <c r="N362" i="218"/>
  <c r="N361" i="218"/>
  <c r="N360" i="218"/>
  <c r="N359" i="218"/>
  <c r="N358" i="218"/>
  <c r="N357" i="218"/>
  <c r="N355" i="218"/>
  <c r="N354" i="218"/>
  <c r="N353" i="218"/>
  <c r="N351" i="218"/>
  <c r="N350" i="218"/>
  <c r="N349" i="218"/>
  <c r="N347" i="218"/>
  <c r="N346" i="218" s="1"/>
  <c r="N344" i="218"/>
  <c r="N343" i="218"/>
  <c r="N342" i="218"/>
  <c r="N341" i="218"/>
  <c r="N340" i="218"/>
  <c r="N339" i="218"/>
  <c r="N337" i="218"/>
  <c r="N336" i="218"/>
  <c r="N335" i="218"/>
  <c r="N334" i="218"/>
  <c r="N331" i="218"/>
  <c r="N330" i="218"/>
  <c r="N329" i="218"/>
  <c r="N328" i="218"/>
  <c r="N327" i="218"/>
  <c r="N326" i="218"/>
  <c r="N325" i="218"/>
  <c r="N324" i="218"/>
  <c r="N323" i="218"/>
  <c r="N321" i="218"/>
  <c r="N320" i="218"/>
  <c r="N319" i="218"/>
  <c r="N318" i="218"/>
  <c r="N316" i="218"/>
  <c r="N315" i="218"/>
  <c r="N314" i="218"/>
  <c r="N312" i="218"/>
  <c r="N311" i="218" s="1"/>
  <c r="N310" i="218"/>
  <c r="N309" i="218" s="1"/>
  <c r="N308" i="218"/>
  <c r="N307" i="218"/>
  <c r="N306" i="218"/>
  <c r="N305" i="218"/>
  <c r="N303" i="218"/>
  <c r="N302" i="218"/>
  <c r="N300" i="218"/>
  <c r="N299" i="218" s="1"/>
  <c r="N298" i="218"/>
  <c r="N297" i="218"/>
  <c r="N295" i="218"/>
  <c r="N294" i="218"/>
  <c r="N293" i="218"/>
  <c r="N291" i="218"/>
  <c r="N290" i="218" s="1"/>
  <c r="N289" i="218"/>
  <c r="N288" i="218"/>
  <c r="N287" i="218"/>
  <c r="N286" i="218"/>
  <c r="N285" i="218"/>
  <c r="N284" i="218"/>
  <c r="N282" i="218"/>
  <c r="N281" i="218"/>
  <c r="N280" i="218"/>
  <c r="N278" i="218"/>
  <c r="N277" i="218"/>
  <c r="N276" i="218"/>
  <c r="N274" i="218"/>
  <c r="N273" i="218" s="1"/>
  <c r="N271" i="218"/>
  <c r="N270" i="218"/>
  <c r="N269" i="218"/>
  <c r="N268" i="218"/>
  <c r="N267" i="218"/>
  <c r="N266" i="218"/>
  <c r="N265" i="218"/>
  <c r="N264" i="218"/>
  <c r="N263" i="218"/>
  <c r="N261" i="218"/>
  <c r="N260" i="218"/>
  <c r="N259" i="218"/>
  <c r="N257" i="218"/>
  <c r="N256" i="218" s="1"/>
  <c r="N255" i="218"/>
  <c r="N254" i="218" s="1"/>
  <c r="N253" i="218"/>
  <c r="N252" i="218"/>
  <c r="N250" i="218"/>
  <c r="N249" i="218" s="1"/>
  <c r="N248" i="218"/>
  <c r="N247" i="218" s="1"/>
  <c r="N246" i="218"/>
  <c r="N245" i="218" s="1"/>
  <c r="N244" i="218"/>
  <c r="N243" i="218"/>
  <c r="N241" i="218"/>
  <c r="N240" i="218" s="1"/>
  <c r="N239" i="218"/>
  <c r="N238" i="218"/>
  <c r="N237" i="218"/>
  <c r="N236" i="218"/>
  <c r="N235" i="218"/>
  <c r="N234" i="218"/>
  <c r="N232" i="218"/>
  <c r="N231" i="218"/>
  <c r="N230" i="218"/>
  <c r="N229" i="218"/>
  <c r="N227" i="218"/>
  <c r="N226" i="218"/>
  <c r="N225" i="218"/>
  <c r="N223" i="218"/>
  <c r="N222" i="218" s="1"/>
  <c r="N220" i="218"/>
  <c r="N219" i="218"/>
  <c r="N218" i="218"/>
  <c r="N217" i="218"/>
  <c r="N216" i="218"/>
  <c r="N215" i="218"/>
  <c r="N214" i="218"/>
  <c r="N213" i="218"/>
  <c r="N211" i="218"/>
  <c r="N210" i="218"/>
  <c r="N209" i="218"/>
  <c r="N207" i="218"/>
  <c r="N206" i="218"/>
  <c r="N204" i="218"/>
  <c r="N203" i="218" s="1"/>
  <c r="N202" i="218"/>
  <c r="N201" i="218"/>
  <c r="N200" i="218"/>
  <c r="N199" i="218"/>
  <c r="N197" i="218"/>
  <c r="N196" i="218" s="1"/>
  <c r="N195" i="218"/>
  <c r="N194" i="218"/>
  <c r="N192" i="218"/>
  <c r="N191" i="218"/>
  <c r="N189" i="218"/>
  <c r="N188" i="218"/>
  <c r="N186" i="218"/>
  <c r="N185" i="218" s="1"/>
  <c r="N184" i="218"/>
  <c r="N183" i="218"/>
  <c r="N182" i="218"/>
  <c r="N181" i="218"/>
  <c r="N180" i="218"/>
  <c r="N179" i="218"/>
  <c r="N178" i="218"/>
  <c r="N177" i="218"/>
  <c r="N175" i="218"/>
  <c r="N174" i="218"/>
  <c r="N173" i="218"/>
  <c r="N172" i="218"/>
  <c r="N170" i="218"/>
  <c r="N169" i="218"/>
  <c r="N168" i="218"/>
  <c r="N166" i="218"/>
  <c r="N165" i="218" s="1"/>
  <c r="N163" i="218"/>
  <c r="N162" i="218"/>
  <c r="N161" i="218"/>
  <c r="N160" i="218"/>
  <c r="N159" i="218"/>
  <c r="N158" i="218"/>
  <c r="F158" i="218"/>
  <c r="N157" i="218"/>
  <c r="F157" i="218"/>
  <c r="F156" i="218"/>
  <c r="N155" i="218"/>
  <c r="F155" i="218"/>
  <c r="N154" i="218"/>
  <c r="F154" i="218"/>
  <c r="N153" i="218"/>
  <c r="N152" i="218"/>
  <c r="F152" i="218"/>
  <c r="N151" i="218"/>
  <c r="F151" i="218"/>
  <c r="N150" i="218"/>
  <c r="F150" i="218"/>
  <c r="N149" i="218"/>
  <c r="F149" i="218"/>
  <c r="N148" i="218"/>
  <c r="F148" i="218"/>
  <c r="N147" i="218"/>
  <c r="F147" i="218"/>
  <c r="N146" i="218"/>
  <c r="F146" i="218"/>
  <c r="N145" i="218"/>
  <c r="F145" i="218"/>
  <c r="N144" i="218"/>
  <c r="F144" i="218"/>
  <c r="N143" i="218"/>
  <c r="N142" i="218"/>
  <c r="F142" i="218"/>
  <c r="N141" i="218"/>
  <c r="F141" i="218"/>
  <c r="N140" i="218"/>
  <c r="F140" i="218"/>
  <c r="N139" i="218"/>
  <c r="N138" i="218"/>
  <c r="F138" i="218"/>
  <c r="N137" i="218"/>
  <c r="F137" i="218"/>
  <c r="N136" i="218"/>
  <c r="F136" i="218"/>
  <c r="N135" i="218"/>
  <c r="F134" i="218"/>
  <c r="F133" i="218" s="1"/>
  <c r="N133" i="218"/>
  <c r="N132" i="218"/>
  <c r="F132" i="218"/>
  <c r="F131" i="218" s="1"/>
  <c r="N131" i="218"/>
  <c r="N130" i="218"/>
  <c r="F130" i="218"/>
  <c r="N129" i="218"/>
  <c r="F129" i="218"/>
  <c r="F128" i="218"/>
  <c r="N127" i="218"/>
  <c r="F127" i="218"/>
  <c r="N126" i="218"/>
  <c r="F126" i="218"/>
  <c r="N125" i="218"/>
  <c r="F124" i="218"/>
  <c r="N123" i="218"/>
  <c r="N122" i="218" s="1"/>
  <c r="F123" i="218"/>
  <c r="N121" i="218"/>
  <c r="N120" i="218" s="1"/>
  <c r="F121" i="218"/>
  <c r="F120" i="218" s="1"/>
  <c r="N119" i="218"/>
  <c r="F119" i="218"/>
  <c r="N118" i="218"/>
  <c r="F118" i="218"/>
  <c r="F117" i="218" s="1"/>
  <c r="N117" i="218"/>
  <c r="F116" i="218"/>
  <c r="N115" i="218"/>
  <c r="F115" i="218"/>
  <c r="N114" i="218"/>
  <c r="F113" i="218"/>
  <c r="F112" i="218" s="1"/>
  <c r="N112" i="218"/>
  <c r="N111" i="218" s="1"/>
  <c r="F111" i="218"/>
  <c r="N110" i="218"/>
  <c r="F110" i="218"/>
  <c r="N109" i="218"/>
  <c r="F109" i="218"/>
  <c r="F108" i="218"/>
  <c r="N107" i="218"/>
  <c r="F107" i="218"/>
  <c r="N106" i="218"/>
  <c r="F106" i="218"/>
  <c r="N105" i="218"/>
  <c r="F104" i="218"/>
  <c r="N103" i="218"/>
  <c r="F103" i="218"/>
  <c r="N102" i="218"/>
  <c r="F102" i="218"/>
  <c r="N100" i="218"/>
  <c r="F100" i="218"/>
  <c r="N99" i="218"/>
  <c r="F99" i="218"/>
  <c r="N98" i="218"/>
  <c r="F98" i="218"/>
  <c r="N97" i="218"/>
  <c r="N96" i="218"/>
  <c r="F96" i="218"/>
  <c r="F95" i="218" s="1"/>
  <c r="N95" i="218"/>
  <c r="N93" i="218"/>
  <c r="F93" i="218"/>
  <c r="N92" i="218"/>
  <c r="F92" i="218"/>
  <c r="N91" i="218"/>
  <c r="F91" i="218"/>
  <c r="N90" i="218"/>
  <c r="F90" i="218"/>
  <c r="F89" i="218"/>
  <c r="N88" i="218"/>
  <c r="F88" i="218"/>
  <c r="N87" i="218"/>
  <c r="N86" i="218"/>
  <c r="F86" i="218"/>
  <c r="F85" i="218"/>
  <c r="N84" i="218"/>
  <c r="N83" i="218" s="1"/>
  <c r="F84" i="218"/>
  <c r="F83" i="218"/>
  <c r="N80" i="218"/>
  <c r="F80" i="218"/>
  <c r="N79" i="218"/>
  <c r="F79" i="218"/>
  <c r="N78" i="218"/>
  <c r="F78" i="218"/>
  <c r="N77" i="218"/>
  <c r="F77" i="218"/>
  <c r="N76" i="218"/>
  <c r="F76" i="218"/>
  <c r="N75" i="218"/>
  <c r="F75" i="218"/>
  <c r="N74" i="218"/>
  <c r="N73" i="218" s="1"/>
  <c r="F74" i="218"/>
  <c r="N72" i="218"/>
  <c r="F72" i="218"/>
  <c r="N71" i="218"/>
  <c r="F71" i="218"/>
  <c r="N69" i="218"/>
  <c r="F69" i="218"/>
  <c r="N68" i="218"/>
  <c r="F68" i="218"/>
  <c r="N67" i="218"/>
  <c r="F67" i="218"/>
  <c r="N66" i="218"/>
  <c r="F66" i="218"/>
  <c r="N65" i="218"/>
  <c r="F65" i="218"/>
  <c r="N64" i="218"/>
  <c r="F64" i="218"/>
  <c r="N63" i="218"/>
  <c r="F63" i="218"/>
  <c r="N62" i="218"/>
  <c r="F62" i="218"/>
  <c r="N61" i="218"/>
  <c r="F61" i="218"/>
  <c r="N60" i="218"/>
  <c r="F60" i="218"/>
  <c r="N59" i="218"/>
  <c r="F59" i="218"/>
  <c r="N58" i="218"/>
  <c r="F58" i="218"/>
  <c r="N57" i="218"/>
  <c r="F57" i="218"/>
  <c r="N56" i="218"/>
  <c r="F56" i="218"/>
  <c r="N55" i="218"/>
  <c r="F55" i="218"/>
  <c r="N54" i="218"/>
  <c r="F54" i="218"/>
  <c r="N53" i="218"/>
  <c r="F53" i="218"/>
  <c r="N52" i="218"/>
  <c r="F52" i="218"/>
  <c r="N51" i="218"/>
  <c r="F51" i="218"/>
  <c r="N50" i="218"/>
  <c r="F50" i="218"/>
  <c r="N49" i="218"/>
  <c r="F49" i="218"/>
  <c r="N48" i="218"/>
  <c r="F48" i="218"/>
  <c r="N47" i="218"/>
  <c r="F47" i="218"/>
  <c r="N46" i="218"/>
  <c r="F46" i="218"/>
  <c r="N44" i="218"/>
  <c r="N43" i="218" s="1"/>
  <c r="F44" i="218"/>
  <c r="F43" i="218" s="1"/>
  <c r="N42" i="218"/>
  <c r="N41" i="218" s="1"/>
  <c r="F42" i="218"/>
  <c r="F41" i="218" s="1"/>
  <c r="N40" i="218"/>
  <c r="F40" i="218"/>
  <c r="N39" i="218"/>
  <c r="F39" i="218"/>
  <c r="N38" i="218"/>
  <c r="F38" i="218"/>
  <c r="N36" i="218"/>
  <c r="N35" i="218" s="1"/>
  <c r="F36" i="218"/>
  <c r="F35" i="218" s="1"/>
  <c r="N34" i="218"/>
  <c r="F34" i="218"/>
  <c r="N33" i="218"/>
  <c r="F33" i="218"/>
  <c r="N32" i="218"/>
  <c r="F32" i="218"/>
  <c r="N31" i="218"/>
  <c r="F31" i="218"/>
  <c r="N30" i="218"/>
  <c r="F30" i="218"/>
  <c r="N29" i="218"/>
  <c r="F29" i="218"/>
  <c r="N28" i="218"/>
  <c r="F28" i="218"/>
  <c r="N27" i="218"/>
  <c r="F27" i="218"/>
  <c r="N25" i="218"/>
  <c r="F25" i="218"/>
  <c r="N24" i="218"/>
  <c r="F24" i="218"/>
  <c r="N23" i="218"/>
  <c r="F23" i="218"/>
  <c r="N22" i="218"/>
  <c r="F22" i="218"/>
  <c r="N20" i="218"/>
  <c r="N19" i="218" s="1"/>
  <c r="F20" i="218"/>
  <c r="F19" i="218" s="1"/>
  <c r="N18" i="218"/>
  <c r="F18" i="218"/>
  <c r="N17" i="218"/>
  <c r="F17" i="218"/>
  <c r="N16" i="218"/>
  <c r="F16" i="218"/>
  <c r="N15" i="218"/>
  <c r="F15" i="218"/>
  <c r="N13" i="218"/>
  <c r="F13" i="218"/>
  <c r="N12" i="218"/>
  <c r="F12" i="218"/>
  <c r="N156" i="217"/>
  <c r="N155" i="217"/>
  <c r="N154" i="217"/>
  <c r="N153" i="217"/>
  <c r="N152" i="217"/>
  <c r="F151" i="217"/>
  <c r="N150" i="217"/>
  <c r="F150" i="217"/>
  <c r="N149" i="217"/>
  <c r="F149" i="217"/>
  <c r="N148" i="217"/>
  <c r="F148" i="217"/>
  <c r="N147" i="217"/>
  <c r="F147" i="217"/>
  <c r="N146" i="217"/>
  <c r="N145" i="217"/>
  <c r="F145" i="217"/>
  <c r="N144" i="217"/>
  <c r="F144" i="217"/>
  <c r="N143" i="217"/>
  <c r="F143" i="217"/>
  <c r="N142" i="217"/>
  <c r="F142" i="217"/>
  <c r="N141" i="217"/>
  <c r="F141" i="217"/>
  <c r="N140" i="217"/>
  <c r="F140" i="217"/>
  <c r="N139" i="217"/>
  <c r="F139" i="217"/>
  <c r="N138" i="217"/>
  <c r="F138" i="217"/>
  <c r="N137" i="217"/>
  <c r="F137" i="217"/>
  <c r="N136" i="217"/>
  <c r="F136" i="217"/>
  <c r="N135" i="217"/>
  <c r="F135" i="217"/>
  <c r="N134" i="217"/>
  <c r="F134" i="217"/>
  <c r="N133" i="217"/>
  <c r="F133" i="217"/>
  <c r="N132" i="217"/>
  <c r="F132" i="217"/>
  <c r="N131" i="217"/>
  <c r="F131" i="217"/>
  <c r="N130" i="217"/>
  <c r="F130" i="217"/>
  <c r="N129" i="217"/>
  <c r="F129" i="217"/>
  <c r="N128" i="217"/>
  <c r="F128" i="217"/>
  <c r="N127" i="217"/>
  <c r="F127" i="217"/>
  <c r="F126" i="217"/>
  <c r="N125" i="217"/>
  <c r="F125" i="217"/>
  <c r="F124" i="217"/>
  <c r="N123" i="217"/>
  <c r="F123" i="217"/>
  <c r="N122" i="217"/>
  <c r="F122" i="217"/>
  <c r="N121" i="217"/>
  <c r="N120" i="217"/>
  <c r="F120" i="217"/>
  <c r="N119" i="217"/>
  <c r="N118" i="217"/>
  <c r="F118" i="217"/>
  <c r="N117" i="217"/>
  <c r="F117" i="217"/>
  <c r="N116" i="217"/>
  <c r="F116" i="217"/>
  <c r="F115" i="217"/>
  <c r="N114" i="217"/>
  <c r="N113" i="217" s="1"/>
  <c r="F114" i="217"/>
  <c r="F113" i="217"/>
  <c r="N112" i="217"/>
  <c r="N111" i="217" s="1"/>
  <c r="F112" i="217"/>
  <c r="F111" i="217"/>
  <c r="N110" i="217"/>
  <c r="N109" i="217" s="1"/>
  <c r="F109" i="217"/>
  <c r="F108" i="217" s="1"/>
  <c r="N108" i="217"/>
  <c r="N107" i="217"/>
  <c r="N106" i="217"/>
  <c r="F106" i="217"/>
  <c r="N105" i="217"/>
  <c r="F105" i="217"/>
  <c r="F104" i="217" s="1"/>
  <c r="N103" i="217"/>
  <c r="F103" i="217"/>
  <c r="N102" i="217"/>
  <c r="F102" i="217"/>
  <c r="N101" i="217"/>
  <c r="F101" i="217"/>
  <c r="F100" i="217"/>
  <c r="N99" i="217"/>
  <c r="N98" i="217"/>
  <c r="F98" i="217"/>
  <c r="F97" i="217"/>
  <c r="N96" i="217"/>
  <c r="N95" i="217" s="1"/>
  <c r="F96" i="217"/>
  <c r="N94" i="217"/>
  <c r="F94" i="217"/>
  <c r="F92" i="217" s="1"/>
  <c r="N93" i="217"/>
  <c r="F93" i="217"/>
  <c r="F91" i="217"/>
  <c r="F90" i="217" s="1"/>
  <c r="N90" i="217"/>
  <c r="F89" i="217"/>
  <c r="N88" i="217"/>
  <c r="F88" i="217"/>
  <c r="N87" i="217"/>
  <c r="N86" i="217"/>
  <c r="F85" i="217"/>
  <c r="F84" i="217" s="1"/>
  <c r="N84" i="217"/>
  <c r="N83" i="217" s="1"/>
  <c r="F83" i="217"/>
  <c r="N82" i="217"/>
  <c r="F82" i="217"/>
  <c r="N81" i="217"/>
  <c r="F81" i="217"/>
  <c r="N80" i="217"/>
  <c r="F79" i="217"/>
  <c r="F78" i="217" s="1"/>
  <c r="N78" i="217"/>
  <c r="N77" i="217"/>
  <c r="F77" i="217"/>
  <c r="F76" i="217"/>
  <c r="F75" i="217"/>
  <c r="N74" i="217"/>
  <c r="N73" i="217" s="1"/>
  <c r="F73" i="217"/>
  <c r="N72" i="217"/>
  <c r="N71" i="217" s="1"/>
  <c r="F72" i="217"/>
  <c r="N70" i="217"/>
  <c r="N69" i="217"/>
  <c r="F69" i="217"/>
  <c r="F68" i="217" s="1"/>
  <c r="N68" i="217"/>
  <c r="N67" i="217"/>
  <c r="F67" i="217"/>
  <c r="F66" i="217" s="1"/>
  <c r="N65" i="217"/>
  <c r="F65" i="217"/>
  <c r="N64" i="217"/>
  <c r="F64" i="217"/>
  <c r="F63" i="217"/>
  <c r="F62" i="217"/>
  <c r="N61" i="217"/>
  <c r="N60" i="217"/>
  <c r="F60" i="217"/>
  <c r="F59" i="217"/>
  <c r="N58" i="217"/>
  <c r="N57" i="217"/>
  <c r="F56" i="217"/>
  <c r="N55" i="217"/>
  <c r="F55" i="217"/>
  <c r="N54" i="217"/>
  <c r="N52" i="217"/>
  <c r="N51" i="217"/>
  <c r="F51" i="217"/>
  <c r="N50" i="217"/>
  <c r="F50" i="217"/>
  <c r="N49" i="217"/>
  <c r="F49" i="217"/>
  <c r="N48" i="217"/>
  <c r="F47" i="217"/>
  <c r="N46" i="217"/>
  <c r="F46" i="217"/>
  <c r="N45" i="217"/>
  <c r="F45" i="217"/>
  <c r="N44" i="217"/>
  <c r="F44" i="217"/>
  <c r="F43" i="217"/>
  <c r="N42" i="217"/>
  <c r="N41" i="217" s="1"/>
  <c r="F41" i="217"/>
  <c r="F40" i="217"/>
  <c r="N39" i="217"/>
  <c r="F39" i="217"/>
  <c r="N38" i="217"/>
  <c r="N37" i="217"/>
  <c r="F37" i="217"/>
  <c r="F36" i="217" s="1"/>
  <c r="N36" i="217"/>
  <c r="N34" i="217"/>
  <c r="F34" i="217"/>
  <c r="N33" i="217"/>
  <c r="F33" i="217"/>
  <c r="F32" i="217"/>
  <c r="N31" i="217"/>
  <c r="N30" i="217" s="1"/>
  <c r="F31" i="217"/>
  <c r="N29" i="217"/>
  <c r="F29" i="217"/>
  <c r="N28" i="217"/>
  <c r="F28" i="217"/>
  <c r="N27" i="217"/>
  <c r="F27" i="217"/>
  <c r="N26" i="217"/>
  <c r="F26" i="217"/>
  <c r="N25" i="217"/>
  <c r="F25" i="217"/>
  <c r="N23" i="217"/>
  <c r="N22" i="217" s="1"/>
  <c r="F23" i="217"/>
  <c r="F22" i="217" s="1"/>
  <c r="N21" i="217"/>
  <c r="N20" i="217" s="1"/>
  <c r="F21" i="217"/>
  <c r="F20" i="217" s="1"/>
  <c r="N19" i="217"/>
  <c r="F19" i="217"/>
  <c r="N18" i="217"/>
  <c r="F18" i="217"/>
  <c r="N17" i="217"/>
  <c r="F17" i="217"/>
  <c r="N16" i="217"/>
  <c r="F16" i="217"/>
  <c r="N15" i="217"/>
  <c r="F15" i="217"/>
  <c r="N13" i="217"/>
  <c r="F13" i="217"/>
  <c r="N12" i="217"/>
  <c r="N11" i="217" s="1"/>
  <c r="F12" i="217"/>
  <c r="F250" i="216"/>
  <c r="F249" i="216"/>
  <c r="F248" i="216"/>
  <c r="F247" i="216"/>
  <c r="F246" i="216"/>
  <c r="F244" i="216"/>
  <c r="F243" i="216"/>
  <c r="F242" i="216"/>
  <c r="F240" i="216"/>
  <c r="F239" i="216" s="1"/>
  <c r="F238" i="216"/>
  <c r="F237" i="216" s="1"/>
  <c r="F235" i="216"/>
  <c r="F234" i="216" s="1"/>
  <c r="F233" i="216"/>
  <c r="F232" i="216" s="1"/>
  <c r="F231" i="216"/>
  <c r="F230" i="216"/>
  <c r="F229" i="216"/>
  <c r="F226" i="216"/>
  <c r="F225" i="216" s="1"/>
  <c r="F224" i="216"/>
  <c r="F223" i="216"/>
  <c r="F221" i="216"/>
  <c r="F220" i="216" s="1"/>
  <c r="F219" i="216"/>
  <c r="F218" i="216" s="1"/>
  <c r="F217" i="216"/>
  <c r="F216" i="216" s="1"/>
  <c r="F214" i="216"/>
  <c r="F213" i="216"/>
  <c r="F212" i="216"/>
  <c r="F210" i="216"/>
  <c r="F209" i="216" s="1"/>
  <c r="F204" i="216"/>
  <c r="F203" i="216"/>
  <c r="F202" i="216"/>
  <c r="F201" i="216"/>
  <c r="F199" i="216"/>
  <c r="F198" i="216" s="1"/>
  <c r="F197" i="216"/>
  <c r="F196" i="216"/>
  <c r="F194" i="216"/>
  <c r="F193" i="216"/>
  <c r="F192" i="216"/>
  <c r="F190" i="216"/>
  <c r="F189" i="216" s="1"/>
  <c r="F187" i="216"/>
  <c r="F186" i="216"/>
  <c r="F185" i="216"/>
  <c r="F184" i="216"/>
  <c r="F183" i="216"/>
  <c r="F182" i="216"/>
  <c r="F177" i="216"/>
  <c r="F176" i="216"/>
  <c r="F175" i="216"/>
  <c r="F174" i="216"/>
  <c r="F171" i="216"/>
  <c r="F170" i="216"/>
  <c r="F166" i="216"/>
  <c r="F165" i="216"/>
  <c r="F163" i="216"/>
  <c r="F162" i="216"/>
  <c r="F161" i="216"/>
  <c r="F159" i="216"/>
  <c r="F158" i="216" s="1"/>
  <c r="F155" i="216"/>
  <c r="F154" i="216"/>
  <c r="F152" i="216"/>
  <c r="F151" i="216" s="1"/>
  <c r="F150" i="216"/>
  <c r="F149" i="216"/>
  <c r="F147" i="216"/>
  <c r="F146" i="216" s="1"/>
  <c r="F145" i="216"/>
  <c r="F144" i="216"/>
  <c r="F143" i="216"/>
  <c r="F142" i="216"/>
  <c r="F141" i="216"/>
  <c r="F140" i="216"/>
  <c r="F139" i="216"/>
  <c r="F137" i="216"/>
  <c r="F136" i="216" s="1"/>
  <c r="F135" i="216"/>
  <c r="F134" i="216" s="1"/>
  <c r="F133" i="216"/>
  <c r="F132" i="216"/>
  <c r="F131" i="216"/>
  <c r="F128" i="216"/>
  <c r="F127" i="216"/>
  <c r="F126" i="216"/>
  <c r="F124" i="216"/>
  <c r="F123" i="216"/>
  <c r="F122" i="216"/>
  <c r="F120" i="216"/>
  <c r="F119" i="216" s="1"/>
  <c r="F118" i="216"/>
  <c r="F117" i="216"/>
  <c r="F116" i="216" s="1"/>
  <c r="F115" i="216"/>
  <c r="F114" i="216"/>
  <c r="F113" i="216"/>
  <c r="F112" i="216"/>
  <c r="F110" i="216"/>
  <c r="F109" i="216"/>
  <c r="F107" i="216"/>
  <c r="F106" i="216" s="1"/>
  <c r="F104" i="216"/>
  <c r="F103" i="216"/>
  <c r="F102" i="216"/>
  <c r="F101" i="216"/>
  <c r="F100" i="216"/>
  <c r="F99" i="216"/>
  <c r="F98" i="216"/>
  <c r="F96" i="216"/>
  <c r="F95" i="216"/>
  <c r="F94" i="216"/>
  <c r="F92" i="216"/>
  <c r="F91" i="216"/>
  <c r="F89" i="216"/>
  <c r="F88" i="216"/>
  <c r="F87" i="216"/>
  <c r="F83" i="216"/>
  <c r="F82" i="216" s="1"/>
  <c r="F81" i="216"/>
  <c r="F80" i="216"/>
  <c r="F79" i="216"/>
  <c r="F78" i="216"/>
  <c r="F77" i="216"/>
  <c r="F76" i="216"/>
  <c r="F74" i="216"/>
  <c r="F73" i="216"/>
  <c r="F72" i="216"/>
  <c r="F71" i="216"/>
  <c r="F70" i="216"/>
  <c r="F69" i="216"/>
  <c r="F68" i="216"/>
  <c r="F67" i="216"/>
  <c r="F66" i="216"/>
  <c r="F64" i="216"/>
  <c r="F63" i="216"/>
  <c r="F61" i="216"/>
  <c r="F60" i="216" s="1"/>
  <c r="F59" i="216"/>
  <c r="F58" i="216"/>
  <c r="F57" i="216"/>
  <c r="F54" i="216"/>
  <c r="F53" i="216"/>
  <c r="F50" i="216"/>
  <c r="F49" i="216"/>
  <c r="F48" i="216"/>
  <c r="F46" i="216"/>
  <c r="F45" i="216"/>
  <c r="F44" i="216"/>
  <c r="F42" i="216"/>
  <c r="F41" i="216" s="1"/>
  <c r="F40" i="216"/>
  <c r="F39" i="216"/>
  <c r="F38" i="216"/>
  <c r="F37" i="216"/>
  <c r="F36" i="216"/>
  <c r="F34" i="216"/>
  <c r="F33" i="216" s="1"/>
  <c r="F32" i="216"/>
  <c r="F31" i="216"/>
  <c r="F29" i="216"/>
  <c r="F28" i="216"/>
  <c r="F26" i="216"/>
  <c r="F25" i="216"/>
  <c r="F23" i="216"/>
  <c r="F22" i="216" s="1"/>
  <c r="F21" i="216"/>
  <c r="F20" i="216" s="1"/>
  <c r="F19" i="216"/>
  <c r="F18" i="216"/>
  <c r="F17" i="216" s="1"/>
  <c r="F16" i="216"/>
  <c r="F15" i="216"/>
  <c r="F13" i="216"/>
  <c r="F12" i="216" s="1"/>
  <c r="F11" i="216"/>
  <c r="F10" i="216" s="1"/>
  <c r="N190" i="218"/>
  <c r="F153" i="216"/>
  <c r="N14" i="218"/>
  <c r="F71" i="217"/>
  <c r="D190" i="215"/>
  <c r="F190" i="215" s="1"/>
  <c r="I190" i="215" s="1"/>
  <c r="K190" i="215" s="1"/>
  <c r="D189" i="215"/>
  <c r="F189" i="215" s="1"/>
  <c r="I189" i="215" s="1"/>
  <c r="K189" i="215" s="1"/>
  <c r="D188" i="215"/>
  <c r="F188" i="215" s="1"/>
  <c r="I188" i="215" s="1"/>
  <c r="K188" i="215" s="1"/>
  <c r="D163" i="215"/>
  <c r="F163" i="215" s="1"/>
  <c r="I163" i="215" s="1"/>
  <c r="D162" i="215"/>
  <c r="F162" i="215" s="1"/>
  <c r="I162" i="215" s="1"/>
  <c r="K162" i="215" s="1"/>
  <c r="D184" i="215"/>
  <c r="F184" i="215" s="1"/>
  <c r="I184" i="215" s="1"/>
  <c r="K184" i="215" s="1"/>
  <c r="K185" i="215" s="1"/>
  <c r="D153" i="215"/>
  <c r="F153" i="215" s="1"/>
  <c r="I153" i="215" s="1"/>
  <c r="K153" i="215" s="1"/>
  <c r="D158" i="215"/>
  <c r="F158" i="215" s="1"/>
  <c r="I158" i="215" s="1"/>
  <c r="K158" i="215" s="1"/>
  <c r="D157" i="215"/>
  <c r="F157" i="215" s="1"/>
  <c r="I157" i="215" s="1"/>
  <c r="K157" i="215" s="1"/>
  <c r="D156" i="215"/>
  <c r="F156" i="215" s="1"/>
  <c r="I156" i="215" s="1"/>
  <c r="K156" i="215" s="1"/>
  <c r="D80" i="41"/>
  <c r="F80" i="41" s="1"/>
  <c r="R51" i="210"/>
  <c r="R52" i="210" s="1"/>
  <c r="R53" i="210" s="1"/>
  <c r="R54" i="210" s="1"/>
  <c r="R55" i="210" s="1"/>
  <c r="R56" i="210" s="1"/>
  <c r="R57" i="210" s="1"/>
  <c r="R58" i="210" s="1"/>
  <c r="R59" i="210" s="1"/>
  <c r="R60" i="210" s="1"/>
  <c r="R61" i="210" s="1"/>
  <c r="R62" i="210" s="1"/>
  <c r="C105" i="215"/>
  <c r="D61" i="225" s="1"/>
  <c r="I61" i="225" s="1"/>
  <c r="C62" i="215"/>
  <c r="S110" i="201"/>
  <c r="S109" i="201"/>
  <c r="S108" i="201"/>
  <c r="S107" i="201"/>
  <c r="S106" i="201"/>
  <c r="S105" i="201"/>
  <c r="S100" i="201"/>
  <c r="S99" i="201"/>
  <c r="S98" i="201"/>
  <c r="S97" i="201"/>
  <c r="S91" i="201"/>
  <c r="S90" i="201"/>
  <c r="S89" i="201"/>
  <c r="S88" i="201"/>
  <c r="S87" i="201"/>
  <c r="S86" i="201"/>
  <c r="AS91" i="201"/>
  <c r="AS90" i="201"/>
  <c r="AS89" i="201"/>
  <c r="AS88" i="201"/>
  <c r="AS87" i="201"/>
  <c r="AS86" i="201"/>
  <c r="S78" i="201"/>
  <c r="X337" i="199"/>
  <c r="AC337" i="199" s="1"/>
  <c r="AH337" i="199" s="1"/>
  <c r="X336" i="199"/>
  <c r="AC336" i="199" s="1"/>
  <c r="AH336" i="199" s="1"/>
  <c r="R538" i="199"/>
  <c r="O538" i="199"/>
  <c r="B22" i="21"/>
  <c r="B23" i="21"/>
  <c r="B24" i="21"/>
  <c r="B25" i="21"/>
  <c r="B26" i="21"/>
  <c r="B27" i="21"/>
  <c r="B28" i="21"/>
  <c r="B29" i="21"/>
  <c r="B30" i="21"/>
  <c r="B31" i="21"/>
  <c r="B32" i="21"/>
  <c r="B21" i="21"/>
  <c r="H11" i="21"/>
  <c r="H10" i="21"/>
  <c r="I14" i="210"/>
  <c r="I17" i="210" s="1"/>
  <c r="Q25" i="201"/>
  <c r="H9" i="21" s="1"/>
  <c r="V157" i="199"/>
  <c r="L164" i="199" s="1"/>
  <c r="V156" i="199"/>
  <c r="V154" i="199"/>
  <c r="V153" i="199"/>
  <c r="V149" i="199"/>
  <c r="V148" i="199"/>
  <c r="O63" i="201"/>
  <c r="O64" i="201" s="1"/>
  <c r="AM56" i="201"/>
  <c r="AM57" i="201" s="1"/>
  <c r="O56" i="201"/>
  <c r="O57" i="201" s="1"/>
  <c r="O47" i="201"/>
  <c r="O48" i="201" s="1"/>
  <c r="AM40" i="201"/>
  <c r="AM41" i="201" s="1"/>
  <c r="O40" i="201"/>
  <c r="O41" i="201" s="1"/>
  <c r="R157" i="199"/>
  <c r="R156" i="199"/>
  <c r="R153" i="199"/>
  <c r="R149" i="199"/>
  <c r="R148" i="199"/>
  <c r="AE110" i="199"/>
  <c r="AE109" i="199"/>
  <c r="AE119" i="199"/>
  <c r="AE118" i="199"/>
  <c r="D29" i="202"/>
  <c r="C9" i="202"/>
  <c r="C10" i="202" s="1"/>
  <c r="E7" i="202"/>
  <c r="D7" i="202"/>
  <c r="C8" i="202"/>
  <c r="C7" i="202"/>
  <c r="AE92" i="199"/>
  <c r="AE91" i="199"/>
  <c r="AE90" i="199"/>
  <c r="AE89" i="199"/>
  <c r="AE87" i="199"/>
  <c r="AE85" i="199"/>
  <c r="AE83" i="199"/>
  <c r="AS81" i="201"/>
  <c r="AS80" i="201"/>
  <c r="AS79" i="201"/>
  <c r="AS78" i="201"/>
  <c r="S81" i="201"/>
  <c r="S80" i="201"/>
  <c r="S79" i="201"/>
  <c r="L67" i="201"/>
  <c r="AJ60" i="201"/>
  <c r="AJ44" i="201"/>
  <c r="L44" i="201"/>
  <c r="AE103" i="199" s="1"/>
  <c r="AE84" i="199"/>
  <c r="B16" i="201"/>
  <c r="B14" i="201"/>
  <c r="K44" i="225"/>
  <c r="K43" i="225" s="1"/>
  <c r="L44" i="225"/>
  <c r="L43" i="225" s="1"/>
  <c r="J44" i="225"/>
  <c r="J43" i="225" s="1"/>
  <c r="I85" i="225"/>
  <c r="L85" i="225"/>
  <c r="J85" i="225"/>
  <c r="K85" i="225"/>
  <c r="W271" i="201"/>
  <c r="W265" i="201"/>
  <c r="W260" i="201"/>
  <c r="W249" i="201"/>
  <c r="W241" i="201"/>
  <c r="W228" i="201"/>
  <c r="W212" i="201"/>
  <c r="W196" i="201"/>
  <c r="W193" i="201"/>
  <c r="AA126" i="201"/>
  <c r="AT126" i="201" s="1"/>
  <c r="AA123" i="201"/>
  <c r="AT123" i="201" s="1"/>
  <c r="W635" i="199"/>
  <c r="AC225" i="199"/>
  <c r="O67" i="199"/>
  <c r="O66" i="199"/>
  <c r="O65" i="199"/>
  <c r="J165" i="215"/>
  <c r="J159" i="215"/>
  <c r="O66" i="100"/>
  <c r="N66" i="100"/>
  <c r="M66" i="100"/>
  <c r="L66" i="100"/>
  <c r="K66" i="100"/>
  <c r="J66" i="100"/>
  <c r="I66" i="100"/>
  <c r="H66" i="100"/>
  <c r="G66" i="100"/>
  <c r="F66" i="100"/>
  <c r="B31" i="106"/>
  <c r="B41" i="106" s="1"/>
  <c r="C20" i="106"/>
  <c r="I44" i="225"/>
  <c r="I43" i="225" s="1"/>
  <c r="AA433" i="199"/>
  <c r="U546" i="199" s="1"/>
  <c r="AA446" i="199"/>
  <c r="AA447" i="199" s="1"/>
  <c r="AA448" i="199" s="1"/>
  <c r="M143" i="41" l="1"/>
  <c r="O25" i="100" s="1"/>
  <c r="N224" i="218"/>
  <c r="N116" i="218"/>
  <c r="N76" i="217"/>
  <c r="N11" i="218"/>
  <c r="B325" i="225"/>
  <c r="C179" i="41"/>
  <c r="K178" i="41"/>
  <c r="N43" i="217"/>
  <c r="F70" i="218"/>
  <c r="B371" i="225"/>
  <c r="AO673" i="199"/>
  <c r="F62" i="216"/>
  <c r="N100" i="217"/>
  <c r="J475" i="225"/>
  <c r="F11" i="217"/>
  <c r="F110" i="217"/>
  <c r="F43" i="216"/>
  <c r="F56" i="216"/>
  <c r="F14" i="216"/>
  <c r="F86" i="216"/>
  <c r="F108" i="216"/>
  <c r="F228" i="216"/>
  <c r="G14" i="210"/>
  <c r="G21" i="210" s="1"/>
  <c r="N32" i="217"/>
  <c r="N70" i="218"/>
  <c r="F114" i="218"/>
  <c r="B368" i="225"/>
  <c r="N63" i="217"/>
  <c r="N296" i="218"/>
  <c r="N427" i="218"/>
  <c r="M406" i="215"/>
  <c r="X482" i="199"/>
  <c r="AD482" i="199" s="1"/>
  <c r="AW595" i="199" s="1"/>
  <c r="J292" i="225"/>
  <c r="N417" i="218"/>
  <c r="F121" i="216"/>
  <c r="W264" i="201"/>
  <c r="Q642" i="199" s="1"/>
  <c r="T642" i="199" s="1"/>
  <c r="W642" i="199" s="1"/>
  <c r="Z642" i="199" s="1"/>
  <c r="AC642" i="199" s="1"/>
  <c r="AF642" i="199" s="1"/>
  <c r="AI642" i="199" s="1"/>
  <c r="AL642" i="199" s="1"/>
  <c r="AO642" i="199" s="1"/>
  <c r="AR642" i="199" s="1"/>
  <c r="N258" i="218"/>
  <c r="N279" i="218"/>
  <c r="N301" i="218"/>
  <c r="F90" i="216"/>
  <c r="N59" i="217"/>
  <c r="F80" i="217"/>
  <c r="J418" i="225"/>
  <c r="N53" i="217"/>
  <c r="G752" i="199"/>
  <c r="AO629" i="199"/>
  <c r="AI666" i="199"/>
  <c r="AC666" i="199"/>
  <c r="AI673" i="199"/>
  <c r="AI652" i="199"/>
  <c r="AF629" i="199"/>
  <c r="AC629" i="199"/>
  <c r="AE111" i="199"/>
  <c r="K379" i="225"/>
  <c r="I328" i="225"/>
  <c r="R558" i="199"/>
  <c r="F274" i="213"/>
  <c r="G274" i="213" s="1"/>
  <c r="I274" i="213" s="1"/>
  <c r="F468" i="215"/>
  <c r="F469" i="215" s="1"/>
  <c r="G467" i="215"/>
  <c r="D435" i="215"/>
  <c r="F528" i="215"/>
  <c r="G528" i="215" s="1"/>
  <c r="K363" i="225"/>
  <c r="K345" i="225"/>
  <c r="K340" i="225"/>
  <c r="I414" i="225"/>
  <c r="G66" i="219"/>
  <c r="B291" i="225"/>
  <c r="B278" i="225"/>
  <c r="B289" i="225"/>
  <c r="B279" i="225"/>
  <c r="B282" i="225"/>
  <c r="B352" i="225"/>
  <c r="B365" i="225"/>
  <c r="B327" i="225"/>
  <c r="I348" i="213"/>
  <c r="AG482" i="199" s="1"/>
  <c r="T40" i="201"/>
  <c r="V40" i="201" s="1"/>
  <c r="J219" i="225"/>
  <c r="J179" i="41"/>
  <c r="I345" i="213"/>
  <c r="AG479" i="199" s="1"/>
  <c r="D62" i="215"/>
  <c r="E62" i="215" s="1"/>
  <c r="E102" i="215" s="1"/>
  <c r="C102" i="215"/>
  <c r="F125" i="216"/>
  <c r="F245" i="216"/>
  <c r="N14" i="217"/>
  <c r="F42" i="217"/>
  <c r="F48" i="217"/>
  <c r="F54" i="217"/>
  <c r="N66" i="217"/>
  <c r="N62" i="217" s="1"/>
  <c r="N85" i="217"/>
  <c r="N45" i="218"/>
  <c r="F122" i="218"/>
  <c r="N251" i="218"/>
  <c r="N394" i="218"/>
  <c r="E506" i="215"/>
  <c r="E262" i="213" s="1"/>
  <c r="E199" i="213"/>
  <c r="U563" i="199"/>
  <c r="I336" i="213"/>
  <c r="AG473" i="199" s="1"/>
  <c r="AT508" i="199" s="1"/>
  <c r="K328" i="225"/>
  <c r="K349" i="225"/>
  <c r="K458" i="225"/>
  <c r="G54" i="219"/>
  <c r="X479" i="199"/>
  <c r="AD479" i="199" s="1"/>
  <c r="AW592" i="199" s="1"/>
  <c r="AO666" i="199"/>
  <c r="F503" i="215"/>
  <c r="D297" i="215"/>
  <c r="X473" i="199"/>
  <c r="AD473" i="199" s="1"/>
  <c r="AW586" i="199" s="1"/>
  <c r="I222" i="225"/>
  <c r="J278" i="225"/>
  <c r="L340" i="225"/>
  <c r="L345" i="225"/>
  <c r="L392" i="225"/>
  <c r="G82" i="219"/>
  <c r="G86" i="219" s="1"/>
  <c r="AT514" i="199" s="1"/>
  <c r="AS532" i="199" s="1"/>
  <c r="G751" i="199"/>
  <c r="E317" i="213"/>
  <c r="G317" i="213" s="1"/>
  <c r="I317" i="213" s="1"/>
  <c r="K156" i="225"/>
  <c r="AC673" i="199"/>
  <c r="N101" i="218"/>
  <c r="N433" i="218"/>
  <c r="G314" i="213"/>
  <c r="I314" i="213" s="1"/>
  <c r="I223" i="225"/>
  <c r="I349" i="225"/>
  <c r="I363" i="225"/>
  <c r="I458" i="225"/>
  <c r="AC645" i="199"/>
  <c r="L436" i="225"/>
  <c r="K219" i="225"/>
  <c r="E143" i="41"/>
  <c r="G25" i="100" s="1"/>
  <c r="E172" i="41"/>
  <c r="AI629" i="199"/>
  <c r="AC652" i="199"/>
  <c r="K436" i="225"/>
  <c r="F26" i="218"/>
  <c r="F45" i="218"/>
  <c r="F82" i="218"/>
  <c r="F81" i="218" s="1"/>
  <c r="N85" i="218"/>
  <c r="F97" i="218"/>
  <c r="N108" i="218"/>
  <c r="N262" i="218"/>
  <c r="N348" i="218"/>
  <c r="N436" i="218"/>
  <c r="N457" i="218"/>
  <c r="N403" i="215"/>
  <c r="I337" i="213"/>
  <c r="AG474" i="199" s="1"/>
  <c r="G785" i="199"/>
  <c r="I273" i="225"/>
  <c r="I272" i="225" s="1"/>
  <c r="I295" i="225"/>
  <c r="J328" i="225"/>
  <c r="J363" i="225"/>
  <c r="J458" i="225"/>
  <c r="F220" i="225"/>
  <c r="G220" i="225" s="1"/>
  <c r="L220" i="225" s="1"/>
  <c r="G143" i="41"/>
  <c r="I25" i="100" s="1"/>
  <c r="AR629" i="199"/>
  <c r="AF666" i="199"/>
  <c r="F297" i="225"/>
  <c r="G297" i="225" s="1"/>
  <c r="L297" i="225" s="1"/>
  <c r="F394" i="215"/>
  <c r="F160" i="213" s="1"/>
  <c r="G160" i="213" s="1"/>
  <c r="I160" i="213" s="1"/>
  <c r="F164" i="216"/>
  <c r="F143" i="218"/>
  <c r="T56" i="201"/>
  <c r="V56" i="201" s="1"/>
  <c r="N373" i="218"/>
  <c r="X468" i="199"/>
  <c r="AD468" i="199" s="1"/>
  <c r="AW581" i="199" s="1"/>
  <c r="E224" i="213"/>
  <c r="J293" i="225"/>
  <c r="J349" i="225"/>
  <c r="F52" i="216"/>
  <c r="F97" i="216"/>
  <c r="F130" i="216"/>
  <c r="F73" i="218"/>
  <c r="B261" i="199"/>
  <c r="B339" i="215" s="1"/>
  <c r="M179" i="41"/>
  <c r="J84" i="225"/>
  <c r="R146" i="199"/>
  <c r="E8" i="202"/>
  <c r="L162" i="199" s="1"/>
  <c r="X212" i="199" s="1"/>
  <c r="I20" i="210"/>
  <c r="J20" i="210" s="1"/>
  <c r="F139" i="218"/>
  <c r="N212" i="218"/>
  <c r="N313" i="218"/>
  <c r="N365" i="218"/>
  <c r="N386" i="218"/>
  <c r="N451" i="218"/>
  <c r="I330" i="213"/>
  <c r="AG467" i="199" s="1"/>
  <c r="X466" i="199"/>
  <c r="AD466" i="199" s="1"/>
  <c r="AW579" i="199" s="1"/>
  <c r="L328" i="225"/>
  <c r="L349" i="225"/>
  <c r="L363" i="225"/>
  <c r="L458" i="225"/>
  <c r="K395" i="225"/>
  <c r="I475" i="225"/>
  <c r="N89" i="218"/>
  <c r="N104" i="218"/>
  <c r="F248" i="225"/>
  <c r="G248" i="225" s="1"/>
  <c r="L248" i="225" s="1"/>
  <c r="L247" i="225" s="1"/>
  <c r="E190" i="213"/>
  <c r="X452" i="199" s="1"/>
  <c r="AD452" i="199" s="1"/>
  <c r="AW565" i="199" s="1"/>
  <c r="J303" i="225"/>
  <c r="J302" i="225" s="1"/>
  <c r="J178" i="41"/>
  <c r="J181" i="41" s="1"/>
  <c r="K84" i="225"/>
  <c r="C25" i="202"/>
  <c r="F195" i="216"/>
  <c r="N115" i="217"/>
  <c r="N37" i="218"/>
  <c r="N275" i="218"/>
  <c r="G503" i="215"/>
  <c r="I329" i="213"/>
  <c r="AG466" i="199" s="1"/>
  <c r="X467" i="199"/>
  <c r="AD467" i="199" s="1"/>
  <c r="AW580" i="199" s="1"/>
  <c r="K179" i="41"/>
  <c r="K181" i="41" s="1"/>
  <c r="L84" i="225"/>
  <c r="E31" i="210"/>
  <c r="E21" i="21" s="1"/>
  <c r="S111" i="201"/>
  <c r="F95" i="217"/>
  <c r="N113" i="218"/>
  <c r="N124" i="218"/>
  <c r="F135" i="218"/>
  <c r="N156" i="218"/>
  <c r="E315" i="213"/>
  <c r="G315" i="213" s="1"/>
  <c r="I315" i="213" s="1"/>
  <c r="X475" i="199"/>
  <c r="AD475" i="199" s="1"/>
  <c r="AW588" i="199" s="1"/>
  <c r="J282" i="225"/>
  <c r="J306" i="225"/>
  <c r="I340" i="225"/>
  <c r="I345" i="225"/>
  <c r="I379" i="225"/>
  <c r="I392" i="225"/>
  <c r="J8" i="225"/>
  <c r="K443" i="225"/>
  <c r="L418" i="225"/>
  <c r="R143" i="199"/>
  <c r="F169" i="216"/>
  <c r="F168" i="216" s="1"/>
  <c r="N56" i="217"/>
  <c r="N104" i="217"/>
  <c r="N208" i="218"/>
  <c r="K293" i="225"/>
  <c r="C178" i="41"/>
  <c r="C181" i="41" s="1"/>
  <c r="G179" i="41"/>
  <c r="G96" i="219"/>
  <c r="G100" i="219" s="1"/>
  <c r="E23" i="100" s="1"/>
  <c r="E64" i="100" s="1"/>
  <c r="I84" i="225"/>
  <c r="I24" i="210"/>
  <c r="J24" i="210" s="1"/>
  <c r="F14" i="217"/>
  <c r="F87" i="218"/>
  <c r="N94" i="218"/>
  <c r="F105" i="218"/>
  <c r="G20" i="219"/>
  <c r="E19" i="100" s="1"/>
  <c r="E60" i="100" s="1"/>
  <c r="Q779" i="199"/>
  <c r="I338" i="213"/>
  <c r="AG475" i="199" s="1"/>
  <c r="X474" i="199"/>
  <c r="AD474" i="199" s="1"/>
  <c r="AW587" i="199" s="1"/>
  <c r="J291" i="225"/>
  <c r="J294" i="225"/>
  <c r="K306" i="225"/>
  <c r="J340" i="225"/>
  <c r="J345" i="225"/>
  <c r="J392" i="225"/>
  <c r="D143" i="41"/>
  <c r="F25" i="100" s="1"/>
  <c r="U528" i="199"/>
  <c r="U534" i="199" s="1"/>
  <c r="G319" i="213"/>
  <c r="I319" i="213" s="1"/>
  <c r="I347" i="213"/>
  <c r="AG481" i="199" s="1"/>
  <c r="I327" i="213"/>
  <c r="AG464" i="199" s="1"/>
  <c r="I331" i="213"/>
  <c r="AG468" i="199" s="1"/>
  <c r="X464" i="199"/>
  <c r="AD464" i="199" s="1"/>
  <c r="AW577" i="199" s="1"/>
  <c r="X481" i="199"/>
  <c r="AD481" i="199" s="1"/>
  <c r="AW594" i="199" s="1"/>
  <c r="G277" i="225"/>
  <c r="L277" i="225" s="1"/>
  <c r="K277" i="225"/>
  <c r="E88" i="41"/>
  <c r="I88" i="41" s="1"/>
  <c r="H88" i="41"/>
  <c r="D159" i="225"/>
  <c r="E159" i="225" s="1"/>
  <c r="E158" i="225"/>
  <c r="I158" i="225"/>
  <c r="AR40" i="201"/>
  <c r="AT40" i="201" s="1"/>
  <c r="F125" i="218"/>
  <c r="N128" i="218"/>
  <c r="N134" i="218"/>
  <c r="F153" i="218"/>
  <c r="N167" i="218"/>
  <c r="N171" i="218"/>
  <c r="N176" i="218"/>
  <c r="N187" i="218"/>
  <c r="N193" i="218"/>
  <c r="N198" i="218"/>
  <c r="N205" i="218"/>
  <c r="N228" i="218"/>
  <c r="N233" i="218"/>
  <c r="N242" i="218"/>
  <c r="N283" i="218"/>
  <c r="N292" i="218"/>
  <c r="N304" i="218"/>
  <c r="N317" i="218"/>
  <c r="N322" i="218"/>
  <c r="N333" i="218"/>
  <c r="N338" i="218"/>
  <c r="N430" i="218"/>
  <c r="M408" i="215"/>
  <c r="M405" i="215"/>
  <c r="N405" i="215" s="1"/>
  <c r="E140" i="213"/>
  <c r="G140" i="213" s="1"/>
  <c r="I140" i="213" s="1"/>
  <c r="J217" i="225"/>
  <c r="I239" i="225"/>
  <c r="I276" i="225"/>
  <c r="J287" i="225"/>
  <c r="E178" i="41"/>
  <c r="L475" i="225"/>
  <c r="N164" i="41"/>
  <c r="F200" i="216"/>
  <c r="F24" i="217"/>
  <c r="N21" i="218"/>
  <c r="N26" i="218"/>
  <c r="F37" i="218"/>
  <c r="M412" i="215"/>
  <c r="F210" i="213" s="1"/>
  <c r="G210" i="213" s="1"/>
  <c r="I210" i="213" s="1"/>
  <c r="B324" i="213"/>
  <c r="E170" i="213"/>
  <c r="E155" i="213"/>
  <c r="G239" i="213"/>
  <c r="I239" i="213" s="1"/>
  <c r="I240" i="213" s="1"/>
  <c r="K273" i="225"/>
  <c r="J275" i="225"/>
  <c r="J277" i="225"/>
  <c r="K281" i="225"/>
  <c r="J285" i="225"/>
  <c r="K292" i="225"/>
  <c r="E236" i="225"/>
  <c r="J236" i="225" s="1"/>
  <c r="J235" i="225" s="1"/>
  <c r="AO652" i="199"/>
  <c r="J295" i="225"/>
  <c r="L316" i="225"/>
  <c r="K316" i="225"/>
  <c r="J447" i="225"/>
  <c r="L447" i="225"/>
  <c r="K447" i="225"/>
  <c r="J443" i="225"/>
  <c r="L443" i="225"/>
  <c r="I436" i="225"/>
  <c r="J436" i="225"/>
  <c r="I421" i="225"/>
  <c r="K418" i="225"/>
  <c r="L414" i="225"/>
  <c r="K414" i="225"/>
  <c r="J414" i="225"/>
  <c r="K403" i="225"/>
  <c r="J403" i="225"/>
  <c r="I470" i="225"/>
  <c r="F191" i="216"/>
  <c r="N35" i="217"/>
  <c r="N40" i="217"/>
  <c r="N79" i="217"/>
  <c r="F87" i="217"/>
  <c r="F99" i="217"/>
  <c r="F121" i="217"/>
  <c r="F119" i="217" s="1"/>
  <c r="N151" i="217"/>
  <c r="F11" i="218"/>
  <c r="F14" i="218"/>
  <c r="N352" i="218"/>
  <c r="N356" i="218"/>
  <c r="N368" i="218"/>
  <c r="N376" i="218"/>
  <c r="N390" i="218"/>
  <c r="N407" i="218"/>
  <c r="N412" i="218"/>
  <c r="N423" i="218"/>
  <c r="N445" i="218"/>
  <c r="N465" i="218"/>
  <c r="F209" i="213"/>
  <c r="G209" i="213" s="1"/>
  <c r="I209" i="213" s="1"/>
  <c r="M409" i="215"/>
  <c r="N409" i="215" s="1"/>
  <c r="M414" i="215"/>
  <c r="F212" i="213" s="1"/>
  <c r="G212" i="213" s="1"/>
  <c r="I212" i="213" s="1"/>
  <c r="E318" i="213"/>
  <c r="G318" i="213" s="1"/>
  <c r="I318" i="213" s="1"/>
  <c r="G511" i="215"/>
  <c r="J156" i="225"/>
  <c r="I221" i="225"/>
  <c r="K275" i="225"/>
  <c r="J305" i="225"/>
  <c r="L8" i="225"/>
  <c r="AF652" i="199"/>
  <c r="E89" i="213"/>
  <c r="X441" i="199" s="1"/>
  <c r="AD441" i="199" s="1"/>
  <c r="AW554" i="199" s="1"/>
  <c r="G88" i="213"/>
  <c r="I88" i="213" s="1"/>
  <c r="I89" i="213" s="1"/>
  <c r="AG441" i="199" s="1"/>
  <c r="D203" i="215"/>
  <c r="AM42" i="201"/>
  <c r="AR42" i="201" s="1"/>
  <c r="AT42" i="201" s="1"/>
  <c r="AR41" i="201"/>
  <c r="AT41" i="201" s="1"/>
  <c r="O49" i="201"/>
  <c r="T49" i="201" s="1"/>
  <c r="V49" i="201" s="1"/>
  <c r="T48" i="201"/>
  <c r="V48" i="201" s="1"/>
  <c r="F227" i="216"/>
  <c r="O65" i="201"/>
  <c r="O66" i="201" s="1"/>
  <c r="T66" i="201" s="1"/>
  <c r="V66" i="201" s="1"/>
  <c r="T64" i="201"/>
  <c r="V64" i="201" s="1"/>
  <c r="O58" i="201"/>
  <c r="T58" i="201" s="1"/>
  <c r="V58" i="201" s="1"/>
  <c r="T57" i="201"/>
  <c r="V57" i="201" s="1"/>
  <c r="O42" i="201"/>
  <c r="O43" i="201" s="1"/>
  <c r="T43" i="201" s="1"/>
  <c r="V43" i="201" s="1"/>
  <c r="T41" i="201"/>
  <c r="V41" i="201" s="1"/>
  <c r="AM58" i="201"/>
  <c r="AR58" i="201" s="1"/>
  <c r="AR57" i="201"/>
  <c r="AT57" i="201" s="1"/>
  <c r="U521" i="199"/>
  <c r="Y541" i="199"/>
  <c r="F275" i="213"/>
  <c r="G275" i="213" s="1"/>
  <c r="I275" i="213" s="1"/>
  <c r="J379" i="225"/>
  <c r="F153" i="225"/>
  <c r="K153" i="225" s="1"/>
  <c r="E155" i="225"/>
  <c r="F155" i="225" s="1"/>
  <c r="G287" i="225"/>
  <c r="L287" i="225" s="1"/>
  <c r="K287" i="225"/>
  <c r="N160" i="41"/>
  <c r="H178" i="41"/>
  <c r="M172" i="41"/>
  <c r="M178" i="41"/>
  <c r="M181" i="41" s="1"/>
  <c r="G178" i="41"/>
  <c r="D179" i="41"/>
  <c r="D172" i="41"/>
  <c r="E21" i="100"/>
  <c r="E62" i="100" s="1"/>
  <c r="AT513" i="199"/>
  <c r="AS531" i="199" s="1"/>
  <c r="AR56" i="201"/>
  <c r="AT56" i="201" s="1"/>
  <c r="T63" i="201"/>
  <c r="V63" i="201" s="1"/>
  <c r="E9" i="202"/>
  <c r="C15" i="210" s="1"/>
  <c r="I25" i="210"/>
  <c r="I19" i="210"/>
  <c r="J19" i="210" s="1"/>
  <c r="F58" i="217"/>
  <c r="F61" i="217"/>
  <c r="F529" i="215"/>
  <c r="G529" i="215" s="1"/>
  <c r="F531" i="215"/>
  <c r="F297" i="213" s="1"/>
  <c r="G297" i="213" s="1"/>
  <c r="I297" i="213" s="1"/>
  <c r="B287" i="199"/>
  <c r="B342" i="213" s="1"/>
  <c r="G753" i="199"/>
  <c r="G770" i="199"/>
  <c r="K266" i="199"/>
  <c r="G289" i="225"/>
  <c r="L289" i="225" s="1"/>
  <c r="K289" i="225"/>
  <c r="C172" i="41"/>
  <c r="K172" i="41"/>
  <c r="F307" i="225"/>
  <c r="G307" i="225" s="1"/>
  <c r="L307" i="225" s="1"/>
  <c r="J307" i="225"/>
  <c r="J421" i="225"/>
  <c r="L421" i="225"/>
  <c r="L403" i="225"/>
  <c r="L395" i="225"/>
  <c r="G346" i="213"/>
  <c r="I346" i="213"/>
  <c r="AG480" i="199" s="1"/>
  <c r="G39" i="219"/>
  <c r="E82" i="213"/>
  <c r="G81" i="213"/>
  <c r="I81" i="213" s="1"/>
  <c r="I82" i="213" s="1"/>
  <c r="E97" i="213"/>
  <c r="X443" i="199" s="1"/>
  <c r="Q764" i="199" s="1"/>
  <c r="T47" i="201"/>
  <c r="V47" i="201" s="1"/>
  <c r="D9" i="202"/>
  <c r="AS92" i="201"/>
  <c r="F74" i="217"/>
  <c r="F70" i="217" s="1"/>
  <c r="N92" i="217"/>
  <c r="F398" i="215"/>
  <c r="E260" i="213"/>
  <c r="E264" i="213" s="1"/>
  <c r="D87" i="41"/>
  <c r="H87" i="41" s="1"/>
  <c r="E138" i="213"/>
  <c r="E142" i="213" s="1"/>
  <c r="X447" i="199" s="1"/>
  <c r="B294" i="225"/>
  <c r="B285" i="225"/>
  <c r="B297" i="225"/>
  <c r="B287" i="225"/>
  <c r="B281" i="225"/>
  <c r="B292" i="225"/>
  <c r="B296" i="225"/>
  <c r="K262" i="199"/>
  <c r="J280" i="225"/>
  <c r="J289" i="225"/>
  <c r="I403" i="225"/>
  <c r="I418" i="225"/>
  <c r="F216" i="225"/>
  <c r="J216" i="225"/>
  <c r="F218" i="225"/>
  <c r="E221" i="225"/>
  <c r="J218" i="225"/>
  <c r="G283" i="225"/>
  <c r="L283" i="225" s="1"/>
  <c r="K283" i="225"/>
  <c r="F279" i="225"/>
  <c r="G279" i="225" s="1"/>
  <c r="L279" i="225" s="1"/>
  <c r="J279" i="225"/>
  <c r="F251" i="216"/>
  <c r="F205" i="216"/>
  <c r="K143" i="41"/>
  <c r="M25" i="100" s="1"/>
  <c r="N167" i="41"/>
  <c r="AO645" i="199"/>
  <c r="AI645" i="199"/>
  <c r="G294" i="225"/>
  <c r="L294" i="225" s="1"/>
  <c r="K294" i="225"/>
  <c r="J290" i="225"/>
  <c r="F290" i="225"/>
  <c r="K421" i="225"/>
  <c r="J395" i="225"/>
  <c r="X469" i="199"/>
  <c r="AD469" i="199" s="1"/>
  <c r="AW582" i="199" s="1"/>
  <c r="G332" i="213"/>
  <c r="G328" i="213"/>
  <c r="X465" i="199"/>
  <c r="AD465" i="199" s="1"/>
  <c r="AW578" i="199" s="1"/>
  <c r="G349" i="213"/>
  <c r="I349" i="213"/>
  <c r="AG483" i="199" s="1"/>
  <c r="X483" i="199"/>
  <c r="AD483" i="199" s="1"/>
  <c r="AW596" i="199" s="1"/>
  <c r="W211" i="201"/>
  <c r="W192" i="201" s="1"/>
  <c r="D97" i="106"/>
  <c r="I22" i="210"/>
  <c r="I23" i="210"/>
  <c r="E40" i="210" s="1"/>
  <c r="I40" i="210" s="1"/>
  <c r="B81" i="210" s="1"/>
  <c r="B98" i="210" s="1"/>
  <c r="E356" i="199" s="1"/>
  <c r="I21" i="210"/>
  <c r="J21" i="210" s="1"/>
  <c r="F24" i="216"/>
  <c r="F93" i="216"/>
  <c r="F30" i="217"/>
  <c r="F402" i="215"/>
  <c r="G402" i="215" s="1"/>
  <c r="D266" i="225" s="1"/>
  <c r="I266" i="225" s="1"/>
  <c r="F201" i="213"/>
  <c r="B382" i="225"/>
  <c r="B344" i="225"/>
  <c r="B321" i="225"/>
  <c r="B353" i="225"/>
  <c r="B320" i="225"/>
  <c r="B367" i="225"/>
  <c r="B369" i="225"/>
  <c r="J153" i="225"/>
  <c r="K280" i="225"/>
  <c r="I286" i="225"/>
  <c r="I316" i="225"/>
  <c r="I395" i="225"/>
  <c r="I8" i="225"/>
  <c r="E157" i="225"/>
  <c r="I157" i="225"/>
  <c r="G217" i="225"/>
  <c r="L217" i="225" s="1"/>
  <c r="G278" i="225"/>
  <c r="L278" i="225" s="1"/>
  <c r="K278" i="225"/>
  <c r="J172" i="41"/>
  <c r="D178" i="41"/>
  <c r="N168" i="41"/>
  <c r="G326" i="213"/>
  <c r="X463" i="199"/>
  <c r="AD463" i="199" s="1"/>
  <c r="AW576" i="199" s="1"/>
  <c r="G335" i="213"/>
  <c r="X472" i="199"/>
  <c r="AD472" i="199" s="1"/>
  <c r="AW585" i="199" s="1"/>
  <c r="I335" i="213"/>
  <c r="AG472" i="199" s="1"/>
  <c r="AT507" i="199" s="1"/>
  <c r="J288" i="225"/>
  <c r="F522" i="215"/>
  <c r="F288" i="213" s="1"/>
  <c r="G288" i="213" s="1"/>
  <c r="I288" i="213" s="1"/>
  <c r="G316" i="213"/>
  <c r="I316" i="213" s="1"/>
  <c r="D240" i="225"/>
  <c r="E240" i="225" s="1"/>
  <c r="C143" i="41"/>
  <c r="K470" i="225"/>
  <c r="E11" i="213"/>
  <c r="G11" i="213" s="1"/>
  <c r="I11" i="213" s="1"/>
  <c r="I304" i="225"/>
  <c r="L379" i="225"/>
  <c r="I443" i="225"/>
  <c r="I447" i="225"/>
  <c r="AL629" i="199"/>
  <c r="AL666" i="199"/>
  <c r="AR666" i="199"/>
  <c r="AL673" i="199"/>
  <c r="AR673" i="199"/>
  <c r="AF673" i="199"/>
  <c r="AL652" i="199"/>
  <c r="B251" i="199"/>
  <c r="C372" i="199" s="1"/>
  <c r="B496" i="199" s="1"/>
  <c r="C12" i="100" s="1"/>
  <c r="C53" i="100" s="1"/>
  <c r="AL645" i="199"/>
  <c r="AR645" i="199"/>
  <c r="AF645" i="199"/>
  <c r="AR652" i="199"/>
  <c r="G283" i="215"/>
  <c r="K259" i="199"/>
  <c r="B255" i="199"/>
  <c r="C376" i="199" s="1"/>
  <c r="B436" i="199" s="1"/>
  <c r="B549" i="199" s="1"/>
  <c r="B55" i="213"/>
  <c r="G749" i="199"/>
  <c r="U608" i="199"/>
  <c r="B218" i="213"/>
  <c r="F561" i="215"/>
  <c r="G561" i="215" s="1"/>
  <c r="F266" i="213"/>
  <c r="G266" i="213" s="1"/>
  <c r="I266" i="213" s="1"/>
  <c r="G560" i="215"/>
  <c r="T65" i="201"/>
  <c r="V65" i="201" s="1"/>
  <c r="O50" i="201"/>
  <c r="T50" i="201" s="1"/>
  <c r="V50" i="201" s="1"/>
  <c r="F204" i="213"/>
  <c r="G204" i="213" s="1"/>
  <c r="I204" i="213" s="1"/>
  <c r="N406" i="215"/>
  <c r="U559" i="199"/>
  <c r="F211" i="215"/>
  <c r="F212" i="215" s="1"/>
  <c r="D8" i="202"/>
  <c r="F30" i="216"/>
  <c r="F35" i="216"/>
  <c r="F138" i="216"/>
  <c r="F148" i="216"/>
  <c r="F160" i="216"/>
  <c r="F157" i="216" s="1"/>
  <c r="F156" i="216" s="1"/>
  <c r="F173" i="216"/>
  <c r="N442" i="218"/>
  <c r="F401" i="215"/>
  <c r="G401" i="215" s="1"/>
  <c r="D265" i="225" s="1"/>
  <c r="F530" i="215"/>
  <c r="G530" i="215" s="1"/>
  <c r="K8" i="225"/>
  <c r="K274" i="225"/>
  <c r="G274" i="225"/>
  <c r="L274" i="225" s="1"/>
  <c r="L272" i="225" s="1"/>
  <c r="K303" i="225"/>
  <c r="K302" i="225" s="1"/>
  <c r="G303" i="225"/>
  <c r="L303" i="225" s="1"/>
  <c r="L302" i="225" s="1"/>
  <c r="N126" i="217"/>
  <c r="N124" i="217" s="1"/>
  <c r="F146" i="217"/>
  <c r="F21" i="218"/>
  <c r="F101" i="218"/>
  <c r="F395" i="215"/>
  <c r="F203" i="213"/>
  <c r="G203" i="213" s="1"/>
  <c r="I203" i="213" s="1"/>
  <c r="I248" i="225"/>
  <c r="I247" i="225" s="1"/>
  <c r="E561" i="215"/>
  <c r="E267" i="213" s="1"/>
  <c r="G513" i="215"/>
  <c r="F521" i="215"/>
  <c r="E214" i="213"/>
  <c r="G291" i="225"/>
  <c r="L291" i="225" s="1"/>
  <c r="K291" i="225"/>
  <c r="G305" i="225"/>
  <c r="L305" i="225" s="1"/>
  <c r="K305" i="225"/>
  <c r="AA434" i="199"/>
  <c r="P66" i="100"/>
  <c r="G17" i="210"/>
  <c r="F27" i="216"/>
  <c r="F111" i="216"/>
  <c r="F105" i="216" s="1"/>
  <c r="F222" i="216"/>
  <c r="F215" i="216" s="1"/>
  <c r="N97" i="217"/>
  <c r="G282" i="225"/>
  <c r="L282" i="225" s="1"/>
  <c r="K282" i="225"/>
  <c r="G296" i="225"/>
  <c r="L296" i="225" s="1"/>
  <c r="K296" i="225"/>
  <c r="G23" i="210"/>
  <c r="D40" i="210" s="1"/>
  <c r="D30" i="21" s="1"/>
  <c r="X339" i="199"/>
  <c r="S92" i="201"/>
  <c r="S101" i="201"/>
  <c r="D48" i="215" s="1"/>
  <c r="F47" i="216"/>
  <c r="F55" i="216"/>
  <c r="F65" i="216"/>
  <c r="F75" i="216"/>
  <c r="F211" i="216"/>
  <c r="F208" i="216" s="1"/>
  <c r="F236" i="216"/>
  <c r="F241" i="216"/>
  <c r="N24" i="217"/>
  <c r="F38" i="217"/>
  <c r="F35" i="217" s="1"/>
  <c r="N47" i="217"/>
  <c r="I148" i="213"/>
  <c r="AG448" i="199" s="1"/>
  <c r="E563" i="215"/>
  <c r="F578" i="215"/>
  <c r="G578" i="215" s="1"/>
  <c r="F239" i="225"/>
  <c r="J239" i="225"/>
  <c r="G285" i="225"/>
  <c r="L285" i="225" s="1"/>
  <c r="K285" i="225"/>
  <c r="B306" i="225"/>
  <c r="K284" i="225"/>
  <c r="K392" i="225"/>
  <c r="E154" i="225"/>
  <c r="F152" i="225"/>
  <c r="E238" i="225"/>
  <c r="N155" i="41"/>
  <c r="N171" i="41"/>
  <c r="I10" i="41"/>
  <c r="I116" i="41" s="1"/>
  <c r="I154" i="41" s="1"/>
  <c r="Q627" i="199"/>
  <c r="Q629" i="199" s="1"/>
  <c r="E180" i="41"/>
  <c r="J316" i="225"/>
  <c r="H10" i="41"/>
  <c r="F116" i="41" s="1"/>
  <c r="E230" i="213"/>
  <c r="E311" i="213"/>
  <c r="E179" i="41"/>
  <c r="G172" i="41"/>
  <c r="J10" i="41"/>
  <c r="L116" i="41" s="1"/>
  <c r="L154" i="41" s="1"/>
  <c r="L470" i="225"/>
  <c r="E10" i="213"/>
  <c r="G10" i="213" s="1"/>
  <c r="I10" i="213" s="1"/>
  <c r="B322" i="225"/>
  <c r="B358" i="225"/>
  <c r="B326" i="225"/>
  <c r="B359" i="225"/>
  <c r="B307" i="225"/>
  <c r="B288" i="225"/>
  <c r="B284" i="225"/>
  <c r="B290" i="225"/>
  <c r="B252" i="199"/>
  <c r="K475" i="225"/>
  <c r="E248" i="213"/>
  <c r="E249" i="213" s="1"/>
  <c r="X459" i="199" s="1"/>
  <c r="Q778" i="199" s="1"/>
  <c r="G246" i="213"/>
  <c r="I246" i="213" s="1"/>
  <c r="I248" i="213" s="1"/>
  <c r="G232" i="213"/>
  <c r="I232" i="213" s="1"/>
  <c r="I236" i="213" s="1"/>
  <c r="E236" i="213"/>
  <c r="I222" i="213"/>
  <c r="I224" i="213" s="1"/>
  <c r="G224" i="213"/>
  <c r="D98" i="41"/>
  <c r="F98" i="41" s="1"/>
  <c r="F128" i="41" s="1"/>
  <c r="F166" i="41" s="1"/>
  <c r="I175" i="213"/>
  <c r="I190" i="213" s="1"/>
  <c r="AG452" i="199" s="1"/>
  <c r="G193" i="213"/>
  <c r="O159" i="215"/>
  <c r="D162" i="225" s="1"/>
  <c r="E162" i="225" s="1"/>
  <c r="O191" i="215"/>
  <c r="D165" i="225" s="1"/>
  <c r="E165" i="225" s="1"/>
  <c r="I287" i="215"/>
  <c r="F81" i="41"/>
  <c r="K191" i="215"/>
  <c r="I193" i="215" s="1"/>
  <c r="I65" i="213"/>
  <c r="AG439" i="199" s="1"/>
  <c r="I97" i="213"/>
  <c r="AG443" i="199" s="1"/>
  <c r="I266" i="215"/>
  <c r="F67" i="41"/>
  <c r="I284" i="215"/>
  <c r="I165" i="215"/>
  <c r="K163" i="215"/>
  <c r="K165" i="215" s="1"/>
  <c r="I159" i="215"/>
  <c r="K154" i="215"/>
  <c r="K159" i="215" s="1"/>
  <c r="F58" i="41"/>
  <c r="O165" i="215"/>
  <c r="D163" i="225" s="1"/>
  <c r="E65" i="213"/>
  <c r="X439" i="199" s="1"/>
  <c r="AD439" i="199" s="1"/>
  <c r="AW552" i="199" s="1"/>
  <c r="D142" i="225"/>
  <c r="E142" i="225" s="1"/>
  <c r="AA128" i="201"/>
  <c r="B507" i="199"/>
  <c r="C17" i="100" s="1"/>
  <c r="C58" i="100" s="1"/>
  <c r="B462" i="199"/>
  <c r="B575" i="199" s="1"/>
  <c r="Y528" i="199"/>
  <c r="Y534" i="199" s="1"/>
  <c r="AG528" i="199"/>
  <c r="AG534" i="199" s="1"/>
  <c r="AI528" i="199"/>
  <c r="AI534" i="199" s="1"/>
  <c r="AQ528" i="199"/>
  <c r="AQ534" i="199" s="1"/>
  <c r="U561" i="199"/>
  <c r="AA451" i="199"/>
  <c r="U560" i="199"/>
  <c r="AA437" i="199"/>
  <c r="AT128" i="201"/>
  <c r="D205" i="215"/>
  <c r="D207" i="215" s="1"/>
  <c r="D202" i="215"/>
  <c r="E36" i="210"/>
  <c r="J17" i="210"/>
  <c r="E34" i="210"/>
  <c r="D47" i="215"/>
  <c r="D100" i="215" s="1"/>
  <c r="E112" i="215" s="1"/>
  <c r="C47" i="215"/>
  <c r="C100" i="215" s="1"/>
  <c r="D112" i="215" s="1"/>
  <c r="F47" i="215"/>
  <c r="F100" i="215" s="1"/>
  <c r="G112" i="215" s="1"/>
  <c r="E47" i="215"/>
  <c r="E100" i="215" s="1"/>
  <c r="F112" i="215" s="1"/>
  <c r="E48" i="215"/>
  <c r="AE104" i="199"/>
  <c r="R145" i="199"/>
  <c r="D25" i="202"/>
  <c r="AE82" i="199" s="1"/>
  <c r="C14" i="210"/>
  <c r="X334" i="199" s="1"/>
  <c r="AS82" i="201"/>
  <c r="C11" i="202"/>
  <c r="D10" i="202"/>
  <c r="E10" i="202"/>
  <c r="D14" i="210"/>
  <c r="X335" i="199" s="1"/>
  <c r="AE98" i="199"/>
  <c r="S82" i="201"/>
  <c r="E30" i="21"/>
  <c r="J14" i="210"/>
  <c r="I16" i="210"/>
  <c r="I15" i="210"/>
  <c r="I18" i="210"/>
  <c r="G383" i="215"/>
  <c r="D250" i="225" s="1"/>
  <c r="F384" i="215"/>
  <c r="F150" i="213"/>
  <c r="F400" i="215"/>
  <c r="F399" i="215"/>
  <c r="F396" i="215"/>
  <c r="F397" i="215"/>
  <c r="F392" i="215"/>
  <c r="F403" i="215"/>
  <c r="F393" i="215"/>
  <c r="F391" i="215"/>
  <c r="G279" i="215"/>
  <c r="E148" i="213"/>
  <c r="X448" i="199" s="1"/>
  <c r="M395" i="215"/>
  <c r="M404" i="215"/>
  <c r="M415" i="215"/>
  <c r="M413" i="215"/>
  <c r="M410" i="215"/>
  <c r="M407" i="215"/>
  <c r="G449" i="215"/>
  <c r="F450" i="215"/>
  <c r="F523" i="215"/>
  <c r="F527" i="215"/>
  <c r="F525" i="215"/>
  <c r="F524" i="215"/>
  <c r="F526" i="215"/>
  <c r="E9" i="213"/>
  <c r="B455" i="199"/>
  <c r="B568" i="199" s="1"/>
  <c r="B417" i="215"/>
  <c r="E285" i="213"/>
  <c r="B323" i="225"/>
  <c r="B362" i="225"/>
  <c r="B356" i="225"/>
  <c r="B357" i="225"/>
  <c r="B324" i="225"/>
  <c r="B364" i="225"/>
  <c r="K272" i="199"/>
  <c r="K267" i="199"/>
  <c r="K257" i="199"/>
  <c r="G754" i="199"/>
  <c r="G756" i="199"/>
  <c r="R584" i="199"/>
  <c r="E257" i="213"/>
  <c r="E298" i="213"/>
  <c r="K271" i="199"/>
  <c r="E562" i="215"/>
  <c r="B360" i="225"/>
  <c r="B361" i="225"/>
  <c r="B354" i="225"/>
  <c r="B381" i="225"/>
  <c r="B383" i="225"/>
  <c r="B384" i="225"/>
  <c r="B355" i="225"/>
  <c r="B277" i="225"/>
  <c r="B283" i="225"/>
  <c r="B305" i="225"/>
  <c r="B293" i="225"/>
  <c r="K261" i="199"/>
  <c r="G748" i="199"/>
  <c r="G747" i="199"/>
  <c r="G288" i="225"/>
  <c r="L288" i="225" s="1"/>
  <c r="K288" i="225"/>
  <c r="G229" i="213"/>
  <c r="G242" i="213"/>
  <c r="I242" i="213" s="1"/>
  <c r="I243" i="213" s="1"/>
  <c r="J273" i="225"/>
  <c r="I132" i="41"/>
  <c r="I170" i="41" s="1"/>
  <c r="F108" i="41"/>
  <c r="F132" i="41"/>
  <c r="L132" i="41"/>
  <c r="L170" i="41" s="1"/>
  <c r="AC528" i="199"/>
  <c r="AC534" i="199" s="1"/>
  <c r="AK528" i="199"/>
  <c r="AK534" i="199" s="1"/>
  <c r="AE528" i="199"/>
  <c r="AE534" i="199" s="1"/>
  <c r="AO528" i="199"/>
  <c r="AO534" i="199" s="1"/>
  <c r="AM528" i="199"/>
  <c r="AM534" i="199" s="1"/>
  <c r="AA528" i="199"/>
  <c r="AA534" i="199" s="1"/>
  <c r="W528" i="199"/>
  <c r="W534" i="199" s="1"/>
  <c r="H14" i="210" l="1"/>
  <c r="G394" i="215"/>
  <c r="D258" i="225" s="1"/>
  <c r="G20" i="210"/>
  <c r="H20" i="210" s="1"/>
  <c r="N404" i="218"/>
  <c r="G25" i="210"/>
  <c r="J304" i="225"/>
  <c r="G15" i="210"/>
  <c r="G24" i="210"/>
  <c r="G19" i="210"/>
  <c r="H19" i="210" s="1"/>
  <c r="C413" i="199"/>
  <c r="F48" i="215"/>
  <c r="D31" i="210"/>
  <c r="D21" i="21" s="1"/>
  <c r="G22" i="210"/>
  <c r="D39" i="210" s="1"/>
  <c r="D29" i="21" s="1"/>
  <c r="G16" i="210"/>
  <c r="X338" i="199"/>
  <c r="G18" i="210"/>
  <c r="I240" i="225"/>
  <c r="F85" i="216"/>
  <c r="N82" i="218"/>
  <c r="F294" i="213"/>
  <c r="G294" i="213" s="1"/>
  <c r="I294" i="213" s="1"/>
  <c r="E37" i="210"/>
  <c r="F129" i="216"/>
  <c r="K279" i="225"/>
  <c r="K272" i="225"/>
  <c r="K220" i="225"/>
  <c r="G153" i="225"/>
  <c r="L153" i="225" s="1"/>
  <c r="G468" i="215"/>
  <c r="G55" i="219"/>
  <c r="AT512" i="199" s="1"/>
  <c r="AS530" i="199" s="1"/>
  <c r="F88" i="41"/>
  <c r="J88" i="41" s="1"/>
  <c r="Q772" i="199"/>
  <c r="H8" i="21"/>
  <c r="D37" i="210"/>
  <c r="D27" i="21" s="1"/>
  <c r="D36" i="210"/>
  <c r="D26" i="21" s="1"/>
  <c r="F62" i="215"/>
  <c r="F102" i="215" s="1"/>
  <c r="N272" i="218"/>
  <c r="H23" i="210"/>
  <c r="F94" i="218"/>
  <c r="N10" i="218"/>
  <c r="N9" i="218" s="1"/>
  <c r="F259" i="213"/>
  <c r="G259" i="213" s="1"/>
  <c r="I259" i="213" s="1"/>
  <c r="F504" i="215"/>
  <c r="J272" i="225"/>
  <c r="E320" i="213"/>
  <c r="C48" i="215"/>
  <c r="T51" i="201"/>
  <c r="N412" i="215"/>
  <c r="AM59" i="201"/>
  <c r="AR59" i="201" s="1"/>
  <c r="AT59" i="201" s="1"/>
  <c r="N164" i="218"/>
  <c r="N81" i="218" s="1"/>
  <c r="N8" i="218" s="1"/>
  <c r="N471" i="218" s="1"/>
  <c r="K481" i="218" s="1"/>
  <c r="G531" i="215"/>
  <c r="T42" i="201"/>
  <c r="V42" i="201" s="1"/>
  <c r="V44" i="201" s="1"/>
  <c r="D102" i="215"/>
  <c r="K297" i="225"/>
  <c r="K295" i="225" s="1"/>
  <c r="F86" i="217"/>
  <c r="F188" i="216"/>
  <c r="F181" i="216" s="1"/>
  <c r="F172" i="216" s="1"/>
  <c r="F167" i="216" s="1"/>
  <c r="E87" i="41"/>
  <c r="F87" i="41" s="1"/>
  <c r="J87" i="41" s="1"/>
  <c r="J89" i="41" s="1"/>
  <c r="L125" i="41" s="1"/>
  <c r="L163" i="41" s="1"/>
  <c r="G138" i="213"/>
  <c r="I138" i="213" s="1"/>
  <c r="I142" i="213" s="1"/>
  <c r="AG447" i="199" s="1"/>
  <c r="F51" i="216"/>
  <c r="E193" i="213"/>
  <c r="X453" i="199" s="1"/>
  <c r="Q773" i="199" s="1"/>
  <c r="AT510" i="199"/>
  <c r="I215" i="225"/>
  <c r="N345" i="218"/>
  <c r="N75" i="217"/>
  <c r="D181" i="41"/>
  <c r="E22" i="100"/>
  <c r="E63" i="100" s="1"/>
  <c r="N221" i="218"/>
  <c r="J23" i="210"/>
  <c r="N116" i="41"/>
  <c r="N414" i="215"/>
  <c r="F295" i="213"/>
  <c r="G295" i="213" s="1"/>
  <c r="I295" i="213" s="1"/>
  <c r="F10" i="218"/>
  <c r="F9" i="218" s="1"/>
  <c r="F159" i="218" s="1"/>
  <c r="C169" i="218" s="1"/>
  <c r="F154" i="41"/>
  <c r="N154" i="41" s="1"/>
  <c r="E41" i="210"/>
  <c r="I340" i="213"/>
  <c r="E17" i="100" s="1"/>
  <c r="E58" i="100" s="1"/>
  <c r="E237" i="213"/>
  <c r="X458" i="199" s="1"/>
  <c r="Q777" i="199" s="1"/>
  <c r="E181" i="41"/>
  <c r="O59" i="201"/>
  <c r="T59" i="201" s="1"/>
  <c r="V59" i="201" s="1"/>
  <c r="V60" i="201" s="1"/>
  <c r="J155" i="225"/>
  <c r="I31" i="210"/>
  <c r="B72" i="210" s="1"/>
  <c r="B89" i="210" s="1"/>
  <c r="E38" i="210"/>
  <c r="G522" i="215"/>
  <c r="AM43" i="201"/>
  <c r="AR43" i="201" s="1"/>
  <c r="AT43" i="201" s="1"/>
  <c r="AT44" i="201" s="1"/>
  <c r="C383" i="199"/>
  <c r="B444" i="199" s="1"/>
  <c r="B557" i="199" s="1"/>
  <c r="AT511" i="199"/>
  <c r="AS529" i="199" s="1"/>
  <c r="J276" i="225"/>
  <c r="J286" i="225"/>
  <c r="E266" i="225"/>
  <c r="G181" i="41"/>
  <c r="K248" i="225"/>
  <c r="K247" i="225" s="1"/>
  <c r="K307" i="225"/>
  <c r="K304" i="225" s="1"/>
  <c r="F167" i="213"/>
  <c r="G167" i="213" s="1"/>
  <c r="I167" i="213" s="1"/>
  <c r="F168" i="213"/>
  <c r="G168" i="213" s="1"/>
  <c r="I168" i="213" s="1"/>
  <c r="I237" i="225"/>
  <c r="L276" i="225"/>
  <c r="F236" i="225"/>
  <c r="G236" i="225" s="1"/>
  <c r="L236" i="225" s="1"/>
  <c r="L235" i="225" s="1"/>
  <c r="L295" i="225"/>
  <c r="L304" i="225"/>
  <c r="N332" i="218"/>
  <c r="AT509" i="199"/>
  <c r="F296" i="213"/>
  <c r="G296" i="213" s="1"/>
  <c r="I296" i="213" s="1"/>
  <c r="B134" i="213"/>
  <c r="N91" i="217"/>
  <c r="I320" i="213"/>
  <c r="AG460" i="199" s="1"/>
  <c r="AT504" i="199" s="1"/>
  <c r="AS526" i="199" s="1"/>
  <c r="F57" i="217"/>
  <c r="F10" i="217" s="1"/>
  <c r="F9" i="217" s="1"/>
  <c r="F99" i="41"/>
  <c r="AT515" i="199"/>
  <c r="AS533" i="199" s="1"/>
  <c r="F158" i="225"/>
  <c r="J158" i="225"/>
  <c r="H89" i="41"/>
  <c r="F125" i="41" s="1"/>
  <c r="F163" i="41" s="1"/>
  <c r="I159" i="225"/>
  <c r="D160" i="225"/>
  <c r="F206" i="213"/>
  <c r="G206" i="213" s="1"/>
  <c r="I206" i="213" s="1"/>
  <c r="N408" i="215"/>
  <c r="V67" i="201"/>
  <c r="F207" i="213"/>
  <c r="G207" i="213" s="1"/>
  <c r="I207" i="213" s="1"/>
  <c r="Q762" i="199"/>
  <c r="X442" i="199"/>
  <c r="AD442" i="199" s="1"/>
  <c r="AW555" i="199" s="1"/>
  <c r="D204" i="215"/>
  <c r="F223" i="215" s="1"/>
  <c r="AD443" i="199"/>
  <c r="AW556" i="199" s="1"/>
  <c r="I142" i="225"/>
  <c r="G211" i="215"/>
  <c r="D110" i="225" s="1"/>
  <c r="I110" i="225" s="1"/>
  <c r="V51" i="201"/>
  <c r="V146" i="199" s="1"/>
  <c r="F9" i="216"/>
  <c r="F157" i="225"/>
  <c r="J157" i="225"/>
  <c r="J22" i="210"/>
  <c r="E39" i="210"/>
  <c r="E222" i="225"/>
  <c r="J221" i="225"/>
  <c r="F221" i="225"/>
  <c r="E20" i="100"/>
  <c r="E61" i="100" s="1"/>
  <c r="G155" i="225"/>
  <c r="L155" i="225" s="1"/>
  <c r="K155" i="225"/>
  <c r="T67" i="201"/>
  <c r="G201" i="213"/>
  <c r="I201" i="213" s="1"/>
  <c r="X454" i="199"/>
  <c r="G290" i="225"/>
  <c r="L290" i="225" s="1"/>
  <c r="L286" i="225" s="1"/>
  <c r="K290" i="225"/>
  <c r="K286" i="225" s="1"/>
  <c r="G218" i="225"/>
  <c r="L218" i="225" s="1"/>
  <c r="K218" i="225"/>
  <c r="F164" i="213"/>
  <c r="G164" i="213" s="1"/>
  <c r="I164" i="213" s="1"/>
  <c r="G398" i="215"/>
  <c r="D262" i="225" s="1"/>
  <c r="I351" i="213"/>
  <c r="E18" i="100" s="1"/>
  <c r="E59" i="100" s="1"/>
  <c r="F84" i="216"/>
  <c r="F159" i="225"/>
  <c r="J159" i="225"/>
  <c r="G216" i="225"/>
  <c r="L216" i="225" s="1"/>
  <c r="K216" i="225"/>
  <c r="J25" i="210"/>
  <c r="E42" i="210"/>
  <c r="AH339" i="199"/>
  <c r="F470" i="215"/>
  <c r="G469" i="215"/>
  <c r="F276" i="213"/>
  <c r="G276" i="213" s="1"/>
  <c r="I276" i="213" s="1"/>
  <c r="AD459" i="199"/>
  <c r="AW572" i="199" s="1"/>
  <c r="B430" i="199"/>
  <c r="B543" i="199" s="1"/>
  <c r="I165" i="225"/>
  <c r="D143" i="225"/>
  <c r="E143" i="225" s="1"/>
  <c r="I162" i="225"/>
  <c r="I283" i="215"/>
  <c r="O283" i="215"/>
  <c r="O285" i="215" s="1"/>
  <c r="D228" i="225" s="1"/>
  <c r="Q760" i="199"/>
  <c r="B498" i="199"/>
  <c r="C14" i="100" s="1"/>
  <c r="C55" i="100" s="1"/>
  <c r="C373" i="199"/>
  <c r="B17" i="213"/>
  <c r="B19" i="213" s="1"/>
  <c r="F154" i="225"/>
  <c r="J154" i="225"/>
  <c r="E269" i="213"/>
  <c r="K276" i="225"/>
  <c r="E258" i="225"/>
  <c r="I258" i="225"/>
  <c r="H16" i="210"/>
  <c r="D33" i="210"/>
  <c r="D23" i="21" s="1"/>
  <c r="F238" i="225"/>
  <c r="J238" i="225"/>
  <c r="G239" i="225"/>
  <c r="L239" i="225" s="1"/>
  <c r="K239" i="225"/>
  <c r="H21" i="210"/>
  <c r="D38" i="210"/>
  <c r="D28" i="21" s="1"/>
  <c r="AT58" i="201"/>
  <c r="AT60" i="201" s="1"/>
  <c r="AR60" i="201"/>
  <c r="D35" i="210"/>
  <c r="D25" i="21" s="1"/>
  <c r="H18" i="210"/>
  <c r="G521" i="215"/>
  <c r="F287" i="213"/>
  <c r="G287" i="213" s="1"/>
  <c r="I287" i="213" s="1"/>
  <c r="F267" i="213"/>
  <c r="G267" i="213" s="1"/>
  <c r="I267" i="213" s="1"/>
  <c r="F562" i="215"/>
  <c r="G562" i="215" s="1"/>
  <c r="G152" i="225"/>
  <c r="L152" i="225" s="1"/>
  <c r="K152" i="225"/>
  <c r="F300" i="213"/>
  <c r="F579" i="215"/>
  <c r="J240" i="225"/>
  <c r="F240" i="225"/>
  <c r="H17" i="210"/>
  <c r="D34" i="210"/>
  <c r="D24" i="21" s="1"/>
  <c r="U547" i="199"/>
  <c r="AA435" i="199"/>
  <c r="U548" i="199" s="1"/>
  <c r="F161" i="213"/>
  <c r="G161" i="213" s="1"/>
  <c r="I161" i="213" s="1"/>
  <c r="G395" i="215"/>
  <c r="D259" i="225" s="1"/>
  <c r="I265" i="225"/>
  <c r="E265" i="225"/>
  <c r="I249" i="213"/>
  <c r="AG459" i="199" s="1"/>
  <c r="I128" i="41"/>
  <c r="I166" i="41" s="1"/>
  <c r="N166" i="41" s="1"/>
  <c r="F123" i="41"/>
  <c r="F161" i="41" s="1"/>
  <c r="I123" i="41"/>
  <c r="I141" i="41" s="1"/>
  <c r="W628" i="199" s="1"/>
  <c r="I98" i="213"/>
  <c r="AG442" i="199"/>
  <c r="F162" i="225"/>
  <c r="J162" i="225"/>
  <c r="L123" i="41"/>
  <c r="L141" i="41" s="1"/>
  <c r="Z628" i="199" s="1"/>
  <c r="F165" i="225"/>
  <c r="J165" i="225"/>
  <c r="G212" i="215"/>
  <c r="D111" i="225" s="1"/>
  <c r="F213" i="215"/>
  <c r="K167" i="215"/>
  <c r="E268" i="213"/>
  <c r="B612" i="215"/>
  <c r="B477" i="199"/>
  <c r="B590" i="199" s="1"/>
  <c r="B510" i="199"/>
  <c r="C18" i="100" s="1"/>
  <c r="C59" i="100" s="1"/>
  <c r="F8" i="218"/>
  <c r="F385" i="215"/>
  <c r="G384" i="215"/>
  <c r="D251" i="225" s="1"/>
  <c r="F151" i="213"/>
  <c r="G151" i="213" s="1"/>
  <c r="I151" i="213" s="1"/>
  <c r="F266" i="225"/>
  <c r="J266" i="225"/>
  <c r="J18" i="210"/>
  <c r="E35" i="210"/>
  <c r="H25" i="210"/>
  <c r="D42" i="210"/>
  <c r="D32" i="21" s="1"/>
  <c r="AH338" i="199"/>
  <c r="AE107" i="199"/>
  <c r="R14" i="210"/>
  <c r="W364" i="199"/>
  <c r="C16" i="210"/>
  <c r="AC334" i="199" s="1"/>
  <c r="G99" i="225"/>
  <c r="L99" i="225" s="1"/>
  <c r="G88" i="225"/>
  <c r="L88" i="225" s="1"/>
  <c r="L87" i="225" s="1"/>
  <c r="F170" i="41"/>
  <c r="N170" i="41" s="1"/>
  <c r="N132" i="41"/>
  <c r="G525" i="215"/>
  <c r="F291" i="213"/>
  <c r="G291" i="213" s="1"/>
  <c r="I291" i="213" s="1"/>
  <c r="F213" i="213"/>
  <c r="G213" i="213" s="1"/>
  <c r="I213" i="213" s="1"/>
  <c r="N415" i="215"/>
  <c r="O279" i="215"/>
  <c r="O280" i="215" s="1"/>
  <c r="D227" i="225" s="1"/>
  <c r="I279" i="215"/>
  <c r="F157" i="213"/>
  <c r="G391" i="215"/>
  <c r="D255" i="225" s="1"/>
  <c r="G396" i="215"/>
  <c r="D260" i="225" s="1"/>
  <c r="F162" i="213"/>
  <c r="G162" i="213" s="1"/>
  <c r="I162" i="213" s="1"/>
  <c r="G9" i="213"/>
  <c r="I9" i="213" s="1"/>
  <c r="I12" i="213" s="1"/>
  <c r="AG431" i="199" s="1"/>
  <c r="E12" i="213"/>
  <c r="X431" i="199" s="1"/>
  <c r="F293" i="213"/>
  <c r="G293" i="213" s="1"/>
  <c r="I293" i="213" s="1"/>
  <c r="G527" i="215"/>
  <c r="F205" i="213"/>
  <c r="G205" i="213" s="1"/>
  <c r="I205" i="213" s="1"/>
  <c r="N407" i="215"/>
  <c r="N404" i="215"/>
  <c r="F202" i="213"/>
  <c r="G202" i="213" s="1"/>
  <c r="I202" i="213" s="1"/>
  <c r="G393" i="215"/>
  <c r="D257" i="225" s="1"/>
  <c r="F159" i="213"/>
  <c r="G159" i="213" s="1"/>
  <c r="I159" i="213" s="1"/>
  <c r="G399" i="215"/>
  <c r="D263" i="225" s="1"/>
  <c r="F165" i="213"/>
  <c r="G165" i="213" s="1"/>
  <c r="I165" i="213" s="1"/>
  <c r="I250" i="225"/>
  <c r="E250" i="225"/>
  <c r="J15" i="210"/>
  <c r="AC339" i="199"/>
  <c r="E32" i="210"/>
  <c r="AC338" i="199"/>
  <c r="D32" i="210"/>
  <c r="D22" i="21" s="1"/>
  <c r="H15" i="210"/>
  <c r="AQ25" i="201"/>
  <c r="AE108" i="199"/>
  <c r="V223" i="199"/>
  <c r="Z746" i="199" s="1"/>
  <c r="E25" i="202"/>
  <c r="E29" i="213"/>
  <c r="G29" i="213" s="1"/>
  <c r="I29" i="213" s="1"/>
  <c r="D99" i="225"/>
  <c r="I99" i="225" s="1"/>
  <c r="D105" i="215"/>
  <c r="E61" i="225" s="1"/>
  <c r="J61" i="225" s="1"/>
  <c r="D88" i="225"/>
  <c r="I88" i="225" s="1"/>
  <c r="I87" i="225" s="1"/>
  <c r="I36" i="210"/>
  <c r="B77" i="210" s="1"/>
  <c r="B94" i="210" s="1"/>
  <c r="E352" i="199" s="1"/>
  <c r="E26" i="21"/>
  <c r="Q641" i="199"/>
  <c r="F30" i="100"/>
  <c r="E80" i="100"/>
  <c r="U564" i="199"/>
  <c r="AA452" i="199"/>
  <c r="G526" i="215"/>
  <c r="F292" i="213"/>
  <c r="G292" i="213" s="1"/>
  <c r="I292" i="213" s="1"/>
  <c r="G523" i="215"/>
  <c r="F289" i="213"/>
  <c r="G289" i="213" s="1"/>
  <c r="I289" i="213" s="1"/>
  <c r="F208" i="213"/>
  <c r="G208" i="213" s="1"/>
  <c r="I208" i="213" s="1"/>
  <c r="N410" i="215"/>
  <c r="N395" i="215"/>
  <c r="M396" i="215"/>
  <c r="F195" i="213"/>
  <c r="G403" i="215"/>
  <c r="D267" i="225" s="1"/>
  <c r="F169" i="213"/>
  <c r="G169" i="213" s="1"/>
  <c r="I169" i="213" s="1"/>
  <c r="G392" i="215"/>
  <c r="D256" i="225" s="1"/>
  <c r="F158" i="213"/>
  <c r="G158" i="213" s="1"/>
  <c r="I158" i="213" s="1"/>
  <c r="G400" i="215"/>
  <c r="D264" i="225" s="1"/>
  <c r="F166" i="213"/>
  <c r="G166" i="213" s="1"/>
  <c r="I166" i="213" s="1"/>
  <c r="Q767" i="199"/>
  <c r="AD447" i="199"/>
  <c r="AW560" i="199" s="1"/>
  <c r="E33" i="210"/>
  <c r="J16" i="210"/>
  <c r="D41" i="210"/>
  <c r="D31" i="21" s="1"/>
  <c r="H24" i="210"/>
  <c r="I37" i="210"/>
  <c r="B78" i="210" s="1"/>
  <c r="B95" i="210" s="1"/>
  <c r="E353" i="199" s="1"/>
  <c r="E27" i="21"/>
  <c r="C12" i="202"/>
  <c r="D11" i="202"/>
  <c r="E11" i="202"/>
  <c r="E99" i="225"/>
  <c r="J99" i="225" s="1"/>
  <c r="E105" i="215"/>
  <c r="F61" i="225" s="1"/>
  <c r="K61" i="225" s="1"/>
  <c r="E88" i="225"/>
  <c r="J88" i="225" s="1"/>
  <c r="J87" i="225" s="1"/>
  <c r="V151" i="199"/>
  <c r="AE114" i="199"/>
  <c r="G51" i="210"/>
  <c r="J142" i="225"/>
  <c r="F142" i="225"/>
  <c r="I229" i="213"/>
  <c r="I230" i="213" s="1"/>
  <c r="I237" i="213" s="1"/>
  <c r="AG458" i="199" s="1"/>
  <c r="G230" i="213"/>
  <c r="G524" i="215"/>
  <c r="F290" i="213"/>
  <c r="G290" i="213" s="1"/>
  <c r="I290" i="213" s="1"/>
  <c r="G450" i="215"/>
  <c r="F451" i="215"/>
  <c r="F252" i="213"/>
  <c r="G252" i="213" s="1"/>
  <c r="I252" i="213" s="1"/>
  <c r="N413" i="215"/>
  <c r="F211" i="213"/>
  <c r="G211" i="213" s="1"/>
  <c r="I211" i="213" s="1"/>
  <c r="AD448" i="199"/>
  <c r="AW561" i="199" s="1"/>
  <c r="Q768" i="199"/>
  <c r="I87" i="41"/>
  <c r="I89" i="41" s="1"/>
  <c r="I125" i="41" s="1"/>
  <c r="G397" i="215"/>
  <c r="D261" i="225" s="1"/>
  <c r="F163" i="213"/>
  <c r="G163" i="213" s="1"/>
  <c r="I163" i="213" s="1"/>
  <c r="G150" i="213"/>
  <c r="I150" i="213" s="1"/>
  <c r="X446" i="199"/>
  <c r="D25" i="210"/>
  <c r="D18" i="210"/>
  <c r="D21" i="210"/>
  <c r="D23" i="210"/>
  <c r="D19" i="210"/>
  <c r="D15" i="210"/>
  <c r="D22" i="210"/>
  <c r="D20" i="210"/>
  <c r="D17" i="210"/>
  <c r="D24" i="210"/>
  <c r="D16" i="210"/>
  <c r="AC335" i="199" s="1"/>
  <c r="E14" i="210"/>
  <c r="F105" i="215"/>
  <c r="G61" i="225" s="1"/>
  <c r="L61" i="225" s="1"/>
  <c r="F88" i="225"/>
  <c r="K88" i="225" s="1"/>
  <c r="K87" i="225" s="1"/>
  <c r="D23" i="41"/>
  <c r="F23" i="41" s="1"/>
  <c r="F24" i="41" s="1"/>
  <c r="H120" i="41" s="1"/>
  <c r="F99" i="225"/>
  <c r="K99" i="225" s="1"/>
  <c r="I34" i="210"/>
  <c r="B75" i="210" s="1"/>
  <c r="B92" i="210" s="1"/>
  <c r="E350" i="199" s="1"/>
  <c r="E24" i="21"/>
  <c r="D107" i="225"/>
  <c r="F239" i="215"/>
  <c r="U550" i="199"/>
  <c r="AA438" i="199"/>
  <c r="U551" i="199" s="1"/>
  <c r="H22" i="210" l="1"/>
  <c r="AE112" i="199"/>
  <c r="N10" i="217"/>
  <c r="N9" i="217" s="1"/>
  <c r="K236" i="225"/>
  <c r="K235" i="225" s="1"/>
  <c r="X341" i="199"/>
  <c r="K14" i="210"/>
  <c r="AS527" i="199"/>
  <c r="AD453" i="199"/>
  <c r="AW566" i="199" s="1"/>
  <c r="B500" i="199"/>
  <c r="C15" i="100" s="1"/>
  <c r="C56" i="100" s="1"/>
  <c r="F272" i="213"/>
  <c r="X457" i="199" s="1"/>
  <c r="F260" i="213"/>
  <c r="G260" i="213" s="1"/>
  <c r="I260" i="213" s="1"/>
  <c r="F505" i="215"/>
  <c r="G504" i="215"/>
  <c r="AD458" i="199"/>
  <c r="AW571" i="199" s="1"/>
  <c r="T44" i="201"/>
  <c r="V143" i="199"/>
  <c r="C51" i="210"/>
  <c r="F8" i="217"/>
  <c r="F152" i="217"/>
  <c r="B162" i="217" s="1"/>
  <c r="B163" i="217" s="1"/>
  <c r="V145" i="199"/>
  <c r="AE105" i="199"/>
  <c r="N157" i="217"/>
  <c r="J167" i="217" s="1"/>
  <c r="J168" i="217" s="1"/>
  <c r="N8" i="217"/>
  <c r="F8" i="216"/>
  <c r="F257" i="216" s="1"/>
  <c r="C265" i="216" s="1"/>
  <c r="D265" i="216" s="1"/>
  <c r="E265" i="216" s="1"/>
  <c r="I38" i="210"/>
  <c r="B79" i="210" s="1"/>
  <c r="B96" i="210" s="1"/>
  <c r="E354" i="199" s="1"/>
  <c r="E28" i="21"/>
  <c r="E31" i="21"/>
  <c r="I41" i="210"/>
  <c r="B82" i="210" s="1"/>
  <c r="B99" i="210" s="1"/>
  <c r="E357" i="199" s="1"/>
  <c r="N128" i="41"/>
  <c r="AR44" i="201"/>
  <c r="T60" i="201"/>
  <c r="Q763" i="199"/>
  <c r="G158" i="225"/>
  <c r="L158" i="225" s="1"/>
  <c r="K158" i="225"/>
  <c r="I160" i="225"/>
  <c r="I151" i="225" s="1"/>
  <c r="C486" i="225" s="1"/>
  <c r="Q649" i="199" s="1"/>
  <c r="E160" i="225"/>
  <c r="D108" i="225"/>
  <c r="D119" i="225" s="1"/>
  <c r="J161" i="225"/>
  <c r="E110" i="225"/>
  <c r="J110" i="225" s="1"/>
  <c r="I143" i="225"/>
  <c r="E32" i="21"/>
  <c r="I42" i="210"/>
  <c r="B83" i="210" s="1"/>
  <c r="B100" i="210" s="1"/>
  <c r="E358" i="199" s="1"/>
  <c r="E223" i="225"/>
  <c r="J222" i="225"/>
  <c r="F222" i="225"/>
  <c r="G157" i="225"/>
  <c r="L157" i="225" s="1"/>
  <c r="K157" i="225"/>
  <c r="G159" i="225"/>
  <c r="L159" i="225" s="1"/>
  <c r="K159" i="225"/>
  <c r="AD454" i="199"/>
  <c r="AW567" i="199" s="1"/>
  <c r="Q774" i="199"/>
  <c r="I39" i="210"/>
  <c r="B80" i="210" s="1"/>
  <c r="B97" i="210" s="1"/>
  <c r="E355" i="199" s="1"/>
  <c r="E29" i="21"/>
  <c r="F277" i="213"/>
  <c r="G277" i="213" s="1"/>
  <c r="I277" i="213" s="1"/>
  <c r="G470" i="215"/>
  <c r="F471" i="215"/>
  <c r="G221" i="225"/>
  <c r="L221" i="225" s="1"/>
  <c r="K221" i="225"/>
  <c r="E262" i="225"/>
  <c r="I262" i="225"/>
  <c r="I161" i="225"/>
  <c r="D144" i="225"/>
  <c r="D145" i="225" s="1"/>
  <c r="I161" i="41"/>
  <c r="I179" i="41" s="1"/>
  <c r="F141" i="41"/>
  <c r="T628" i="199" s="1"/>
  <c r="L161" i="41"/>
  <c r="L179" i="41" s="1"/>
  <c r="I228" i="225"/>
  <c r="E228" i="225"/>
  <c r="I259" i="225"/>
  <c r="E259" i="225"/>
  <c r="F580" i="215"/>
  <c r="F301" i="213"/>
  <c r="G301" i="213" s="1"/>
  <c r="I301" i="213" s="1"/>
  <c r="G579" i="215"/>
  <c r="F268" i="213"/>
  <c r="G268" i="213" s="1"/>
  <c r="I268" i="213" s="1"/>
  <c r="F563" i="215"/>
  <c r="J237" i="225"/>
  <c r="G154" i="225"/>
  <c r="L154" i="225" s="1"/>
  <c r="K154" i="225"/>
  <c r="G300" i="213"/>
  <c r="I300" i="213" s="1"/>
  <c r="F312" i="213"/>
  <c r="X461" i="199" s="1"/>
  <c r="G238" i="225"/>
  <c r="L238" i="225" s="1"/>
  <c r="K238" i="225"/>
  <c r="J265" i="225"/>
  <c r="F265" i="225"/>
  <c r="G240" i="225"/>
  <c r="L240" i="225" s="1"/>
  <c r="K240" i="225"/>
  <c r="J258" i="225"/>
  <c r="F258" i="225"/>
  <c r="B497" i="199"/>
  <c r="C13" i="100" s="1"/>
  <c r="C54" i="100" s="1"/>
  <c r="B432" i="199"/>
  <c r="B545" i="199" s="1"/>
  <c r="G162" i="225"/>
  <c r="L162" i="225" s="1"/>
  <c r="K162" i="225"/>
  <c r="F214" i="215"/>
  <c r="G213" i="215"/>
  <c r="D112" i="225" s="1"/>
  <c r="E111" i="225"/>
  <c r="I111" i="225"/>
  <c r="G165" i="225"/>
  <c r="L165" i="225" s="1"/>
  <c r="K165" i="225"/>
  <c r="I107" i="225"/>
  <c r="E107" i="225"/>
  <c r="D96" i="106"/>
  <c r="E16" i="210"/>
  <c r="Z364" i="199"/>
  <c r="C17" i="210"/>
  <c r="E17" i="210" s="1"/>
  <c r="U565" i="199"/>
  <c r="AA453" i="199"/>
  <c r="J143" i="225"/>
  <c r="F143" i="225"/>
  <c r="Q643" i="199"/>
  <c r="T641" i="199"/>
  <c r="I32" i="210"/>
  <c r="B73" i="210" s="1"/>
  <c r="B90" i="210" s="1"/>
  <c r="E348" i="199" s="1"/>
  <c r="E22" i="21"/>
  <c r="E263" i="225"/>
  <c r="I263" i="225"/>
  <c r="E260" i="225"/>
  <c r="I260" i="225"/>
  <c r="E251" i="225"/>
  <c r="I251" i="225"/>
  <c r="H158" i="41"/>
  <c r="N120" i="41"/>
  <c r="Q766" i="199"/>
  <c r="AD446" i="199"/>
  <c r="AW559" i="199" s="1"/>
  <c r="F224" i="215"/>
  <c r="G223" i="215"/>
  <c r="D122" i="225" s="1"/>
  <c r="K483" i="218"/>
  <c r="K482" i="218"/>
  <c r="L481" i="218"/>
  <c r="M481" i="218" s="1"/>
  <c r="E15" i="210"/>
  <c r="E261" i="225"/>
  <c r="I261" i="225"/>
  <c r="G451" i="215"/>
  <c r="F452" i="215"/>
  <c r="F253" i="213"/>
  <c r="G253" i="213" s="1"/>
  <c r="I253" i="213" s="1"/>
  <c r="G52" i="210"/>
  <c r="H51" i="210"/>
  <c r="I72" i="210"/>
  <c r="I89" i="210" s="1"/>
  <c r="D51" i="210"/>
  <c r="C52" i="210"/>
  <c r="C72" i="210"/>
  <c r="E264" i="225"/>
  <c r="I264" i="225"/>
  <c r="E256" i="225"/>
  <c r="I256" i="225"/>
  <c r="AD431" i="199"/>
  <c r="AW544" i="199" s="1"/>
  <c r="Q754" i="199"/>
  <c r="E255" i="225"/>
  <c r="I255" i="225"/>
  <c r="R25" i="210"/>
  <c r="AH341" i="199" s="1"/>
  <c r="R24" i="210"/>
  <c r="R20" i="210"/>
  <c r="R19" i="210"/>
  <c r="R17" i="210"/>
  <c r="R23" i="210"/>
  <c r="R16" i="210"/>
  <c r="AC341" i="199" s="1"/>
  <c r="R21" i="210"/>
  <c r="R15" i="210"/>
  <c r="R18" i="210"/>
  <c r="R22" i="210"/>
  <c r="F386" i="215"/>
  <c r="G385" i="215"/>
  <c r="D252" i="225" s="1"/>
  <c r="F152" i="213"/>
  <c r="G152" i="213" s="1"/>
  <c r="I152" i="213" s="1"/>
  <c r="L163" i="199"/>
  <c r="E12" i="202"/>
  <c r="C13" i="202"/>
  <c r="D12" i="202"/>
  <c r="F179" i="41"/>
  <c r="X451" i="199"/>
  <c r="G195" i="213"/>
  <c r="I195" i="213" s="1"/>
  <c r="Q644" i="199"/>
  <c r="F80" i="100"/>
  <c r="F71" i="100"/>
  <c r="D39" i="106"/>
  <c r="Q22" i="210"/>
  <c r="Q19" i="210"/>
  <c r="Q51" i="210"/>
  <c r="E51" i="210" s="1"/>
  <c r="Q23" i="210"/>
  <c r="Q17" i="210"/>
  <c r="Q21" i="210"/>
  <c r="Q25" i="210"/>
  <c r="Q16" i="210"/>
  <c r="Q24" i="210"/>
  <c r="Q18" i="210"/>
  <c r="Q20" i="210"/>
  <c r="M14" i="210"/>
  <c r="Q15" i="210"/>
  <c r="E257" i="225"/>
  <c r="I257" i="225"/>
  <c r="I13" i="213"/>
  <c r="E12" i="100" s="1"/>
  <c r="AT496" i="199"/>
  <c r="X449" i="199"/>
  <c r="G157" i="213"/>
  <c r="I157" i="213" s="1"/>
  <c r="I170" i="213" s="1"/>
  <c r="I35" i="210"/>
  <c r="B76" i="210" s="1"/>
  <c r="B93" i="210" s="1"/>
  <c r="E351" i="199" s="1"/>
  <c r="E25" i="21"/>
  <c r="K266" i="225"/>
  <c r="G266" i="225"/>
  <c r="L266" i="225" s="1"/>
  <c r="C170" i="218"/>
  <c r="C171" i="218"/>
  <c r="D169" i="218"/>
  <c r="E169" i="218" s="1"/>
  <c r="E271" i="213"/>
  <c r="G142" i="225"/>
  <c r="L142" i="225" s="1"/>
  <c r="K142" i="225"/>
  <c r="F240" i="215"/>
  <c r="G239" i="215"/>
  <c r="D136" i="225" s="1"/>
  <c r="C31" i="210"/>
  <c r="F14" i="210"/>
  <c r="AH335" i="199"/>
  <c r="I163" i="41"/>
  <c r="N163" i="41" s="1"/>
  <c r="N125" i="41"/>
  <c r="I33" i="210"/>
  <c r="B74" i="210" s="1"/>
  <c r="B91" i="210" s="1"/>
  <c r="E349" i="199" s="1"/>
  <c r="E23" i="21"/>
  <c r="E267" i="225"/>
  <c r="I267" i="225"/>
  <c r="M397" i="215"/>
  <c r="F196" i="213"/>
  <c r="G196" i="213" s="1"/>
  <c r="I196" i="213" s="1"/>
  <c r="N396" i="215"/>
  <c r="I298" i="213"/>
  <c r="G30" i="100"/>
  <c r="H30" i="100" s="1"/>
  <c r="I30" i="100" s="1"/>
  <c r="Q665" i="199"/>
  <c r="E41" i="100"/>
  <c r="AE99" i="199"/>
  <c r="E26" i="202"/>
  <c r="C29" i="202" s="1"/>
  <c r="F250" i="225"/>
  <c r="J250" i="225"/>
  <c r="I214" i="213"/>
  <c r="C266" i="216" l="1"/>
  <c r="D266" i="216" s="1"/>
  <c r="E266" i="216" s="1"/>
  <c r="C267" i="216"/>
  <c r="D267" i="216" s="1"/>
  <c r="D268" i="216" s="1"/>
  <c r="F31" i="210"/>
  <c r="K31" i="210" s="1"/>
  <c r="H72" i="210" s="1"/>
  <c r="X340" i="199"/>
  <c r="D98" i="106"/>
  <c r="D99" i="106" s="1"/>
  <c r="D100" i="106" s="1"/>
  <c r="B164" i="217"/>
  <c r="B165" i="217" s="1"/>
  <c r="C162" i="217"/>
  <c r="D162" i="217" s="1"/>
  <c r="J169" i="217"/>
  <c r="K169" i="217" s="1"/>
  <c r="L169" i="217" s="1"/>
  <c r="G505" i="215"/>
  <c r="F261" i="213"/>
  <c r="G261" i="213" s="1"/>
  <c r="I261" i="213" s="1"/>
  <c r="F506" i="215"/>
  <c r="K167" i="217"/>
  <c r="L167" i="217" s="1"/>
  <c r="Q776" i="199"/>
  <c r="AD457" i="199"/>
  <c r="AW570" i="199" s="1"/>
  <c r="C268" i="216"/>
  <c r="I108" i="225"/>
  <c r="I106" i="225" s="1"/>
  <c r="D486" i="225"/>
  <c r="E486" i="225"/>
  <c r="D120" i="225"/>
  <c r="E120" i="225" s="1"/>
  <c r="F160" i="225"/>
  <c r="J160" i="225"/>
  <c r="J151" i="225" s="1"/>
  <c r="E108" i="225"/>
  <c r="J108" i="225" s="1"/>
  <c r="F110" i="225"/>
  <c r="K110" i="225" s="1"/>
  <c r="E144" i="225"/>
  <c r="J144" i="225" s="1"/>
  <c r="I144" i="225"/>
  <c r="C172" i="218"/>
  <c r="F262" i="225"/>
  <c r="J262" i="225"/>
  <c r="G222" i="225"/>
  <c r="L222" i="225" s="1"/>
  <c r="K222" i="225"/>
  <c r="E224" i="225"/>
  <c r="F223" i="225"/>
  <c r="J223" i="225"/>
  <c r="G471" i="215"/>
  <c r="F278" i="213"/>
  <c r="G278" i="213" s="1"/>
  <c r="I278" i="213" s="1"/>
  <c r="F472" i="215"/>
  <c r="J228" i="225"/>
  <c r="F228" i="225"/>
  <c r="K484" i="218"/>
  <c r="L237" i="225"/>
  <c r="K258" i="225"/>
  <c r="G258" i="225"/>
  <c r="L258" i="225" s="1"/>
  <c r="G265" i="225"/>
  <c r="L265" i="225" s="1"/>
  <c r="K265" i="225"/>
  <c r="F269" i="213"/>
  <c r="G269" i="213" s="1"/>
  <c r="I269" i="213" s="1"/>
  <c r="F564" i="215"/>
  <c r="G563" i="215"/>
  <c r="G580" i="215"/>
  <c r="F302" i="213"/>
  <c r="G302" i="213" s="1"/>
  <c r="I302" i="213" s="1"/>
  <c r="F581" i="215"/>
  <c r="F259" i="225"/>
  <c r="J259" i="225"/>
  <c r="E267" i="216"/>
  <c r="E268" i="216" s="1"/>
  <c r="C358" i="213" s="1"/>
  <c r="AG456" i="199" s="1"/>
  <c r="AT506" i="199" s="1"/>
  <c r="K237" i="225"/>
  <c r="AD461" i="199"/>
  <c r="AW574" i="199" s="1"/>
  <c r="Q780" i="199"/>
  <c r="K161" i="225"/>
  <c r="L161" i="225"/>
  <c r="G214" i="215"/>
  <c r="D113" i="225" s="1"/>
  <c r="F215" i="215"/>
  <c r="J111" i="225"/>
  <c r="F111" i="225"/>
  <c r="E112" i="225"/>
  <c r="I112" i="225"/>
  <c r="AD449" i="199"/>
  <c r="AW562" i="199" s="1"/>
  <c r="Q769" i="199"/>
  <c r="Q55" i="210"/>
  <c r="E55" i="210" s="1"/>
  <c r="K18" i="210"/>
  <c r="AD451" i="199"/>
  <c r="AW564" i="199" s="1"/>
  <c r="Q771" i="199"/>
  <c r="K168" i="217"/>
  <c r="C163" i="217"/>
  <c r="D163" i="217" s="1"/>
  <c r="Q61" i="210"/>
  <c r="E61" i="210" s="1"/>
  <c r="K24" i="210"/>
  <c r="G80" i="100"/>
  <c r="G71" i="100"/>
  <c r="E39" i="106"/>
  <c r="E122" i="225"/>
  <c r="I122" i="225"/>
  <c r="J263" i="225"/>
  <c r="F263" i="225"/>
  <c r="W641" i="199"/>
  <c r="T643" i="199"/>
  <c r="U566" i="199"/>
  <c r="AA457" i="199"/>
  <c r="AG454" i="199"/>
  <c r="F241" i="215"/>
  <c r="G240" i="215"/>
  <c r="D137" i="225" s="1"/>
  <c r="Q62" i="210"/>
  <c r="E62" i="210" s="1"/>
  <c r="K25" i="210"/>
  <c r="Q672" i="199"/>
  <c r="I254" i="225"/>
  <c r="T665" i="199"/>
  <c r="J30" i="100"/>
  <c r="K30" i="100" s="1"/>
  <c r="L30" i="100" s="1"/>
  <c r="C21" i="21"/>
  <c r="C34" i="210"/>
  <c r="F17" i="210"/>
  <c r="D170" i="218"/>
  <c r="E170" i="218" s="1"/>
  <c r="F257" i="225"/>
  <c r="J257" i="225"/>
  <c r="K19" i="210"/>
  <c r="Q56" i="210"/>
  <c r="E56" i="210" s="1"/>
  <c r="D146" i="225"/>
  <c r="E145" i="225"/>
  <c r="I145" i="225"/>
  <c r="E13" i="202"/>
  <c r="C14" i="202"/>
  <c r="D13" i="202"/>
  <c r="F255" i="225"/>
  <c r="J255" i="225"/>
  <c r="F264" i="225"/>
  <c r="J264" i="225"/>
  <c r="G452" i="215"/>
  <c r="F453" i="215"/>
  <c r="F254" i="213"/>
  <c r="G254" i="213" s="1"/>
  <c r="I254" i="213" s="1"/>
  <c r="K250" i="225"/>
  <c r="G250" i="225"/>
  <c r="L250" i="225" s="1"/>
  <c r="J267" i="225"/>
  <c r="F267" i="225"/>
  <c r="Q52" i="210"/>
  <c r="E52" i="210" s="1"/>
  <c r="K15" i="210"/>
  <c r="AC340" i="199" s="1"/>
  <c r="Q54" i="210"/>
  <c r="E54" i="210" s="1"/>
  <c r="K17" i="210"/>
  <c r="K22" i="210"/>
  <c r="Q59" i="210"/>
  <c r="E59" i="210" s="1"/>
  <c r="AC364" i="199"/>
  <c r="C18" i="210"/>
  <c r="E18" i="210" s="1"/>
  <c r="J170" i="217"/>
  <c r="I252" i="225"/>
  <c r="E252" i="225"/>
  <c r="F7" i="216"/>
  <c r="E29" i="202"/>
  <c r="D18" i="106"/>
  <c r="F41" i="100"/>
  <c r="E136" i="225"/>
  <c r="I136" i="225"/>
  <c r="D171" i="218"/>
  <c r="E171" i="218" s="1"/>
  <c r="AG449" i="199"/>
  <c r="E53" i="100"/>
  <c r="L14" i="210"/>
  <c r="N14" i="210" s="1"/>
  <c r="K16" i="210"/>
  <c r="M16" i="210" s="1"/>
  <c r="Q53" i="210"/>
  <c r="E53" i="210" s="1"/>
  <c r="Q60" i="210"/>
  <c r="E60" i="210" s="1"/>
  <c r="K23" i="210"/>
  <c r="F387" i="215"/>
  <c r="F153" i="213"/>
  <c r="G153" i="213" s="1"/>
  <c r="I153" i="213" s="1"/>
  <c r="G386" i="215"/>
  <c r="D253" i="225" s="1"/>
  <c r="F256" i="225"/>
  <c r="J256" i="225"/>
  <c r="D72" i="210"/>
  <c r="D89" i="210" s="1"/>
  <c r="C89" i="210"/>
  <c r="E119" i="225"/>
  <c r="I119" i="225"/>
  <c r="I73" i="210"/>
  <c r="I90" i="210" s="1"/>
  <c r="AG348" i="199" s="1"/>
  <c r="H52" i="210"/>
  <c r="G53" i="210"/>
  <c r="F15" i="210"/>
  <c r="M15" i="210"/>
  <c r="C32" i="210"/>
  <c r="N158" i="41"/>
  <c r="C33" i="210"/>
  <c r="F16" i="210"/>
  <c r="F72" i="210"/>
  <c r="F89" i="210" s="1"/>
  <c r="F51" i="210"/>
  <c r="C164" i="217"/>
  <c r="C53" i="210"/>
  <c r="D52" i="210"/>
  <c r="C73" i="210"/>
  <c r="J261" i="225"/>
  <c r="F261" i="225"/>
  <c r="L482" i="218"/>
  <c r="F225" i="215"/>
  <c r="G224" i="215"/>
  <c r="D123" i="225" s="1"/>
  <c r="J251" i="225"/>
  <c r="F251" i="225"/>
  <c r="F260" i="225"/>
  <c r="J260" i="225"/>
  <c r="K143" i="225"/>
  <c r="G143" i="225"/>
  <c r="L143" i="225" s="1"/>
  <c r="M398" i="215"/>
  <c r="N397" i="215"/>
  <c r="F197" i="213"/>
  <c r="G197" i="213" s="1"/>
  <c r="I197" i="213" s="1"/>
  <c r="Q57" i="210"/>
  <c r="E57" i="210" s="1"/>
  <c r="K20" i="210"/>
  <c r="Q58" i="210"/>
  <c r="E58" i="210" s="1"/>
  <c r="K21" i="210"/>
  <c r="L483" i="218"/>
  <c r="M483" i="218" s="1"/>
  <c r="F107" i="225"/>
  <c r="J107" i="225"/>
  <c r="D30" i="202" l="1"/>
  <c r="AE116" i="199"/>
  <c r="E30" i="202"/>
  <c r="C30" i="202"/>
  <c r="F108" i="225"/>
  <c r="G108" i="225" s="1"/>
  <c r="L108" i="225" s="1"/>
  <c r="G506" i="215"/>
  <c r="F262" i="213"/>
  <c r="G262" i="213" s="1"/>
  <c r="I262" i="213" s="1"/>
  <c r="F507" i="215"/>
  <c r="C165" i="217"/>
  <c r="I120" i="225"/>
  <c r="I118" i="225" s="1"/>
  <c r="K160" i="225"/>
  <c r="K151" i="225" s="1"/>
  <c r="G160" i="225"/>
  <c r="L160" i="225" s="1"/>
  <c r="L151" i="225" s="1"/>
  <c r="G110" i="225"/>
  <c r="L110" i="225" s="1"/>
  <c r="F144" i="225"/>
  <c r="G144" i="225" s="1"/>
  <c r="L144" i="225" s="1"/>
  <c r="L484" i="218"/>
  <c r="F224" i="225"/>
  <c r="J224" i="225"/>
  <c r="J215" i="225"/>
  <c r="F486" i="225" s="1"/>
  <c r="G262" i="225"/>
  <c r="L262" i="225" s="1"/>
  <c r="K262" i="225"/>
  <c r="G472" i="215"/>
  <c r="F279" i="213"/>
  <c r="G279" i="213" s="1"/>
  <c r="I279" i="213" s="1"/>
  <c r="F473" i="215"/>
  <c r="G223" i="225"/>
  <c r="L223" i="225" s="1"/>
  <c r="K223" i="225"/>
  <c r="G228" i="225"/>
  <c r="L228" i="225" s="1"/>
  <c r="K228" i="225"/>
  <c r="G259" i="225"/>
  <c r="L259" i="225" s="1"/>
  <c r="K259" i="225"/>
  <c r="M482" i="218"/>
  <c r="M484" i="218" s="1"/>
  <c r="J254" i="225"/>
  <c r="E172" i="218"/>
  <c r="K170" i="217"/>
  <c r="F582" i="215"/>
  <c r="G581" i="215"/>
  <c r="F303" i="213"/>
  <c r="G303" i="213" s="1"/>
  <c r="I303" i="213" s="1"/>
  <c r="G564" i="215"/>
  <c r="F270" i="213"/>
  <c r="G270" i="213" s="1"/>
  <c r="I270" i="213" s="1"/>
  <c r="I271" i="213" s="1"/>
  <c r="F112" i="225"/>
  <c r="J112" i="225"/>
  <c r="J106" i="225"/>
  <c r="G111" i="225"/>
  <c r="L111" i="225" s="1"/>
  <c r="K111" i="225"/>
  <c r="G215" i="215"/>
  <c r="D114" i="225" s="1"/>
  <c r="F216" i="215"/>
  <c r="E113" i="225"/>
  <c r="I113" i="225"/>
  <c r="L15" i="210"/>
  <c r="N15" i="210" s="1"/>
  <c r="F32" i="210"/>
  <c r="G32" i="210" s="1"/>
  <c r="H32" i="210" s="1"/>
  <c r="G107" i="225"/>
  <c r="L107" i="225" s="1"/>
  <c r="K107" i="225"/>
  <c r="D172" i="218"/>
  <c r="F60" i="210"/>
  <c r="F81" i="210"/>
  <c r="F98" i="210" s="1"/>
  <c r="U356" i="199" s="1"/>
  <c r="G41" i="100"/>
  <c r="E18" i="106"/>
  <c r="H89" i="210"/>
  <c r="J72" i="210"/>
  <c r="J89" i="210" s="1"/>
  <c r="F122" i="225"/>
  <c r="J122" i="225"/>
  <c r="F35" i="210"/>
  <c r="L18" i="210"/>
  <c r="F57" i="210"/>
  <c r="F78" i="210"/>
  <c r="F95" i="210" s="1"/>
  <c r="U353" i="199" s="1"/>
  <c r="I253" i="225"/>
  <c r="I249" i="225" s="1"/>
  <c r="E253" i="225"/>
  <c r="C35" i="210"/>
  <c r="M18" i="210"/>
  <c r="F18" i="210"/>
  <c r="I123" i="225"/>
  <c r="E123" i="225"/>
  <c r="G54" i="210"/>
  <c r="I74" i="210"/>
  <c r="I91" i="210" s="1"/>
  <c r="AG349" i="199" s="1"/>
  <c r="H53" i="210"/>
  <c r="F119" i="225"/>
  <c r="J119" i="225"/>
  <c r="F154" i="213"/>
  <c r="G154" i="213" s="1"/>
  <c r="I154" i="213" s="1"/>
  <c r="I155" i="213" s="1"/>
  <c r="G387" i="215"/>
  <c r="D271" i="225" s="1"/>
  <c r="L17" i="210"/>
  <c r="N17" i="210" s="1"/>
  <c r="F34" i="210"/>
  <c r="G34" i="210" s="1"/>
  <c r="H34" i="210" s="1"/>
  <c r="K264" i="225"/>
  <c r="G264" i="225"/>
  <c r="L264" i="225" s="1"/>
  <c r="J145" i="225"/>
  <c r="F145" i="225"/>
  <c r="F62" i="210"/>
  <c r="F83" i="210"/>
  <c r="F100" i="210" s="1"/>
  <c r="U358" i="199" s="1"/>
  <c r="L24" i="210"/>
  <c r="F41" i="210"/>
  <c r="L20" i="210"/>
  <c r="F37" i="210"/>
  <c r="N398" i="215"/>
  <c r="F198" i="213"/>
  <c r="G198" i="213" s="1"/>
  <c r="I198" i="213" s="1"/>
  <c r="I199" i="213" s="1"/>
  <c r="G260" i="225"/>
  <c r="L260" i="225" s="1"/>
  <c r="K260" i="225"/>
  <c r="F226" i="215"/>
  <c r="G225" i="215"/>
  <c r="D124" i="225" s="1"/>
  <c r="C90" i="210"/>
  <c r="I348" i="199" s="1"/>
  <c r="D73" i="210"/>
  <c r="D90" i="210" s="1"/>
  <c r="M348" i="199" s="1"/>
  <c r="D164" i="217"/>
  <c r="D165" i="217" s="1"/>
  <c r="C22" i="21"/>
  <c r="K256" i="225"/>
  <c r="G256" i="225"/>
  <c r="L256" i="225" s="1"/>
  <c r="F53" i="210"/>
  <c r="F74" i="210"/>
  <c r="F91" i="210" s="1"/>
  <c r="U349" i="199" s="1"/>
  <c r="AT501" i="199"/>
  <c r="AE101" i="199"/>
  <c r="C420" i="215"/>
  <c r="AE100" i="199"/>
  <c r="F54" i="210"/>
  <c r="F75" i="210"/>
  <c r="F92" i="210" s="1"/>
  <c r="U350" i="199" s="1"/>
  <c r="G267" i="225"/>
  <c r="L267" i="225" s="1"/>
  <c r="K267" i="225"/>
  <c r="F454" i="215"/>
  <c r="F255" i="213"/>
  <c r="G255" i="213" s="1"/>
  <c r="I255" i="213" s="1"/>
  <c r="G453" i="215"/>
  <c r="E14" i="202"/>
  <c r="C15" i="202"/>
  <c r="D14" i="202"/>
  <c r="E146" i="225"/>
  <c r="I146" i="225"/>
  <c r="D147" i="225"/>
  <c r="G257" i="225"/>
  <c r="L257" i="225" s="1"/>
  <c r="K257" i="225"/>
  <c r="M17" i="210"/>
  <c r="F82" i="210"/>
  <c r="F99" i="210" s="1"/>
  <c r="U357" i="199" s="1"/>
  <c r="F61" i="210"/>
  <c r="F55" i="210"/>
  <c r="F76" i="210"/>
  <c r="F93" i="210" s="1"/>
  <c r="U351" i="199" s="1"/>
  <c r="F80" i="210"/>
  <c r="F97" i="210" s="1"/>
  <c r="U355" i="199" s="1"/>
  <c r="F59" i="210"/>
  <c r="C19" i="210"/>
  <c r="E19" i="210" s="1"/>
  <c r="AF364" i="199"/>
  <c r="F56" i="210"/>
  <c r="F77" i="210"/>
  <c r="F94" i="210" s="1"/>
  <c r="U352" i="199" s="1"/>
  <c r="C24" i="21"/>
  <c r="M30" i="100"/>
  <c r="N30" i="100" s="1"/>
  <c r="O30" i="100" s="1"/>
  <c r="Z665" i="199" s="1"/>
  <c r="W665" i="199"/>
  <c r="E137" i="225"/>
  <c r="I137" i="225"/>
  <c r="W643" i="199"/>
  <c r="Z641" i="199"/>
  <c r="L21" i="210"/>
  <c r="F38" i="210"/>
  <c r="G251" i="225"/>
  <c r="L251" i="225" s="1"/>
  <c r="K251" i="225"/>
  <c r="F33" i="210"/>
  <c r="G33" i="210" s="1"/>
  <c r="H33" i="210" s="1"/>
  <c r="L16" i="210"/>
  <c r="N16" i="210" s="1"/>
  <c r="F136" i="225"/>
  <c r="J136" i="225"/>
  <c r="F58" i="210"/>
  <c r="F79" i="210"/>
  <c r="F96" i="210" s="1"/>
  <c r="U354" i="199" s="1"/>
  <c r="G261" i="225"/>
  <c r="L261" i="225" s="1"/>
  <c r="K261" i="225"/>
  <c r="C54" i="210"/>
  <c r="D53" i="210"/>
  <c r="C74" i="210"/>
  <c r="F120" i="225"/>
  <c r="J120" i="225"/>
  <c r="C23" i="21"/>
  <c r="L23" i="210"/>
  <c r="F40" i="210"/>
  <c r="J31" i="210"/>
  <c r="E72" i="210" s="1"/>
  <c r="F21" i="21"/>
  <c r="G21" i="21" s="1"/>
  <c r="H21" i="21" s="1"/>
  <c r="I21" i="21" s="1"/>
  <c r="F252" i="225"/>
  <c r="J252" i="225"/>
  <c r="F39" i="210"/>
  <c r="L22" i="210"/>
  <c r="F52" i="210"/>
  <c r="F73" i="210"/>
  <c r="F90" i="210" s="1"/>
  <c r="U348" i="199" s="1"/>
  <c r="K255" i="225"/>
  <c r="G255" i="225"/>
  <c r="L255" i="225" s="1"/>
  <c r="L19" i="210"/>
  <c r="F36" i="210"/>
  <c r="G31" i="210"/>
  <c r="H31" i="210" s="1"/>
  <c r="F42" i="210"/>
  <c r="AH340" i="199"/>
  <c r="L25" i="210"/>
  <c r="F242" i="215"/>
  <c r="G241" i="215"/>
  <c r="D138" i="225" s="1"/>
  <c r="U570" i="199"/>
  <c r="AA458" i="199"/>
  <c r="K263" i="225"/>
  <c r="G263" i="225"/>
  <c r="L263" i="225" s="1"/>
  <c r="H80" i="100"/>
  <c r="H71" i="100"/>
  <c r="F39" i="106"/>
  <c r="L168" i="217"/>
  <c r="L170" i="217" s="1"/>
  <c r="K34" i="210" l="1"/>
  <c r="H75" i="210" s="1"/>
  <c r="H92" i="210" s="1"/>
  <c r="AC350" i="199" s="1"/>
  <c r="K108" i="225"/>
  <c r="K106" i="225" s="1"/>
  <c r="F263" i="213"/>
  <c r="G263" i="213" s="1"/>
  <c r="I263" i="213" s="1"/>
  <c r="I264" i="213" s="1"/>
  <c r="G507" i="215"/>
  <c r="K32" i="210"/>
  <c r="H73" i="210" s="1"/>
  <c r="H90" i="210" s="1"/>
  <c r="AC348" i="199" s="1"/>
  <c r="K33" i="210"/>
  <c r="H74" i="210" s="1"/>
  <c r="K144" i="225"/>
  <c r="G224" i="225"/>
  <c r="L224" i="225" s="1"/>
  <c r="L215" i="225" s="1"/>
  <c r="L486" i="225" s="1"/>
  <c r="Z649" i="199" s="1"/>
  <c r="K224" i="225"/>
  <c r="K215" i="225" s="1"/>
  <c r="I486" i="225" s="1"/>
  <c r="N18" i="210"/>
  <c r="F474" i="215"/>
  <c r="F280" i="213"/>
  <c r="G280" i="213" s="1"/>
  <c r="I280" i="213" s="1"/>
  <c r="G473" i="215"/>
  <c r="H486" i="225"/>
  <c r="G486" i="225"/>
  <c r="T649" i="199"/>
  <c r="G582" i="215"/>
  <c r="F304" i="213"/>
  <c r="G304" i="213" s="1"/>
  <c r="I304" i="213" s="1"/>
  <c r="F583" i="215"/>
  <c r="C357" i="213"/>
  <c r="AG450" i="199" s="1"/>
  <c r="I114" i="225"/>
  <c r="E114" i="225"/>
  <c r="K112" i="225"/>
  <c r="G112" i="225"/>
  <c r="L112" i="225" s="1"/>
  <c r="F113" i="225"/>
  <c r="J113" i="225"/>
  <c r="F217" i="215"/>
  <c r="G216" i="215"/>
  <c r="D115" i="225" s="1"/>
  <c r="AG451" i="199"/>
  <c r="AG446" i="199"/>
  <c r="I171" i="213"/>
  <c r="I215" i="213" s="1"/>
  <c r="F26" i="21"/>
  <c r="J36" i="210"/>
  <c r="E77" i="210" s="1"/>
  <c r="I80" i="100"/>
  <c r="T644" i="199"/>
  <c r="I71" i="100"/>
  <c r="T672" i="199" s="1"/>
  <c r="G39" i="106"/>
  <c r="U571" i="199"/>
  <c r="AA459" i="199"/>
  <c r="U572" i="199" s="1"/>
  <c r="AQ613" i="199" s="1"/>
  <c r="K254" i="225"/>
  <c r="G252" i="225"/>
  <c r="L252" i="225" s="1"/>
  <c r="K252" i="225"/>
  <c r="J40" i="210"/>
  <c r="E81" i="210" s="1"/>
  <c r="F30" i="21"/>
  <c r="K120" i="225"/>
  <c r="G120" i="225"/>
  <c r="L120" i="225" s="1"/>
  <c r="F28" i="21"/>
  <c r="J38" i="210"/>
  <c r="E79" i="210" s="1"/>
  <c r="J146" i="225"/>
  <c r="F146" i="225"/>
  <c r="E124" i="225"/>
  <c r="I124" i="225"/>
  <c r="E271" i="225"/>
  <c r="I271" i="225"/>
  <c r="I268" i="225" s="1"/>
  <c r="C25" i="21"/>
  <c r="G35" i="210"/>
  <c r="H35" i="210" s="1"/>
  <c r="K35" i="210"/>
  <c r="H76" i="210" s="1"/>
  <c r="G122" i="225"/>
  <c r="L122" i="225" s="1"/>
  <c r="K122" i="225"/>
  <c r="J32" i="210"/>
  <c r="E73" i="210" s="1"/>
  <c r="F22" i="21"/>
  <c r="G22" i="21" s="1"/>
  <c r="H22" i="21" s="1"/>
  <c r="I22" i="21" s="1"/>
  <c r="F31" i="21"/>
  <c r="J41" i="210"/>
  <c r="E82" i="210" s="1"/>
  <c r="J253" i="225"/>
  <c r="J249" i="225" s="1"/>
  <c r="F253" i="225"/>
  <c r="J35" i="210"/>
  <c r="E76" i="210" s="1"/>
  <c r="F25" i="21"/>
  <c r="C356" i="213"/>
  <c r="J137" i="225"/>
  <c r="F137" i="225"/>
  <c r="I147" i="225"/>
  <c r="D148" i="225"/>
  <c r="E147" i="225"/>
  <c r="E15" i="202"/>
  <c r="C16" i="202"/>
  <c r="D15" i="202"/>
  <c r="F256" i="213"/>
  <c r="G256" i="213" s="1"/>
  <c r="I256" i="213" s="1"/>
  <c r="I257" i="213" s="1"/>
  <c r="G454" i="215"/>
  <c r="G226" i="215"/>
  <c r="D125" i="225" s="1"/>
  <c r="F227" i="215"/>
  <c r="K145" i="225"/>
  <c r="G145" i="225"/>
  <c r="L145" i="225" s="1"/>
  <c r="F24" i="21"/>
  <c r="G24" i="21" s="1"/>
  <c r="H24" i="21" s="1"/>
  <c r="J34" i="210"/>
  <c r="E75" i="210" s="1"/>
  <c r="J118" i="225"/>
  <c r="H54" i="210"/>
  <c r="G55" i="210"/>
  <c r="I75" i="210"/>
  <c r="I92" i="210" s="1"/>
  <c r="AG350" i="199" s="1"/>
  <c r="P30" i="100"/>
  <c r="L106" i="225"/>
  <c r="D74" i="210"/>
  <c r="D91" i="210" s="1"/>
  <c r="M349" i="199" s="1"/>
  <c r="C91" i="210"/>
  <c r="I349" i="199" s="1"/>
  <c r="G136" i="225"/>
  <c r="L136" i="225" s="1"/>
  <c r="K136" i="225"/>
  <c r="H41" i="100"/>
  <c r="F18" i="106"/>
  <c r="I138" i="225"/>
  <c r="E138" i="225"/>
  <c r="F29" i="21"/>
  <c r="J39" i="210"/>
  <c r="E80" i="210" s="1"/>
  <c r="F243" i="215"/>
  <c r="G242" i="215"/>
  <c r="D139" i="225" s="1"/>
  <c r="F32" i="21"/>
  <c r="J42" i="210"/>
  <c r="E83" i="210" s="1"/>
  <c r="L254" i="225"/>
  <c r="G72" i="210"/>
  <c r="G89" i="210" s="1"/>
  <c r="E89" i="210"/>
  <c r="C55" i="210"/>
  <c r="D54" i="210"/>
  <c r="C75" i="210"/>
  <c r="J33" i="210"/>
  <c r="E74" i="210" s="1"/>
  <c r="F23" i="21"/>
  <c r="G23" i="21" s="1"/>
  <c r="H23" i="21" s="1"/>
  <c r="I23" i="21" s="1"/>
  <c r="Z643" i="199"/>
  <c r="AC641" i="199"/>
  <c r="C36" i="210"/>
  <c r="F19" i="210"/>
  <c r="N19" i="210" s="1"/>
  <c r="M19" i="210"/>
  <c r="AI364" i="199"/>
  <c r="C20" i="210"/>
  <c r="E20" i="210" s="1"/>
  <c r="J37" i="210"/>
  <c r="E78" i="210" s="1"/>
  <c r="F27" i="21"/>
  <c r="G119" i="225"/>
  <c r="L119" i="225" s="1"/>
  <c r="K119" i="225"/>
  <c r="J123" i="225"/>
  <c r="F123" i="225"/>
  <c r="AO613" i="199"/>
  <c r="I272" i="213" l="1"/>
  <c r="AG457" i="199" s="1"/>
  <c r="AT503" i="199" s="1"/>
  <c r="V224" i="199"/>
  <c r="V225" i="199" s="1"/>
  <c r="Z745" i="199" s="1"/>
  <c r="J73" i="210"/>
  <c r="J90" i="210" s="1"/>
  <c r="AK348" i="199" s="1"/>
  <c r="J75" i="210"/>
  <c r="J92" i="210" s="1"/>
  <c r="AK350" i="199" s="1"/>
  <c r="F281" i="213"/>
  <c r="G281" i="213" s="1"/>
  <c r="I281" i="213" s="1"/>
  <c r="G474" i="215"/>
  <c r="F475" i="215"/>
  <c r="K486" i="225"/>
  <c r="J486" i="225"/>
  <c r="W649" i="199"/>
  <c r="AT500" i="199"/>
  <c r="AC613" i="199"/>
  <c r="AI613" i="199"/>
  <c r="W610" i="199"/>
  <c r="AM611" i="199"/>
  <c r="AQ612" i="199"/>
  <c r="Y612" i="199"/>
  <c r="AG611" i="199"/>
  <c r="AM610" i="199"/>
  <c r="AO612" i="199"/>
  <c r="W613" i="199"/>
  <c r="AE610" i="199"/>
  <c r="AK613" i="199"/>
  <c r="F305" i="213"/>
  <c r="G305" i="213" s="1"/>
  <c r="I305" i="213" s="1"/>
  <c r="F584" i="215"/>
  <c r="G583" i="215"/>
  <c r="G25" i="21"/>
  <c r="H25" i="21" s="1"/>
  <c r="I25" i="21" s="1"/>
  <c r="L118" i="225"/>
  <c r="I115" i="225"/>
  <c r="E115" i="225"/>
  <c r="F218" i="215"/>
  <c r="G218" i="215" s="1"/>
  <c r="D117" i="225" s="1"/>
  <c r="E117" i="225" s="1"/>
  <c r="G217" i="215"/>
  <c r="D116" i="225" s="1"/>
  <c r="K118" i="225"/>
  <c r="F114" i="225"/>
  <c r="J114" i="225"/>
  <c r="G113" i="225"/>
  <c r="L113" i="225" s="1"/>
  <c r="K113" i="225"/>
  <c r="I24" i="21"/>
  <c r="G253" i="225"/>
  <c r="L253" i="225" s="1"/>
  <c r="L249" i="225" s="1"/>
  <c r="K253" i="225"/>
  <c r="K249" i="225" s="1"/>
  <c r="AE611" i="199"/>
  <c r="Y611" i="199"/>
  <c r="AF641" i="199"/>
  <c r="AC643" i="199"/>
  <c r="D75" i="210"/>
  <c r="D92" i="210" s="1"/>
  <c r="M350" i="199" s="1"/>
  <c r="C92" i="210"/>
  <c r="I350" i="199" s="1"/>
  <c r="E46" i="215"/>
  <c r="E61" i="215" s="1"/>
  <c r="E97" i="210"/>
  <c r="Q355" i="199" s="1"/>
  <c r="G80" i="210"/>
  <c r="G97" i="210" s="1"/>
  <c r="Y355" i="199" s="1"/>
  <c r="F138" i="225"/>
  <c r="J138" i="225"/>
  <c r="I41" i="100"/>
  <c r="G18" i="106"/>
  <c r="AK611" i="199"/>
  <c r="AS612" i="199"/>
  <c r="AS613" i="199"/>
  <c r="G123" i="225"/>
  <c r="L123" i="225" s="1"/>
  <c r="K123" i="225"/>
  <c r="K36" i="210"/>
  <c r="H77" i="210" s="1"/>
  <c r="C26" i="21"/>
  <c r="G26" i="21" s="1"/>
  <c r="H26" i="21" s="1"/>
  <c r="I26" i="21" s="1"/>
  <c r="G36" i="210"/>
  <c r="E139" i="225"/>
  <c r="I139" i="225"/>
  <c r="AA610" i="199"/>
  <c r="W612" i="199"/>
  <c r="AG613" i="199"/>
  <c r="AE613" i="199"/>
  <c r="J147" i="225"/>
  <c r="F147" i="225"/>
  <c r="AI611" i="199"/>
  <c r="G76" i="210"/>
  <c r="G93" i="210" s="1"/>
  <c r="Y351" i="199" s="1"/>
  <c r="E93" i="210"/>
  <c r="Q351" i="199" s="1"/>
  <c r="E90" i="210"/>
  <c r="Q348" i="199" s="1"/>
  <c r="G73" i="210"/>
  <c r="G90" i="210" s="1"/>
  <c r="Y348" i="199" s="1"/>
  <c r="AG612" i="199"/>
  <c r="U611" i="199"/>
  <c r="AK610" i="199"/>
  <c r="AQ611" i="199"/>
  <c r="D46" i="215"/>
  <c r="D61" i="215" s="1"/>
  <c r="E94" i="210"/>
  <c r="Q352" i="199" s="1"/>
  <c r="G77" i="210"/>
  <c r="G94" i="210" s="1"/>
  <c r="Y352" i="199" s="1"/>
  <c r="G78" i="210"/>
  <c r="G95" i="210" s="1"/>
  <c r="Y353" i="199" s="1"/>
  <c r="E95" i="210"/>
  <c r="Q353" i="199" s="1"/>
  <c r="D55" i="210"/>
  <c r="C56" i="210"/>
  <c r="C76" i="210"/>
  <c r="E100" i="210"/>
  <c r="Q358" i="199" s="1"/>
  <c r="F46" i="215"/>
  <c r="F61" i="215" s="1"/>
  <c r="G83" i="210"/>
  <c r="G100" i="210" s="1"/>
  <c r="Y358" i="199" s="1"/>
  <c r="G243" i="215"/>
  <c r="D140" i="225" s="1"/>
  <c r="J25" i="21"/>
  <c r="K25" i="21" s="1"/>
  <c r="J124" i="225"/>
  <c r="F124" i="225"/>
  <c r="E98" i="210"/>
  <c r="Q356" i="199" s="1"/>
  <c r="G81" i="210"/>
  <c r="G98" i="210" s="1"/>
  <c r="Y356" i="199" s="1"/>
  <c r="AK612" i="199"/>
  <c r="AM612" i="199"/>
  <c r="F20" i="210"/>
  <c r="N20" i="210" s="1"/>
  <c r="C37" i="210"/>
  <c r="M20" i="210"/>
  <c r="C46" i="215"/>
  <c r="C61" i="215" s="1"/>
  <c r="G74" i="210"/>
  <c r="G91" i="210" s="1"/>
  <c r="Y349" i="199" s="1"/>
  <c r="E91" i="210"/>
  <c r="Q349" i="199" s="1"/>
  <c r="H91" i="210"/>
  <c r="AC349" i="199" s="1"/>
  <c r="J74" i="210"/>
  <c r="J91" i="210" s="1"/>
  <c r="AK349" i="199" s="1"/>
  <c r="AG610" i="199"/>
  <c r="AE612" i="199"/>
  <c r="W611" i="199"/>
  <c r="AA611" i="199"/>
  <c r="AS614" i="199"/>
  <c r="E92" i="210"/>
  <c r="Q350" i="199" s="1"/>
  <c r="G75" i="210"/>
  <c r="G92" i="210" s="1"/>
  <c r="Y350" i="199" s="1"/>
  <c r="F228" i="215"/>
  <c r="G227" i="215"/>
  <c r="D126" i="225" s="1"/>
  <c r="C17" i="202"/>
  <c r="D16" i="202"/>
  <c r="E16" i="202"/>
  <c r="AC610" i="199"/>
  <c r="AI610" i="199"/>
  <c r="Y610" i="199"/>
  <c r="AI612" i="199"/>
  <c r="G146" i="225"/>
  <c r="L146" i="225" s="1"/>
  <c r="K146" i="225"/>
  <c r="G79" i="210"/>
  <c r="G96" i="210" s="1"/>
  <c r="Y354" i="199" s="1"/>
  <c r="E96" i="210"/>
  <c r="Q354" i="199" s="1"/>
  <c r="J80" i="100"/>
  <c r="J71" i="100"/>
  <c r="H39" i="106"/>
  <c r="E15" i="100"/>
  <c r="E56" i="100" s="1"/>
  <c r="I148" i="225"/>
  <c r="D149" i="225"/>
  <c r="E148" i="225"/>
  <c r="AG445" i="199"/>
  <c r="C359" i="213"/>
  <c r="AO611" i="199"/>
  <c r="U612" i="199"/>
  <c r="Y613" i="199"/>
  <c r="U610" i="199"/>
  <c r="AA612" i="199"/>
  <c r="AC611" i="199"/>
  <c r="G56" i="210"/>
  <c r="I76" i="210"/>
  <c r="I93" i="210" s="1"/>
  <c r="AG351" i="199" s="1"/>
  <c r="H55" i="210"/>
  <c r="E125" i="225"/>
  <c r="I125" i="225"/>
  <c r="AL364" i="199"/>
  <c r="C21" i="210"/>
  <c r="E21" i="210" s="1"/>
  <c r="G137" i="225"/>
  <c r="L137" i="225" s="1"/>
  <c r="K137" i="225"/>
  <c r="U613" i="199"/>
  <c r="E99" i="210"/>
  <c r="Q357" i="199" s="1"/>
  <c r="G82" i="210"/>
  <c r="G99" i="210" s="1"/>
  <c r="Y357" i="199" s="1"/>
  <c r="AO610" i="199"/>
  <c r="AC612" i="199"/>
  <c r="AM613" i="199"/>
  <c r="H93" i="210"/>
  <c r="AC351" i="199" s="1"/>
  <c r="F271" i="225"/>
  <c r="J271" i="225"/>
  <c r="J268" i="225" s="1"/>
  <c r="AQ610" i="199"/>
  <c r="AA613" i="199"/>
  <c r="AT502" i="199" l="1"/>
  <c r="AS525" i="199" s="1"/>
  <c r="M486" i="225"/>
  <c r="I117" i="225"/>
  <c r="F282" i="213"/>
  <c r="G282" i="213" s="1"/>
  <c r="I282" i="213" s="1"/>
  <c r="F476" i="215"/>
  <c r="G475" i="215"/>
  <c r="G584" i="215"/>
  <c r="F306" i="213"/>
  <c r="G306" i="213" s="1"/>
  <c r="I306" i="213" s="1"/>
  <c r="F585" i="215"/>
  <c r="E116" i="225"/>
  <c r="I116" i="225"/>
  <c r="K114" i="225"/>
  <c r="G114" i="225"/>
  <c r="L114" i="225" s="1"/>
  <c r="J115" i="225"/>
  <c r="F115" i="225"/>
  <c r="K271" i="225"/>
  <c r="K268" i="225" s="1"/>
  <c r="G271" i="225"/>
  <c r="L271" i="225" s="1"/>
  <c r="L268" i="225" s="1"/>
  <c r="J76" i="210"/>
  <c r="J93" i="210" s="1"/>
  <c r="AK351" i="199" s="1"/>
  <c r="I77" i="210"/>
  <c r="I94" i="210" s="1"/>
  <c r="AG352" i="199" s="1"/>
  <c r="H56" i="210"/>
  <c r="G57" i="210"/>
  <c r="F148" i="225"/>
  <c r="J148" i="225"/>
  <c r="AO364" i="199"/>
  <c r="C22" i="210"/>
  <c r="E22" i="210" s="1"/>
  <c r="I126" i="225"/>
  <c r="E126" i="225"/>
  <c r="K37" i="210"/>
  <c r="H78" i="210" s="1"/>
  <c r="G37" i="210"/>
  <c r="H37" i="210" s="1"/>
  <c r="C27" i="21"/>
  <c r="G27" i="21" s="1"/>
  <c r="H27" i="21" s="1"/>
  <c r="I27" i="21" s="1"/>
  <c r="G124" i="225"/>
  <c r="L124" i="225" s="1"/>
  <c r="K124" i="225"/>
  <c r="F63" i="215"/>
  <c r="F64" i="215" s="1"/>
  <c r="F60" i="215"/>
  <c r="F99" i="215"/>
  <c r="K147" i="225"/>
  <c r="G147" i="225"/>
  <c r="L147" i="225" s="1"/>
  <c r="B460" i="225"/>
  <c r="B462" i="225"/>
  <c r="H36" i="210"/>
  <c r="B461" i="225"/>
  <c r="E60" i="215"/>
  <c r="E63" i="215"/>
  <c r="E64" i="215" s="1"/>
  <c r="E99" i="215"/>
  <c r="G228" i="215"/>
  <c r="D127" i="225" s="1"/>
  <c r="F229" i="215"/>
  <c r="D99" i="215"/>
  <c r="D60" i="215"/>
  <c r="D63" i="215"/>
  <c r="D64" i="215" s="1"/>
  <c r="J26" i="21"/>
  <c r="K26" i="21" s="1"/>
  <c r="G138" i="225"/>
  <c r="L138" i="225" s="1"/>
  <c r="K138" i="225"/>
  <c r="F125" i="225"/>
  <c r="J125" i="225"/>
  <c r="E149" i="225"/>
  <c r="D150" i="225"/>
  <c r="I149" i="225"/>
  <c r="K80" i="100"/>
  <c r="I39" i="106"/>
  <c r="K71" i="100"/>
  <c r="M21" i="210"/>
  <c r="C38" i="210"/>
  <c r="F21" i="210"/>
  <c r="N21" i="210" s="1"/>
  <c r="E17" i="202"/>
  <c r="D17" i="202"/>
  <c r="C18" i="202"/>
  <c r="C63" i="215"/>
  <c r="C64" i="215" s="1"/>
  <c r="C60" i="215"/>
  <c r="C99" i="215"/>
  <c r="E140" i="225"/>
  <c r="I140" i="225"/>
  <c r="I135" i="225" s="1"/>
  <c r="C93" i="210"/>
  <c r="I351" i="199" s="1"/>
  <c r="D76" i="210"/>
  <c r="D93" i="210" s="1"/>
  <c r="M351" i="199" s="1"/>
  <c r="H94" i="210"/>
  <c r="AC352" i="199" s="1"/>
  <c r="J77" i="210"/>
  <c r="J94" i="210" s="1"/>
  <c r="AK352" i="199" s="1"/>
  <c r="J117" i="225"/>
  <c r="F117" i="225"/>
  <c r="C57" i="210"/>
  <c r="D56" i="210"/>
  <c r="C77" i="210"/>
  <c r="F139" i="225"/>
  <c r="J139" i="225"/>
  <c r="J41" i="100"/>
  <c r="H18" i="106"/>
  <c r="AI641" i="199"/>
  <c r="AF643" i="199"/>
  <c r="J24" i="21"/>
  <c r="K24" i="21" s="1"/>
  <c r="I109" i="225" l="1"/>
  <c r="D101" i="215"/>
  <c r="D103" i="215" s="1"/>
  <c r="D104" i="215" s="1"/>
  <c r="C101" i="215"/>
  <c r="C103" i="215" s="1"/>
  <c r="C104" i="215" s="1"/>
  <c r="E101" i="215"/>
  <c r="E103" i="215" s="1"/>
  <c r="E104" i="215" s="1"/>
  <c r="F101" i="215"/>
  <c r="F103" i="215" s="1"/>
  <c r="F104" i="215" s="1"/>
  <c r="F477" i="215"/>
  <c r="G476" i="215"/>
  <c r="F283" i="213"/>
  <c r="G283" i="213" s="1"/>
  <c r="I283" i="213" s="1"/>
  <c r="F586" i="215"/>
  <c r="G585" i="215"/>
  <c r="F307" i="213"/>
  <c r="G307" i="213" s="1"/>
  <c r="I307" i="213" s="1"/>
  <c r="F116" i="225"/>
  <c r="J116" i="225"/>
  <c r="J109" i="225" s="1"/>
  <c r="K115" i="225"/>
  <c r="G115" i="225"/>
  <c r="L115" i="225" s="1"/>
  <c r="L24" i="21"/>
  <c r="M24" i="21" s="1"/>
  <c r="D77" i="210"/>
  <c r="D94" i="210" s="1"/>
  <c r="M352" i="199" s="1"/>
  <c r="C94" i="210"/>
  <c r="I352" i="199" s="1"/>
  <c r="AR364" i="199"/>
  <c r="C23" i="210"/>
  <c r="E23" i="210" s="1"/>
  <c r="AI643" i="199"/>
  <c r="AL641" i="199"/>
  <c r="C58" i="210"/>
  <c r="D57" i="210"/>
  <c r="C78" i="210"/>
  <c r="E18" i="202"/>
  <c r="C19" i="202"/>
  <c r="D18" i="202"/>
  <c r="K139" i="225"/>
  <c r="G139" i="225"/>
  <c r="L139" i="225" s="1"/>
  <c r="K117" i="225"/>
  <c r="G117" i="225"/>
  <c r="L117" i="225" s="1"/>
  <c r="I150" i="225"/>
  <c r="I141" i="225" s="1"/>
  <c r="E150" i="225"/>
  <c r="E68" i="215"/>
  <c r="E97" i="225" s="1"/>
  <c r="E19" i="225"/>
  <c r="F84" i="215"/>
  <c r="G19" i="225"/>
  <c r="G68" i="215"/>
  <c r="G97" i="225" s="1"/>
  <c r="M22" i="210"/>
  <c r="C39" i="210"/>
  <c r="F22" i="210"/>
  <c r="N22" i="210" s="1"/>
  <c r="G58" i="210"/>
  <c r="I78" i="210"/>
  <c r="I95" i="210" s="1"/>
  <c r="AG353" i="199" s="1"/>
  <c r="H57" i="210"/>
  <c r="E127" i="225"/>
  <c r="I127" i="225"/>
  <c r="H95" i="210"/>
  <c r="AC353" i="199" s="1"/>
  <c r="I18" i="106"/>
  <c r="K41" i="100"/>
  <c r="F73" i="215"/>
  <c r="F79" i="215"/>
  <c r="D19" i="225"/>
  <c r="F78" i="215"/>
  <c r="F74" i="215"/>
  <c r="C78" i="215"/>
  <c r="E78" i="215" s="1"/>
  <c r="F75" i="215"/>
  <c r="F76" i="215"/>
  <c r="D68" i="215"/>
  <c r="F77" i="215"/>
  <c r="K38" i="210"/>
  <c r="H79" i="210" s="1"/>
  <c r="C28" i="21"/>
  <c r="G28" i="21" s="1"/>
  <c r="H28" i="21" s="1"/>
  <c r="G38" i="210"/>
  <c r="H38" i="210" s="1"/>
  <c r="W644" i="199"/>
  <c r="L80" i="100"/>
  <c r="J39" i="106"/>
  <c r="L71" i="100"/>
  <c r="W672" i="199" s="1"/>
  <c r="J126" i="225"/>
  <c r="F126" i="225"/>
  <c r="J149" i="225"/>
  <c r="F149" i="225"/>
  <c r="F140" i="225"/>
  <c r="J140" i="225"/>
  <c r="J135" i="225" s="1"/>
  <c r="G125" i="225"/>
  <c r="L125" i="225" s="1"/>
  <c r="K125" i="225"/>
  <c r="F230" i="215"/>
  <c r="G229" i="215"/>
  <c r="D128" i="225" s="1"/>
  <c r="F19" i="225"/>
  <c r="F68" i="215"/>
  <c r="F97" i="225" s="1"/>
  <c r="J27" i="21"/>
  <c r="K27" i="21" s="1"/>
  <c r="G148" i="225"/>
  <c r="L148" i="225" s="1"/>
  <c r="K148" i="225"/>
  <c r="G110" i="215" l="1"/>
  <c r="F17" i="41" s="1"/>
  <c r="J17" i="41" s="1"/>
  <c r="J18" i="41" s="1"/>
  <c r="L119" i="41" s="1"/>
  <c r="G60" i="225"/>
  <c r="F106" i="215"/>
  <c r="E106" i="215"/>
  <c r="F110" i="215"/>
  <c r="F60" i="225"/>
  <c r="F65" i="225" s="1"/>
  <c r="K65" i="225" s="1"/>
  <c r="D110" i="215"/>
  <c r="E27" i="213" s="1"/>
  <c r="G27" i="213" s="1"/>
  <c r="I27" i="213" s="1"/>
  <c r="D60" i="225"/>
  <c r="D68" i="225" s="1"/>
  <c r="I68" i="225" s="1"/>
  <c r="C106" i="215"/>
  <c r="F116" i="215" s="1"/>
  <c r="E60" i="225"/>
  <c r="E71" i="225" s="1"/>
  <c r="J71" i="225" s="1"/>
  <c r="D106" i="215"/>
  <c r="E110" i="215"/>
  <c r="D98" i="225"/>
  <c r="D97" i="225"/>
  <c r="I97" i="225" s="1"/>
  <c r="F284" i="213"/>
  <c r="G284" i="213" s="1"/>
  <c r="I284" i="213" s="1"/>
  <c r="I285" i="213" s="1"/>
  <c r="G477" i="215"/>
  <c r="J78" i="210"/>
  <c r="J95" i="210" s="1"/>
  <c r="AK353" i="199" s="1"/>
  <c r="F587" i="215"/>
  <c r="G586" i="215"/>
  <c r="F308" i="213"/>
  <c r="G308" i="213" s="1"/>
  <c r="I308" i="213" s="1"/>
  <c r="G116" i="225"/>
  <c r="L116" i="225" s="1"/>
  <c r="L109" i="225" s="1"/>
  <c r="K116" i="225"/>
  <c r="K109" i="225" s="1"/>
  <c r="F26" i="225"/>
  <c r="K26" i="225" s="1"/>
  <c r="F35" i="225"/>
  <c r="K35" i="225" s="1"/>
  <c r="F34" i="225"/>
  <c r="K34" i="225" s="1"/>
  <c r="F37" i="225"/>
  <c r="K37" i="225" s="1"/>
  <c r="F25" i="225"/>
  <c r="K25" i="225" s="1"/>
  <c r="F42" i="225"/>
  <c r="K42" i="225" s="1"/>
  <c r="F30" i="225"/>
  <c r="K30" i="225" s="1"/>
  <c r="F36" i="225"/>
  <c r="K36" i="225" s="1"/>
  <c r="K19" i="225"/>
  <c r="K18" i="225" s="1"/>
  <c r="F38" i="225"/>
  <c r="K38" i="225" s="1"/>
  <c r="F39" i="225"/>
  <c r="K39" i="225" s="1"/>
  <c r="F23" i="225"/>
  <c r="K23" i="225" s="1"/>
  <c r="F33" i="225"/>
  <c r="K33" i="225" s="1"/>
  <c r="F22" i="225"/>
  <c r="K22" i="225" s="1"/>
  <c r="F40" i="225"/>
  <c r="K40" i="225" s="1"/>
  <c r="F29" i="225"/>
  <c r="K29" i="225" s="1"/>
  <c r="F24" i="225"/>
  <c r="K24" i="225" s="1"/>
  <c r="F41" i="225"/>
  <c r="K41" i="225" s="1"/>
  <c r="K140" i="225"/>
  <c r="K135" i="225" s="1"/>
  <c r="G140" i="225"/>
  <c r="L140" i="225" s="1"/>
  <c r="L135" i="225" s="1"/>
  <c r="I128" i="225"/>
  <c r="E128" i="225"/>
  <c r="G149" i="225"/>
  <c r="L149" i="225" s="1"/>
  <c r="K149" i="225"/>
  <c r="G126" i="225"/>
  <c r="L126" i="225" s="1"/>
  <c r="K126" i="225"/>
  <c r="K97" i="225"/>
  <c r="E22" i="213"/>
  <c r="D51" i="225"/>
  <c r="I51" i="225" s="1"/>
  <c r="I50" i="225" s="1"/>
  <c r="C489" i="225" s="1"/>
  <c r="D54" i="225"/>
  <c r="I54" i="225" s="1"/>
  <c r="G74" i="215"/>
  <c r="G73" i="215"/>
  <c r="E38" i="225"/>
  <c r="J38" i="225" s="1"/>
  <c r="E26" i="225"/>
  <c r="J26" i="225" s="1"/>
  <c r="E24" i="225"/>
  <c r="J24" i="225" s="1"/>
  <c r="J19" i="225"/>
  <c r="J18" i="225" s="1"/>
  <c r="E29" i="225"/>
  <c r="J29" i="225" s="1"/>
  <c r="E40" i="225"/>
  <c r="J40" i="225" s="1"/>
  <c r="E34" i="225"/>
  <c r="J34" i="225" s="1"/>
  <c r="E35" i="225"/>
  <c r="J35" i="225" s="1"/>
  <c r="E33" i="225"/>
  <c r="J33" i="225" s="1"/>
  <c r="E37" i="225"/>
  <c r="J37" i="225" s="1"/>
  <c r="E22" i="225"/>
  <c r="J22" i="225" s="1"/>
  <c r="E36" i="225"/>
  <c r="J36" i="225" s="1"/>
  <c r="E25" i="225"/>
  <c r="J25" i="225" s="1"/>
  <c r="E42" i="225"/>
  <c r="J42" i="225" s="1"/>
  <c r="E23" i="225"/>
  <c r="J23" i="225" s="1"/>
  <c r="E39" i="225"/>
  <c r="J39" i="225" s="1"/>
  <c r="E30" i="225"/>
  <c r="J30" i="225" s="1"/>
  <c r="E41" i="225"/>
  <c r="J41" i="225" s="1"/>
  <c r="D19" i="202"/>
  <c r="E19" i="202"/>
  <c r="C79" i="210"/>
  <c r="D58" i="210"/>
  <c r="C59" i="210"/>
  <c r="G74" i="225"/>
  <c r="L74" i="225" s="1"/>
  <c r="L73" i="225" s="1"/>
  <c r="G70" i="225"/>
  <c r="L70" i="225" s="1"/>
  <c r="F78" i="225"/>
  <c r="K78" i="225" s="1"/>
  <c r="F83" i="225"/>
  <c r="K83" i="225" s="1"/>
  <c r="G63" i="225"/>
  <c r="L63" i="225" s="1"/>
  <c r="F81" i="225"/>
  <c r="K81" i="225" s="1"/>
  <c r="F76" i="225"/>
  <c r="K76" i="225" s="1"/>
  <c r="G64" i="225"/>
  <c r="L64" i="225" s="1"/>
  <c r="F80" i="225"/>
  <c r="K80" i="225" s="1"/>
  <c r="G71" i="225"/>
  <c r="L71" i="225" s="1"/>
  <c r="G68" i="225"/>
  <c r="L68" i="225" s="1"/>
  <c r="G65" i="225"/>
  <c r="L65" i="225" s="1"/>
  <c r="F79" i="225"/>
  <c r="K79" i="225" s="1"/>
  <c r="F77" i="225"/>
  <c r="K77" i="225" s="1"/>
  <c r="G72" i="225"/>
  <c r="L72" i="225" s="1"/>
  <c r="L60" i="225"/>
  <c r="L59" i="225" s="1"/>
  <c r="G66" i="225"/>
  <c r="L66" i="225" s="1"/>
  <c r="F82" i="225"/>
  <c r="K82" i="225" s="1"/>
  <c r="G67" i="225"/>
  <c r="L67" i="225" s="1"/>
  <c r="F75" i="225"/>
  <c r="K75" i="225" s="1"/>
  <c r="G76" i="215"/>
  <c r="L41" i="100"/>
  <c r="J18" i="106"/>
  <c r="H58" i="210"/>
  <c r="G59" i="210"/>
  <c r="I79" i="210"/>
  <c r="I96" i="210" s="1"/>
  <c r="AG354" i="199" s="1"/>
  <c r="G54" i="225"/>
  <c r="L54" i="225" s="1"/>
  <c r="G51" i="225"/>
  <c r="L51" i="225" s="1"/>
  <c r="L50" i="225" s="1"/>
  <c r="L489" i="225" s="1"/>
  <c r="E51" i="225"/>
  <c r="J51" i="225" s="1"/>
  <c r="J50" i="225" s="1"/>
  <c r="F489" i="225" s="1"/>
  <c r="E54" i="225"/>
  <c r="J54" i="225" s="1"/>
  <c r="D17" i="41"/>
  <c r="H17" i="41" s="1"/>
  <c r="H18" i="41" s="1"/>
  <c r="F119" i="41" s="1"/>
  <c r="C24" i="210"/>
  <c r="E24" i="210" s="1"/>
  <c r="AU364" i="199"/>
  <c r="AO641" i="199"/>
  <c r="AL643" i="199"/>
  <c r="L25" i="21"/>
  <c r="M25" i="21" s="1"/>
  <c r="I28" i="21"/>
  <c r="F51" i="225"/>
  <c r="K51" i="225" s="1"/>
  <c r="K50" i="225" s="1"/>
  <c r="I489" i="225" s="1"/>
  <c r="F54" i="225"/>
  <c r="K54" i="225" s="1"/>
  <c r="E17" i="41"/>
  <c r="I17" i="41" s="1"/>
  <c r="I18" i="41" s="1"/>
  <c r="I119" i="41" s="1"/>
  <c r="F231" i="215"/>
  <c r="G230" i="215"/>
  <c r="D129" i="225" s="1"/>
  <c r="J97" i="225"/>
  <c r="M80" i="100"/>
  <c r="K39" i="106"/>
  <c r="M71" i="100"/>
  <c r="H96" i="210"/>
  <c r="AC354" i="199" s="1"/>
  <c r="G75" i="215"/>
  <c r="D24" i="225"/>
  <c r="I24" i="225" s="1"/>
  <c r="D25" i="225"/>
  <c r="I25" i="225" s="1"/>
  <c r="D30" i="225"/>
  <c r="I30" i="225" s="1"/>
  <c r="D29" i="225"/>
  <c r="I29" i="225" s="1"/>
  <c r="D36" i="225"/>
  <c r="I36" i="225" s="1"/>
  <c r="D39" i="225"/>
  <c r="I39" i="225" s="1"/>
  <c r="D34" i="225"/>
  <c r="I34" i="225" s="1"/>
  <c r="D35" i="225"/>
  <c r="I35" i="225" s="1"/>
  <c r="D40" i="225"/>
  <c r="I40" i="225" s="1"/>
  <c r="I19" i="225"/>
  <c r="I18" i="225" s="1"/>
  <c r="D33" i="225"/>
  <c r="I33" i="225" s="1"/>
  <c r="D23" i="225"/>
  <c r="I23" i="225" s="1"/>
  <c r="D22" i="225"/>
  <c r="I22" i="225" s="1"/>
  <c r="D42" i="225"/>
  <c r="I42" i="225" s="1"/>
  <c r="D38" i="225"/>
  <c r="I38" i="225" s="1"/>
  <c r="D26" i="225"/>
  <c r="I26" i="225" s="1"/>
  <c r="D41" i="225"/>
  <c r="I41" i="225" s="1"/>
  <c r="D37" i="225"/>
  <c r="I37" i="225" s="1"/>
  <c r="F127" i="225"/>
  <c r="J127" i="225"/>
  <c r="G35" i="225"/>
  <c r="L35" i="225" s="1"/>
  <c r="G25" i="225"/>
  <c r="L25" i="225" s="1"/>
  <c r="L19" i="225"/>
  <c r="L18" i="225" s="1"/>
  <c r="G23" i="225"/>
  <c r="L23" i="225" s="1"/>
  <c r="G34" i="225"/>
  <c r="L34" i="225" s="1"/>
  <c r="G36" i="225"/>
  <c r="L36" i="225" s="1"/>
  <c r="G39" i="225"/>
  <c r="L39" i="225" s="1"/>
  <c r="G40" i="225"/>
  <c r="L40" i="225" s="1"/>
  <c r="G38" i="225"/>
  <c r="L38" i="225" s="1"/>
  <c r="G29" i="225"/>
  <c r="L29" i="225" s="1"/>
  <c r="G22" i="225"/>
  <c r="L22" i="225" s="1"/>
  <c r="G24" i="225"/>
  <c r="L24" i="225" s="1"/>
  <c r="G26" i="225"/>
  <c r="L26" i="225" s="1"/>
  <c r="G30" i="225"/>
  <c r="L30" i="225" s="1"/>
  <c r="G42" i="225"/>
  <c r="L42" i="225" s="1"/>
  <c r="G33" i="225"/>
  <c r="L33" i="225" s="1"/>
  <c r="G37" i="225"/>
  <c r="L37" i="225" s="1"/>
  <c r="G41" i="225"/>
  <c r="L41" i="225" s="1"/>
  <c r="J150" i="225"/>
  <c r="J141" i="225" s="1"/>
  <c r="F150" i="225"/>
  <c r="D78" i="210"/>
  <c r="D95" i="210" s="1"/>
  <c r="M353" i="199" s="1"/>
  <c r="C95" i="210"/>
  <c r="I353" i="199" s="1"/>
  <c r="L97" i="225"/>
  <c r="E70" i="225"/>
  <c r="J70" i="225" s="1"/>
  <c r="D79" i="225"/>
  <c r="I79" i="225" s="1"/>
  <c r="E67" i="225"/>
  <c r="J67" i="225" s="1"/>
  <c r="D83" i="225"/>
  <c r="I83" i="225" s="1"/>
  <c r="E68" i="225"/>
  <c r="J68" i="225" s="1"/>
  <c r="D81" i="225"/>
  <c r="I81" i="225" s="1"/>
  <c r="D82" i="225"/>
  <c r="I82" i="225" s="1"/>
  <c r="E74" i="225"/>
  <c r="J74" i="225" s="1"/>
  <c r="D77" i="225"/>
  <c r="I77" i="225" s="1"/>
  <c r="E63" i="225"/>
  <c r="J63" i="225" s="1"/>
  <c r="E72" i="225"/>
  <c r="J72" i="225" s="1"/>
  <c r="D78" i="225"/>
  <c r="I78" i="225" s="1"/>
  <c r="D75" i="225"/>
  <c r="I75" i="225" s="1"/>
  <c r="D76" i="225"/>
  <c r="I76" i="225" s="1"/>
  <c r="G77" i="215"/>
  <c r="F31" i="225"/>
  <c r="K31" i="225" s="1"/>
  <c r="G78" i="215"/>
  <c r="G31" i="225"/>
  <c r="L31" i="225" s="1"/>
  <c r="E37" i="213"/>
  <c r="G27" i="225"/>
  <c r="L27" i="225" s="1"/>
  <c r="E31" i="225"/>
  <c r="J31" i="225" s="1"/>
  <c r="F27" i="225"/>
  <c r="K27" i="225" s="1"/>
  <c r="D27" i="225"/>
  <c r="I27" i="225" s="1"/>
  <c r="E27" i="225"/>
  <c r="J27" i="225" s="1"/>
  <c r="D31" i="225"/>
  <c r="I31" i="225" s="1"/>
  <c r="G79" i="215"/>
  <c r="C29" i="21"/>
  <c r="G29" i="21" s="1"/>
  <c r="H29" i="21" s="1"/>
  <c r="I29" i="21" s="1"/>
  <c r="K39" i="210"/>
  <c r="H80" i="210" s="1"/>
  <c r="G39" i="210"/>
  <c r="H39" i="210" s="1"/>
  <c r="G84" i="215"/>
  <c r="F85" i="215"/>
  <c r="C40" i="210"/>
  <c r="M23" i="210"/>
  <c r="F23" i="210"/>
  <c r="N23" i="210" s="1"/>
  <c r="J60" i="225" l="1"/>
  <c r="J59" i="225" s="1"/>
  <c r="E66" i="225"/>
  <c r="J66" i="225" s="1"/>
  <c r="E65" i="225"/>
  <c r="J65" i="225" s="1"/>
  <c r="E64" i="225"/>
  <c r="J64" i="225" s="1"/>
  <c r="D80" i="225"/>
  <c r="I80" i="225" s="1"/>
  <c r="F126" i="215"/>
  <c r="F41" i="213" s="1"/>
  <c r="X435" i="199" s="1"/>
  <c r="F63" i="225"/>
  <c r="K63" i="225" s="1"/>
  <c r="F67" i="225"/>
  <c r="K67" i="225" s="1"/>
  <c r="E76" i="225"/>
  <c r="J76" i="225" s="1"/>
  <c r="D63" i="225"/>
  <c r="I63" i="225" s="1"/>
  <c r="F70" i="225"/>
  <c r="K70" i="225" s="1"/>
  <c r="E82" i="225"/>
  <c r="J82" i="225" s="1"/>
  <c r="D65" i="225"/>
  <c r="I65" i="225" s="1"/>
  <c r="E81" i="225"/>
  <c r="J81" i="225" s="1"/>
  <c r="F71" i="225"/>
  <c r="K71" i="225" s="1"/>
  <c r="F68" i="225"/>
  <c r="K68" i="225" s="1"/>
  <c r="F72" i="225"/>
  <c r="K72" i="225" s="1"/>
  <c r="E75" i="225"/>
  <c r="J75" i="225" s="1"/>
  <c r="K60" i="225"/>
  <c r="K59" i="225" s="1"/>
  <c r="F64" i="225"/>
  <c r="K64" i="225" s="1"/>
  <c r="E80" i="225"/>
  <c r="J80" i="225" s="1"/>
  <c r="F74" i="225"/>
  <c r="K74" i="225" s="1"/>
  <c r="K73" i="225" s="1"/>
  <c r="E79" i="225"/>
  <c r="J79" i="225" s="1"/>
  <c r="E78" i="225"/>
  <c r="J78" i="225" s="1"/>
  <c r="F66" i="225"/>
  <c r="K66" i="225" s="1"/>
  <c r="E83" i="225"/>
  <c r="J83" i="225" s="1"/>
  <c r="E77" i="225"/>
  <c r="J77" i="225" s="1"/>
  <c r="D70" i="225"/>
  <c r="I70" i="225" s="1"/>
  <c r="D74" i="225"/>
  <c r="I74" i="225" s="1"/>
  <c r="I73" i="225" s="1"/>
  <c r="D72" i="225"/>
  <c r="I72" i="225" s="1"/>
  <c r="I60" i="225"/>
  <c r="I59" i="225" s="1"/>
  <c r="D64" i="225"/>
  <c r="I64" i="225" s="1"/>
  <c r="D71" i="225"/>
  <c r="I71" i="225" s="1"/>
  <c r="D67" i="225"/>
  <c r="I67" i="225" s="1"/>
  <c r="D66" i="225"/>
  <c r="I66" i="225" s="1"/>
  <c r="G53" i="225"/>
  <c r="L53" i="225" s="1"/>
  <c r="L52" i="225" s="1"/>
  <c r="G98" i="225"/>
  <c r="L98" i="225" s="1"/>
  <c r="L96" i="225" s="1"/>
  <c r="E53" i="225"/>
  <c r="J53" i="225" s="1"/>
  <c r="J52" i="225" s="1"/>
  <c r="E98" i="225"/>
  <c r="J98" i="225" s="1"/>
  <c r="J96" i="225" s="1"/>
  <c r="F53" i="225"/>
  <c r="K53" i="225" s="1"/>
  <c r="K52" i="225" s="1"/>
  <c r="F98" i="225"/>
  <c r="K98" i="225" s="1"/>
  <c r="K96" i="225" s="1"/>
  <c r="J69" i="225"/>
  <c r="K28" i="225"/>
  <c r="F588" i="215"/>
  <c r="G587" i="215"/>
  <c r="F309" i="213"/>
  <c r="G309" i="213" s="1"/>
  <c r="I309" i="213" s="1"/>
  <c r="J79" i="210"/>
  <c r="J96" i="210" s="1"/>
  <c r="AK354" i="199" s="1"/>
  <c r="K40" i="210"/>
  <c r="H81" i="210" s="1"/>
  <c r="G40" i="210"/>
  <c r="H40" i="210" s="1"/>
  <c r="C30" i="21"/>
  <c r="G30" i="21" s="1"/>
  <c r="H30" i="21" s="1"/>
  <c r="I30" i="21" s="1"/>
  <c r="L21" i="225"/>
  <c r="G127" i="225"/>
  <c r="L127" i="225" s="1"/>
  <c r="K127" i="225"/>
  <c r="I32" i="225"/>
  <c r="I134" i="41"/>
  <c r="I157" i="41"/>
  <c r="I140" i="41"/>
  <c r="F127" i="215"/>
  <c r="F42" i="213" s="1"/>
  <c r="G42" i="213" s="1"/>
  <c r="I42" i="213" s="1"/>
  <c r="Z653" i="199"/>
  <c r="I98" i="225"/>
  <c r="I96" i="225" s="1"/>
  <c r="E28" i="213"/>
  <c r="J32" i="225"/>
  <c r="J28" i="225"/>
  <c r="D53" i="225"/>
  <c r="I53" i="225" s="1"/>
  <c r="I52" i="225" s="1"/>
  <c r="E23" i="213"/>
  <c r="G23" i="213" s="1"/>
  <c r="I23" i="213" s="1"/>
  <c r="K32" i="225"/>
  <c r="L28" i="225"/>
  <c r="E129" i="225"/>
  <c r="I129" i="225"/>
  <c r="J28" i="21"/>
  <c r="K28" i="21" s="1"/>
  <c r="AO643" i="199"/>
  <c r="AR641" i="199"/>
  <c r="AR643" i="199" s="1"/>
  <c r="F117" i="215"/>
  <c r="G116" i="215"/>
  <c r="G41" i="213"/>
  <c r="I41" i="213" s="1"/>
  <c r="H97" i="210"/>
  <c r="AC355" i="199" s="1"/>
  <c r="I21" i="225"/>
  <c r="N80" i="100"/>
  <c r="N71" i="100"/>
  <c r="L39" i="106"/>
  <c r="K489" i="225"/>
  <c r="J489" i="225"/>
  <c r="W653" i="199"/>
  <c r="L26" i="21"/>
  <c r="M26" i="21" s="1"/>
  <c r="F134" i="41"/>
  <c r="F157" i="41"/>
  <c r="F140" i="41"/>
  <c r="T627" i="199" s="1"/>
  <c r="N119" i="41"/>
  <c r="L140" i="41"/>
  <c r="L134" i="41"/>
  <c r="L157" i="41"/>
  <c r="L62" i="225"/>
  <c r="AX364" i="199"/>
  <c r="C25" i="210"/>
  <c r="AH334" i="199" s="1"/>
  <c r="J21" i="225"/>
  <c r="D489" i="225"/>
  <c r="E489" i="225"/>
  <c r="Q653" i="199"/>
  <c r="H489" i="225"/>
  <c r="T653" i="199"/>
  <c r="G489" i="225"/>
  <c r="L69" i="225"/>
  <c r="D79" i="210"/>
  <c r="D96" i="210" s="1"/>
  <c r="M354" i="199" s="1"/>
  <c r="C96" i="210"/>
  <c r="I354" i="199" s="1"/>
  <c r="F32" i="213"/>
  <c r="X434" i="199" s="1"/>
  <c r="F86" i="215"/>
  <c r="G85" i="215"/>
  <c r="J29" i="21"/>
  <c r="K29" i="21" s="1"/>
  <c r="J62" i="225"/>
  <c r="K150" i="225"/>
  <c r="K141" i="225" s="1"/>
  <c r="G150" i="225"/>
  <c r="L150" i="225" s="1"/>
  <c r="L141" i="225" s="1"/>
  <c r="L32" i="225"/>
  <c r="I28" i="225"/>
  <c r="F232" i="215"/>
  <c r="G231" i="215"/>
  <c r="D130" i="225" s="1"/>
  <c r="C41" i="210"/>
  <c r="F24" i="210"/>
  <c r="N24" i="210" s="1"/>
  <c r="M24" i="210"/>
  <c r="I80" i="210"/>
  <c r="I97" i="210" s="1"/>
  <c r="AG355" i="199" s="1"/>
  <c r="H59" i="210"/>
  <c r="G60" i="210"/>
  <c r="K18" i="106"/>
  <c r="M41" i="100"/>
  <c r="C80" i="210"/>
  <c r="D59" i="210"/>
  <c r="C60" i="210"/>
  <c r="G22" i="213"/>
  <c r="I22" i="213" s="1"/>
  <c r="F128" i="225"/>
  <c r="J128" i="225"/>
  <c r="K21" i="225"/>
  <c r="G126" i="215" l="1"/>
  <c r="K69" i="225"/>
  <c r="J73" i="225"/>
  <c r="I69" i="225"/>
  <c r="K62" i="225"/>
  <c r="I62" i="225"/>
  <c r="E24" i="213"/>
  <c r="X433" i="199" s="1"/>
  <c r="I24" i="213"/>
  <c r="AG433" i="199" s="1"/>
  <c r="C490" i="225"/>
  <c r="C488" i="225" s="1"/>
  <c r="F28" i="100" s="1"/>
  <c r="F69" i="100" s="1"/>
  <c r="G28" i="213"/>
  <c r="I28" i="213" s="1"/>
  <c r="I30" i="213" s="1"/>
  <c r="E30" i="213"/>
  <c r="I490" i="225"/>
  <c r="I488" i="225" s="1"/>
  <c r="L28" i="100" s="1"/>
  <c r="L69" i="100" s="1"/>
  <c r="L490" i="225"/>
  <c r="Z654" i="199" s="1"/>
  <c r="Z652" i="199" s="1"/>
  <c r="F490" i="225"/>
  <c r="H490" i="225" s="1"/>
  <c r="H488" i="225" s="1"/>
  <c r="K28" i="100" s="1"/>
  <c r="K69" i="100" s="1"/>
  <c r="G588" i="215"/>
  <c r="F310" i="213"/>
  <c r="G310" i="213" s="1"/>
  <c r="I310" i="213" s="1"/>
  <c r="I311" i="213" s="1"/>
  <c r="I312" i="213" s="1"/>
  <c r="G32" i="213"/>
  <c r="I32" i="213" s="1"/>
  <c r="N157" i="41"/>
  <c r="F178" i="41"/>
  <c r="F181" i="41" s="1"/>
  <c r="F172" i="41"/>
  <c r="N41" i="100"/>
  <c r="M18" i="106" s="1"/>
  <c r="L18" i="106"/>
  <c r="K41" i="210"/>
  <c r="H82" i="210" s="1"/>
  <c r="G41" i="210"/>
  <c r="H41" i="210" s="1"/>
  <c r="C31" i="21"/>
  <c r="G31" i="21" s="1"/>
  <c r="H31" i="21" s="1"/>
  <c r="I31" i="21" s="1"/>
  <c r="G232" i="215"/>
  <c r="D131" i="225" s="1"/>
  <c r="F233" i="215"/>
  <c r="L172" i="41"/>
  <c r="L178" i="41"/>
  <c r="L181" i="41" s="1"/>
  <c r="T629" i="199"/>
  <c r="F143" i="41"/>
  <c r="H25" i="100" s="1"/>
  <c r="Z644" i="199"/>
  <c r="M39" i="106"/>
  <c r="O71" i="100"/>
  <c r="O80" i="100"/>
  <c r="C81" i="210"/>
  <c r="D60" i="210"/>
  <c r="C61" i="210"/>
  <c r="E25" i="210"/>
  <c r="Q757" i="199"/>
  <c r="AD435" i="199"/>
  <c r="AW548" i="199" s="1"/>
  <c r="I143" i="41"/>
  <c r="K25" i="100" s="1"/>
  <c r="W627" i="199"/>
  <c r="W629" i="199" s="1"/>
  <c r="K128" i="225"/>
  <c r="G128" i="225"/>
  <c r="L128" i="225" s="1"/>
  <c r="I130" i="225"/>
  <c r="E130" i="225"/>
  <c r="Z627" i="199"/>
  <c r="Z629" i="199" s="1"/>
  <c r="L143" i="41"/>
  <c r="N25" i="100" s="1"/>
  <c r="I172" i="41"/>
  <c r="I178" i="41"/>
  <c r="I181" i="41" s="1"/>
  <c r="F118" i="215"/>
  <c r="G117" i="215"/>
  <c r="F33" i="213"/>
  <c r="G33" i="213" s="1"/>
  <c r="I33" i="213" s="1"/>
  <c r="J30" i="21"/>
  <c r="K30" i="21" s="1"/>
  <c r="G61" i="210"/>
  <c r="I81" i="210"/>
  <c r="I98" i="210" s="1"/>
  <c r="AG356" i="199" s="1"/>
  <c r="H60" i="210"/>
  <c r="C97" i="210"/>
  <c r="I355" i="199" s="1"/>
  <c r="D80" i="210"/>
  <c r="D97" i="210" s="1"/>
  <c r="M355" i="199" s="1"/>
  <c r="F87" i="215"/>
  <c r="G86" i="215"/>
  <c r="M489" i="225"/>
  <c r="L27" i="21"/>
  <c r="M27" i="21" s="1"/>
  <c r="J80" i="210"/>
  <c r="J97" i="210" s="1"/>
  <c r="AK355" i="199" s="1"/>
  <c r="F129" i="225"/>
  <c r="J129" i="225"/>
  <c r="F128" i="215"/>
  <c r="F43" i="213" s="1"/>
  <c r="G43" i="213" s="1"/>
  <c r="I43" i="213" s="1"/>
  <c r="G127" i="215"/>
  <c r="H98" i="210"/>
  <c r="AC356" i="199" s="1"/>
  <c r="AD433" i="199" l="1"/>
  <c r="AW546" i="199" s="1"/>
  <c r="J81" i="210"/>
  <c r="J98" i="210" s="1"/>
  <c r="AK356" i="199" s="1"/>
  <c r="L488" i="225"/>
  <c r="O28" i="100" s="1"/>
  <c r="O69" i="100" s="1"/>
  <c r="K490" i="225"/>
  <c r="K488" i="225" s="1"/>
  <c r="N28" i="100" s="1"/>
  <c r="N69" i="100" s="1"/>
  <c r="W654" i="199"/>
  <c r="W652" i="199" s="1"/>
  <c r="J490" i="225"/>
  <c r="J488" i="225" s="1"/>
  <c r="M28" i="100" s="1"/>
  <c r="M69" i="100" s="1"/>
  <c r="D490" i="225"/>
  <c r="D488" i="225" s="1"/>
  <c r="G28" i="100" s="1"/>
  <c r="G69" i="100" s="1"/>
  <c r="G490" i="225"/>
  <c r="G488" i="225" s="1"/>
  <c r="J28" i="100" s="1"/>
  <c r="J69" i="100" s="1"/>
  <c r="T654" i="199"/>
  <c r="T652" i="199" s="1"/>
  <c r="F488" i="225"/>
  <c r="I28" i="100" s="1"/>
  <c r="I69" i="100" s="1"/>
  <c r="E490" i="225"/>
  <c r="Q654" i="199"/>
  <c r="Q652" i="199" s="1"/>
  <c r="O41" i="100"/>
  <c r="I321" i="213"/>
  <c r="E16" i="100" s="1"/>
  <c r="E57" i="100" s="1"/>
  <c r="AG461" i="199"/>
  <c r="AT505" i="199" s="1"/>
  <c r="G129" i="225"/>
  <c r="L129" i="225" s="1"/>
  <c r="K129" i="225"/>
  <c r="C42" i="210"/>
  <c r="M25" i="210"/>
  <c r="F25" i="210"/>
  <c r="N25" i="210" s="1"/>
  <c r="F88" i="215"/>
  <c r="G87" i="215"/>
  <c r="F130" i="225"/>
  <c r="J130" i="225"/>
  <c r="C82" i="210"/>
  <c r="C62" i="210"/>
  <c r="D61" i="210"/>
  <c r="H99" i="210"/>
  <c r="AC357" i="199" s="1"/>
  <c r="G128" i="215"/>
  <c r="F129" i="215"/>
  <c r="F119" i="215"/>
  <c r="G118" i="215"/>
  <c r="F34" i="213"/>
  <c r="G34" i="213" s="1"/>
  <c r="I34" i="213" s="1"/>
  <c r="I131" i="225"/>
  <c r="E131" i="225"/>
  <c r="C98" i="210"/>
  <c r="I356" i="199" s="1"/>
  <c r="D81" i="210"/>
  <c r="D98" i="210" s="1"/>
  <c r="M356" i="199" s="1"/>
  <c r="Z672" i="199"/>
  <c r="P71" i="100"/>
  <c r="J31" i="21"/>
  <c r="K31" i="21" s="1"/>
  <c r="H61" i="210"/>
  <c r="G62" i="210"/>
  <c r="I82" i="210"/>
  <c r="I99" i="210" s="1"/>
  <c r="AG357" i="199" s="1"/>
  <c r="F234" i="215"/>
  <c r="G233" i="215"/>
  <c r="D132" i="225" s="1"/>
  <c r="Q756" i="199"/>
  <c r="AD434" i="199"/>
  <c r="AW547" i="199" s="1"/>
  <c r="L28" i="21"/>
  <c r="M28" i="21" s="1"/>
  <c r="Q755" i="199" l="1"/>
  <c r="M490" i="225"/>
  <c r="M488" i="225" s="1"/>
  <c r="E488" i="225"/>
  <c r="H28" i="100" s="1"/>
  <c r="H69" i="100" s="1"/>
  <c r="P69" i="100" s="1"/>
  <c r="G42" i="210"/>
  <c r="K42" i="210"/>
  <c r="H83" i="210" s="1"/>
  <c r="C32" i="21"/>
  <c r="G32" i="21" s="1"/>
  <c r="H32" i="21" s="1"/>
  <c r="E132" i="225"/>
  <c r="I132" i="225"/>
  <c r="F130" i="215"/>
  <c r="F45" i="213" s="1"/>
  <c r="G45" i="213" s="1"/>
  <c r="I45" i="213" s="1"/>
  <c r="G129" i="215"/>
  <c r="L29" i="21"/>
  <c r="M29" i="21" s="1"/>
  <c r="I83" i="210"/>
  <c r="I100" i="210" s="1"/>
  <c r="AG358" i="199" s="1"/>
  <c r="H62" i="210"/>
  <c r="J131" i="225"/>
  <c r="F131" i="225"/>
  <c r="J82" i="210"/>
  <c r="J99" i="210" s="1"/>
  <c r="AK357" i="199" s="1"/>
  <c r="D82" i="210"/>
  <c r="D99" i="210" s="1"/>
  <c r="M357" i="199" s="1"/>
  <c r="C99" i="210"/>
  <c r="I357" i="199" s="1"/>
  <c r="F120" i="215"/>
  <c r="G119" i="215"/>
  <c r="F35" i="213"/>
  <c r="G35" i="213" s="1"/>
  <c r="I35" i="213" s="1"/>
  <c r="G130" i="225"/>
  <c r="L130" i="225" s="1"/>
  <c r="K130" i="225"/>
  <c r="F235" i="215"/>
  <c r="G234" i="215"/>
  <c r="D133" i="225" s="1"/>
  <c r="F89" i="215"/>
  <c r="G88" i="215"/>
  <c r="D62" i="210"/>
  <c r="C83" i="210"/>
  <c r="F44" i="213"/>
  <c r="G44" i="213" s="1"/>
  <c r="I44" i="213" s="1"/>
  <c r="P28" i="100" l="1"/>
  <c r="F90" i="215"/>
  <c r="G89" i="215"/>
  <c r="F121" i="215"/>
  <c r="G120" i="215"/>
  <c r="F36" i="213"/>
  <c r="G36" i="213" s="1"/>
  <c r="I36" i="213" s="1"/>
  <c r="D83" i="210"/>
  <c r="D100" i="210" s="1"/>
  <c r="M358" i="199" s="1"/>
  <c r="C100" i="210"/>
  <c r="I358" i="199" s="1"/>
  <c r="G235" i="215"/>
  <c r="D134" i="225" s="1"/>
  <c r="F131" i="215"/>
  <c r="G130" i="215"/>
  <c r="C147" i="215"/>
  <c r="C149" i="215" s="1"/>
  <c r="C249" i="215"/>
  <c r="C251" i="215" s="1"/>
  <c r="H100" i="210"/>
  <c r="AC358" i="199" s="1"/>
  <c r="J83" i="210"/>
  <c r="J100" i="210" s="1"/>
  <c r="AK358" i="199" s="1"/>
  <c r="E133" i="225"/>
  <c r="I133" i="225"/>
  <c r="J132" i="225"/>
  <c r="F132" i="225"/>
  <c r="K131" i="225"/>
  <c r="G131" i="225"/>
  <c r="L131" i="225" s="1"/>
  <c r="L30" i="21"/>
  <c r="M30" i="21" s="1"/>
  <c r="B433" i="225"/>
  <c r="B431" i="225"/>
  <c r="B402" i="225"/>
  <c r="B434" i="225"/>
  <c r="B432" i="225"/>
  <c r="B435" i="225"/>
  <c r="H42" i="210"/>
  <c r="I32" i="21"/>
  <c r="H33" i="21"/>
  <c r="L31" i="21" l="1"/>
  <c r="M31" i="21" s="1"/>
  <c r="G132" i="225"/>
  <c r="L132" i="225" s="1"/>
  <c r="K132" i="225"/>
  <c r="F122" i="215"/>
  <c r="G121" i="215"/>
  <c r="F37" i="213"/>
  <c r="G37" i="213" s="1"/>
  <c r="I37" i="213" s="1"/>
  <c r="P10" i="106"/>
  <c r="C90" i="106"/>
  <c r="D90" i="106" s="1"/>
  <c r="F132" i="215"/>
  <c r="F47" i="213" s="1"/>
  <c r="G47" i="213" s="1"/>
  <c r="I47" i="213" s="1"/>
  <c r="G131" i="215"/>
  <c r="F46" i="213"/>
  <c r="G46" i="213" s="1"/>
  <c r="I46" i="213" s="1"/>
  <c r="J32" i="21"/>
  <c r="K32" i="21" s="1"/>
  <c r="J133" i="225"/>
  <c r="F133" i="225"/>
  <c r="E134" i="225"/>
  <c r="I134" i="225"/>
  <c r="I121" i="225" s="1"/>
  <c r="F91" i="215"/>
  <c r="G90" i="215"/>
  <c r="L32" i="21" l="1"/>
  <c r="M32" i="21" s="1"/>
  <c r="K33" i="21"/>
  <c r="K133" i="225"/>
  <c r="G133" i="225"/>
  <c r="L133" i="225" s="1"/>
  <c r="C43" i="106"/>
  <c r="D59" i="106"/>
  <c r="C12" i="106"/>
  <c r="C22" i="106" s="1"/>
  <c r="C33" i="106"/>
  <c r="F134" i="225"/>
  <c r="J134" i="225"/>
  <c r="J121" i="225" s="1"/>
  <c r="G91" i="215"/>
  <c r="F92" i="215"/>
  <c r="K256" i="215"/>
  <c r="K266" i="215" s="1"/>
  <c r="K268" i="215" s="1"/>
  <c r="K269" i="215" s="1"/>
  <c r="E67" i="213"/>
  <c r="O256" i="215"/>
  <c r="D39" i="41"/>
  <c r="F39" i="41" s="1"/>
  <c r="F49" i="41" s="1"/>
  <c r="J266" i="215"/>
  <c r="F305" i="215" s="1"/>
  <c r="F133" i="215"/>
  <c r="G132" i="215"/>
  <c r="G122" i="215"/>
  <c r="F38" i="213"/>
  <c r="G38" i="213" s="1"/>
  <c r="I38" i="213" s="1"/>
  <c r="I39" i="213" s="1"/>
  <c r="AG434" i="199" s="1"/>
  <c r="O266" i="215" l="1"/>
  <c r="D226" i="225" s="1"/>
  <c r="F134" i="215"/>
  <c r="F49" i="213" s="1"/>
  <c r="G49" i="213" s="1"/>
  <c r="I49" i="213" s="1"/>
  <c r="G133" i="215"/>
  <c r="G67" i="213"/>
  <c r="I67" i="213" s="1"/>
  <c r="I77" i="213" s="1"/>
  <c r="E77" i="213"/>
  <c r="X440" i="199" s="1"/>
  <c r="D67" i="106"/>
  <c r="S679" i="199"/>
  <c r="E59" i="106"/>
  <c r="H123" i="41"/>
  <c r="F110" i="41"/>
  <c r="G92" i="215"/>
  <c r="F93" i="215"/>
  <c r="K134" i="225"/>
  <c r="K121" i="225" s="1"/>
  <c r="G134" i="225"/>
  <c r="L134" i="225" s="1"/>
  <c r="L121" i="225" s="1"/>
  <c r="D206" i="225"/>
  <c r="D299" i="215"/>
  <c r="D301" i="215" s="1"/>
  <c r="D296" i="215"/>
  <c r="D298" i="215" s="1"/>
  <c r="F48" i="213"/>
  <c r="G48" i="213" s="1"/>
  <c r="I48" i="213" s="1"/>
  <c r="M33" i="21"/>
  <c r="M34" i="21" s="1"/>
  <c r="E226" i="225" l="1"/>
  <c r="F226" i="225" s="1"/>
  <c r="I226" i="225"/>
  <c r="I225" i="225" s="1"/>
  <c r="C487" i="225" s="1"/>
  <c r="E487" i="225" s="1"/>
  <c r="D172" i="225"/>
  <c r="F317" i="215"/>
  <c r="AG440" i="199"/>
  <c r="AT499" i="199" s="1"/>
  <c r="AS524" i="199" s="1"/>
  <c r="I83" i="213"/>
  <c r="E73" i="106"/>
  <c r="E74" i="106" s="1"/>
  <c r="E75" i="106" s="1"/>
  <c r="E76" i="106" s="1"/>
  <c r="E77" i="106" s="1"/>
  <c r="D68" i="106"/>
  <c r="D66" i="106"/>
  <c r="D69" i="106"/>
  <c r="D65" i="106"/>
  <c r="F333" i="215"/>
  <c r="D171" i="225"/>
  <c r="H161" i="41"/>
  <c r="N123" i="41"/>
  <c r="N134" i="41" s="1"/>
  <c r="H141" i="41"/>
  <c r="H143" i="41" s="1"/>
  <c r="J25" i="100" s="1"/>
  <c r="H134" i="41"/>
  <c r="F135" i="215"/>
  <c r="G135" i="215" s="1"/>
  <c r="G134" i="215"/>
  <c r="F306" i="215"/>
  <c r="F100" i="213"/>
  <c r="G305" i="215"/>
  <c r="D174" i="225" s="1"/>
  <c r="I206" i="225"/>
  <c r="E206" i="225"/>
  <c r="D207" i="225"/>
  <c r="G93" i="215"/>
  <c r="Q761" i="199"/>
  <c r="AD440" i="199"/>
  <c r="AW553" i="199" s="1"/>
  <c r="AS611" i="199" s="1"/>
  <c r="J226" i="225" l="1"/>
  <c r="J225" i="225" s="1"/>
  <c r="F487" i="225" s="1"/>
  <c r="H487" i="225" s="1"/>
  <c r="Q650" i="199"/>
  <c r="D487" i="225"/>
  <c r="G100" i="213"/>
  <c r="I100" i="213" s="1"/>
  <c r="X437" i="199"/>
  <c r="E171" i="225"/>
  <c r="I171" i="225"/>
  <c r="D184" i="225"/>
  <c r="I184" i="225" s="1"/>
  <c r="D183" i="225"/>
  <c r="I183" i="225" s="1"/>
  <c r="J206" i="225"/>
  <c r="F206" i="225"/>
  <c r="G306" i="215"/>
  <c r="D175" i="225" s="1"/>
  <c r="F307" i="215"/>
  <c r="F101" i="213"/>
  <c r="G101" i="213" s="1"/>
  <c r="I101" i="213" s="1"/>
  <c r="G333" i="215"/>
  <c r="D200" i="225" s="1"/>
  <c r="F334" i="215"/>
  <c r="F125" i="213"/>
  <c r="G125" i="213" s="1"/>
  <c r="I125" i="213" s="1"/>
  <c r="G317" i="215"/>
  <c r="D186" i="225" s="1"/>
  <c r="F318" i="215"/>
  <c r="F111" i="213"/>
  <c r="I174" i="225"/>
  <c r="E174" i="225"/>
  <c r="N161" i="41"/>
  <c r="N172" i="41" s="1"/>
  <c r="H179" i="41"/>
  <c r="H181" i="41" s="1"/>
  <c r="H172" i="41"/>
  <c r="G226" i="225"/>
  <c r="L226" i="225" s="1"/>
  <c r="L225" i="225" s="1"/>
  <c r="L487" i="225" s="1"/>
  <c r="Z650" i="199" s="1"/>
  <c r="K226" i="225"/>
  <c r="K225" i="225" s="1"/>
  <c r="I487" i="225" s="1"/>
  <c r="D208" i="225"/>
  <c r="E207" i="225"/>
  <c r="I207" i="225"/>
  <c r="F50" i="213"/>
  <c r="G50" i="213" s="1"/>
  <c r="I50" i="213" s="1"/>
  <c r="I51" i="213" s="1"/>
  <c r="AG435" i="199" s="1"/>
  <c r="E172" i="225"/>
  <c r="I172" i="225"/>
  <c r="I52" i="213" l="1"/>
  <c r="E13" i="100" s="1"/>
  <c r="I53" i="213"/>
  <c r="G487" i="225"/>
  <c r="T650" i="199"/>
  <c r="I182" i="225"/>
  <c r="F174" i="225"/>
  <c r="J174" i="225"/>
  <c r="I186" i="225"/>
  <c r="E186" i="225"/>
  <c r="G206" i="225"/>
  <c r="L206" i="225" s="1"/>
  <c r="K206" i="225"/>
  <c r="I170" i="225"/>
  <c r="C483" i="225" s="1"/>
  <c r="Q646" i="199" s="1"/>
  <c r="J207" i="225"/>
  <c r="F207" i="225"/>
  <c r="F171" i="225"/>
  <c r="J171" i="225"/>
  <c r="E184" i="225"/>
  <c r="J184" i="225" s="1"/>
  <c r="E183" i="225"/>
  <c r="J183" i="225" s="1"/>
  <c r="F172" i="225"/>
  <c r="J172" i="225"/>
  <c r="I208" i="225"/>
  <c r="D209" i="225"/>
  <c r="E208" i="225"/>
  <c r="G111" i="213"/>
  <c r="I111" i="213" s="1"/>
  <c r="X438" i="199"/>
  <c r="G334" i="215"/>
  <c r="D201" i="225" s="1"/>
  <c r="F335" i="215"/>
  <c r="F126" i="213"/>
  <c r="G126" i="213" s="1"/>
  <c r="I126" i="213" s="1"/>
  <c r="G307" i="215"/>
  <c r="D176" i="225" s="1"/>
  <c r="F102" i="213"/>
  <c r="G102" i="213" s="1"/>
  <c r="I102" i="213" s="1"/>
  <c r="F308" i="215"/>
  <c r="AD437" i="199"/>
  <c r="AW550" i="199" s="1"/>
  <c r="Q758" i="199"/>
  <c r="AT497" i="199"/>
  <c r="K487" i="225"/>
  <c r="J487" i="225"/>
  <c r="W650" i="199"/>
  <c r="G318" i="215"/>
  <c r="D187" i="225" s="1"/>
  <c r="F319" i="215"/>
  <c r="F112" i="213"/>
  <c r="G112" i="213" s="1"/>
  <c r="I112" i="213" s="1"/>
  <c r="E200" i="225"/>
  <c r="I200" i="225"/>
  <c r="E175" i="225"/>
  <c r="I175" i="225"/>
  <c r="M487" i="225" l="1"/>
  <c r="E54" i="100"/>
  <c r="F175" i="225"/>
  <c r="J175" i="225"/>
  <c r="G319" i="215"/>
  <c r="D188" i="225" s="1"/>
  <c r="F320" i="215"/>
  <c r="F113" i="213"/>
  <c r="G113" i="213" s="1"/>
  <c r="I113" i="213" s="1"/>
  <c r="I201" i="225"/>
  <c r="E201" i="225"/>
  <c r="D210" i="225"/>
  <c r="I209" i="225"/>
  <c r="E209" i="225"/>
  <c r="J182" i="225"/>
  <c r="I176" i="225"/>
  <c r="E176" i="225"/>
  <c r="AD438" i="199"/>
  <c r="Q759" i="199"/>
  <c r="K207" i="225"/>
  <c r="G207" i="225"/>
  <c r="L207" i="225" s="1"/>
  <c r="G174" i="225"/>
  <c r="L174" i="225" s="1"/>
  <c r="K174" i="225"/>
  <c r="I187" i="225"/>
  <c r="E187" i="225"/>
  <c r="F200" i="225"/>
  <c r="J200" i="225"/>
  <c r="J170" i="225"/>
  <c r="F483" i="225" s="1"/>
  <c r="F186" i="225"/>
  <c r="J186" i="225"/>
  <c r="F309" i="215"/>
  <c r="G308" i="215"/>
  <c r="D177" i="225" s="1"/>
  <c r="F103" i="213"/>
  <c r="G103" i="213" s="1"/>
  <c r="I103" i="213" s="1"/>
  <c r="G335" i="215"/>
  <c r="D202" i="225" s="1"/>
  <c r="F336" i="215"/>
  <c r="F127" i="213"/>
  <c r="G127" i="213" s="1"/>
  <c r="I127" i="213" s="1"/>
  <c r="F208" i="225"/>
  <c r="J208" i="225"/>
  <c r="G172" i="225"/>
  <c r="L172" i="225" s="1"/>
  <c r="K172" i="225"/>
  <c r="F184" i="225"/>
  <c r="K184" i="225" s="1"/>
  <c r="K171" i="225"/>
  <c r="G171" i="225"/>
  <c r="F183" i="225"/>
  <c r="K183" i="225" s="1"/>
  <c r="E483" i="225"/>
  <c r="D483" i="225"/>
  <c r="AS610" i="199" l="1"/>
  <c r="AW551" i="199"/>
  <c r="K170" i="225"/>
  <c r="I483" i="225" s="1"/>
  <c r="K483" i="225" s="1"/>
  <c r="J209" i="225"/>
  <c r="F209" i="225"/>
  <c r="G483" i="225"/>
  <c r="T646" i="199"/>
  <c r="H483" i="225"/>
  <c r="F187" i="225"/>
  <c r="J187" i="225"/>
  <c r="G175" i="225"/>
  <c r="L175" i="225" s="1"/>
  <c r="K175" i="225"/>
  <c r="G183" i="225"/>
  <c r="L183" i="225" s="1"/>
  <c r="G184" i="225"/>
  <c r="L184" i="225" s="1"/>
  <c r="L171" i="225"/>
  <c r="L170" i="225" s="1"/>
  <c r="L483" i="225" s="1"/>
  <c r="G309" i="215"/>
  <c r="D178" i="225" s="1"/>
  <c r="F310" i="215"/>
  <c r="F104" i="213"/>
  <c r="G104" i="213" s="1"/>
  <c r="I104" i="213" s="1"/>
  <c r="E202" i="225"/>
  <c r="I202" i="225"/>
  <c r="K208" i="225"/>
  <c r="G208" i="225"/>
  <c r="L208" i="225" s="1"/>
  <c r="F176" i="225"/>
  <c r="J176" i="225"/>
  <c r="I210" i="225"/>
  <c r="E210" i="225"/>
  <c r="D211" i="225"/>
  <c r="F321" i="215"/>
  <c r="G320" i="215"/>
  <c r="D189" i="225" s="1"/>
  <c r="F114" i="213"/>
  <c r="G114" i="213" s="1"/>
  <c r="I114" i="213" s="1"/>
  <c r="G336" i="215"/>
  <c r="D203" i="225" s="1"/>
  <c r="F337" i="215"/>
  <c r="F128" i="213"/>
  <c r="G128" i="213" s="1"/>
  <c r="I128" i="213" s="1"/>
  <c r="G186" i="225"/>
  <c r="L186" i="225" s="1"/>
  <c r="K186" i="225"/>
  <c r="K200" i="225"/>
  <c r="G200" i="225"/>
  <c r="L200" i="225" s="1"/>
  <c r="K182" i="225"/>
  <c r="E177" i="225"/>
  <c r="I177" i="225"/>
  <c r="F201" i="225"/>
  <c r="J201" i="225"/>
  <c r="E188" i="225"/>
  <c r="I188" i="225"/>
  <c r="W646" i="199" l="1"/>
  <c r="J483" i="225"/>
  <c r="M483" i="225" s="1"/>
  <c r="G201" i="225"/>
  <c r="L201" i="225" s="1"/>
  <c r="K201" i="225"/>
  <c r="G337" i="215"/>
  <c r="D204" i="225" s="1"/>
  <c r="F129" i="213"/>
  <c r="G129" i="213" s="1"/>
  <c r="I129" i="213" s="1"/>
  <c r="F202" i="225"/>
  <c r="J202" i="225"/>
  <c r="G310" i="215"/>
  <c r="D179" i="225" s="1"/>
  <c r="F311" i="215"/>
  <c r="F105" i="213"/>
  <c r="G105" i="213" s="1"/>
  <c r="I105" i="213" s="1"/>
  <c r="L182" i="225"/>
  <c r="G187" i="225"/>
  <c r="L187" i="225" s="1"/>
  <c r="K187" i="225"/>
  <c r="J188" i="225"/>
  <c r="F188" i="225"/>
  <c r="F177" i="225"/>
  <c r="J177" i="225"/>
  <c r="E203" i="225"/>
  <c r="I203" i="225"/>
  <c r="D212" i="225"/>
  <c r="E211" i="225"/>
  <c r="I211" i="225"/>
  <c r="G176" i="225"/>
  <c r="L176" i="225" s="1"/>
  <c r="K176" i="225"/>
  <c r="E178" i="225"/>
  <c r="I178" i="225"/>
  <c r="K209" i="225"/>
  <c r="G209" i="225"/>
  <c r="L209" i="225" s="1"/>
  <c r="E189" i="225"/>
  <c r="I189" i="225"/>
  <c r="G321" i="215"/>
  <c r="D190" i="225" s="1"/>
  <c r="F322" i="215"/>
  <c r="F115" i="213"/>
  <c r="G115" i="213" s="1"/>
  <c r="I115" i="213" s="1"/>
  <c r="F210" i="225"/>
  <c r="J210" i="225"/>
  <c r="Z646" i="199"/>
  <c r="K210" i="225" l="1"/>
  <c r="G210" i="225"/>
  <c r="L210" i="225" s="1"/>
  <c r="E190" i="225"/>
  <c r="I190" i="225"/>
  <c r="F189" i="225"/>
  <c r="J189" i="225"/>
  <c r="F178" i="225"/>
  <c r="J178" i="225"/>
  <c r="F211" i="225"/>
  <c r="J211" i="225"/>
  <c r="K188" i="225"/>
  <c r="G188" i="225"/>
  <c r="L188" i="225" s="1"/>
  <c r="G311" i="215"/>
  <c r="D180" i="225" s="1"/>
  <c r="F312" i="215"/>
  <c r="F106" i="213"/>
  <c r="G106" i="213" s="1"/>
  <c r="I106" i="213" s="1"/>
  <c r="D213" i="225"/>
  <c r="E212" i="225"/>
  <c r="I212" i="225"/>
  <c r="E204" i="225"/>
  <c r="I204" i="225"/>
  <c r="I199" i="225" s="1"/>
  <c r="E179" i="225"/>
  <c r="I179" i="225"/>
  <c r="F323" i="215"/>
  <c r="G322" i="215"/>
  <c r="D191" i="225" s="1"/>
  <c r="F116" i="213"/>
  <c r="G116" i="213" s="1"/>
  <c r="I116" i="213" s="1"/>
  <c r="F203" i="225"/>
  <c r="J203" i="225"/>
  <c r="G177" i="225"/>
  <c r="L177" i="225" s="1"/>
  <c r="K177" i="225"/>
  <c r="K202" i="225"/>
  <c r="G202" i="225"/>
  <c r="L202" i="225" s="1"/>
  <c r="K203" i="225" l="1"/>
  <c r="G203" i="225"/>
  <c r="L203" i="225" s="1"/>
  <c r="F324" i="215"/>
  <c r="G323" i="215"/>
  <c r="D192" i="225" s="1"/>
  <c r="F117" i="213"/>
  <c r="G117" i="213" s="1"/>
  <c r="I117" i="213" s="1"/>
  <c r="I213" i="225"/>
  <c r="E213" i="225"/>
  <c r="D214" i="225"/>
  <c r="F204" i="225"/>
  <c r="J204" i="225"/>
  <c r="J199" i="225" s="1"/>
  <c r="K178" i="225"/>
  <c r="G178" i="225"/>
  <c r="L178" i="225" s="1"/>
  <c r="F190" i="225"/>
  <c r="J190" i="225"/>
  <c r="F179" i="225"/>
  <c r="J179" i="225"/>
  <c r="G312" i="215"/>
  <c r="D181" i="225" s="1"/>
  <c r="F107" i="213"/>
  <c r="G107" i="213" s="1"/>
  <c r="I107" i="213" s="1"/>
  <c r="I108" i="213" s="1"/>
  <c r="AG437" i="199" s="1"/>
  <c r="E191" i="225"/>
  <c r="I191" i="225"/>
  <c r="J212" i="225"/>
  <c r="F212" i="225"/>
  <c r="E180" i="225"/>
  <c r="I180" i="225"/>
  <c r="K211" i="225"/>
  <c r="G211" i="225"/>
  <c r="L211" i="225" s="1"/>
  <c r="G189" i="225"/>
  <c r="K189" i="225"/>
  <c r="E181" i="225" l="1"/>
  <c r="I181" i="225"/>
  <c r="I173" i="225" s="1"/>
  <c r="E192" i="225"/>
  <c r="I192" i="225"/>
  <c r="I214" i="225"/>
  <c r="I205" i="225" s="1"/>
  <c r="C485" i="225" s="1"/>
  <c r="Q648" i="199" s="1"/>
  <c r="E214" i="225"/>
  <c r="L189" i="225"/>
  <c r="F180" i="225"/>
  <c r="J180" i="225"/>
  <c r="F191" i="225"/>
  <c r="J191" i="225"/>
  <c r="K190" i="225"/>
  <c r="G190" i="225"/>
  <c r="L190" i="225" s="1"/>
  <c r="F213" i="225"/>
  <c r="J213" i="225"/>
  <c r="F325" i="215"/>
  <c r="G324" i="215"/>
  <c r="D193" i="225" s="1"/>
  <c r="F118" i="213"/>
  <c r="G118" i="213" s="1"/>
  <c r="I118" i="213" s="1"/>
  <c r="K212" i="225"/>
  <c r="G212" i="225"/>
  <c r="L212" i="225" s="1"/>
  <c r="K179" i="225"/>
  <c r="G179" i="225"/>
  <c r="L179" i="225" s="1"/>
  <c r="K204" i="225"/>
  <c r="K199" i="225" s="1"/>
  <c r="G204" i="225"/>
  <c r="L204" i="225" s="1"/>
  <c r="L199" i="225" s="1"/>
  <c r="F181" i="225" l="1"/>
  <c r="J181" i="225"/>
  <c r="J173" i="225" s="1"/>
  <c r="K191" i="225"/>
  <c r="G191" i="225"/>
  <c r="L191" i="225" s="1"/>
  <c r="E193" i="225"/>
  <c r="I193" i="225"/>
  <c r="D485" i="225"/>
  <c r="E485" i="225"/>
  <c r="J192" i="225"/>
  <c r="F192" i="225"/>
  <c r="G213" i="225"/>
  <c r="L213" i="225" s="1"/>
  <c r="K213" i="225"/>
  <c r="F214" i="225"/>
  <c r="J214" i="225"/>
  <c r="J205" i="225" s="1"/>
  <c r="F485" i="225" s="1"/>
  <c r="F326" i="215"/>
  <c r="G325" i="215"/>
  <c r="D194" i="225" s="1"/>
  <c r="F119" i="213"/>
  <c r="G119" i="213" s="1"/>
  <c r="I119" i="213" s="1"/>
  <c r="K180" i="225"/>
  <c r="G180" i="225"/>
  <c r="L180" i="225" s="1"/>
  <c r="G485" i="225" l="1"/>
  <c r="H485" i="225"/>
  <c r="T648" i="199"/>
  <c r="G192" i="225"/>
  <c r="L192" i="225" s="1"/>
  <c r="K192" i="225"/>
  <c r="K214" i="225"/>
  <c r="K205" i="225" s="1"/>
  <c r="I485" i="225" s="1"/>
  <c r="G214" i="225"/>
  <c r="L214" i="225" s="1"/>
  <c r="L205" i="225" s="1"/>
  <c r="L485" i="225" s="1"/>
  <c r="Z648" i="199" s="1"/>
  <c r="I194" i="225"/>
  <c r="E194" i="225"/>
  <c r="F327" i="215"/>
  <c r="G326" i="215"/>
  <c r="D195" i="225" s="1"/>
  <c r="F120" i="213"/>
  <c r="G120" i="213" s="1"/>
  <c r="I120" i="213" s="1"/>
  <c r="F193" i="225"/>
  <c r="J193" i="225"/>
  <c r="G181" i="225"/>
  <c r="L181" i="225" s="1"/>
  <c r="L173" i="225" s="1"/>
  <c r="K181" i="225"/>
  <c r="K173" i="225" s="1"/>
  <c r="W648" i="199" l="1"/>
  <c r="K485" i="225"/>
  <c r="J485" i="225"/>
  <c r="F328" i="215"/>
  <c r="G327" i="215"/>
  <c r="D196" i="225" s="1"/>
  <c r="F121" i="213"/>
  <c r="G121" i="213" s="1"/>
  <c r="I121" i="213" s="1"/>
  <c r="K193" i="225"/>
  <c r="G193" i="225"/>
  <c r="L193" i="225" s="1"/>
  <c r="J194" i="225"/>
  <c r="F194" i="225"/>
  <c r="I195" i="225"/>
  <c r="E195" i="225"/>
  <c r="M485" i="225" l="1"/>
  <c r="F195" i="225"/>
  <c r="J195" i="225"/>
  <c r="K194" i="225"/>
  <c r="G194" i="225"/>
  <c r="L194" i="225" s="1"/>
  <c r="I196" i="225"/>
  <c r="E196" i="225"/>
  <c r="F329" i="215"/>
  <c r="G328" i="215"/>
  <c r="D197" i="225" s="1"/>
  <c r="F122" i="213"/>
  <c r="G122" i="213" s="1"/>
  <c r="I122" i="213" s="1"/>
  <c r="E197" i="225" l="1"/>
  <c r="I197" i="225"/>
  <c r="G329" i="215"/>
  <c r="D198" i="225" s="1"/>
  <c r="F123" i="213"/>
  <c r="G123" i="213" s="1"/>
  <c r="I123" i="213" s="1"/>
  <c r="I130" i="213" s="1"/>
  <c r="J196" i="225"/>
  <c r="F196" i="225"/>
  <c r="K195" i="225"/>
  <c r="G195" i="225"/>
  <c r="L195" i="225" s="1"/>
  <c r="I131" i="213" l="1"/>
  <c r="E14" i="100" s="1"/>
  <c r="AG438" i="199"/>
  <c r="AT498" i="199" s="1"/>
  <c r="AS523" i="199" s="1"/>
  <c r="I198" i="225"/>
  <c r="I185" i="225" s="1"/>
  <c r="C484" i="225" s="1"/>
  <c r="Q647" i="199" s="1"/>
  <c r="E198" i="225"/>
  <c r="K196" i="225"/>
  <c r="G196" i="225"/>
  <c r="L196" i="225" s="1"/>
  <c r="J197" i="225"/>
  <c r="F197" i="225"/>
  <c r="K197" i="225" l="1"/>
  <c r="G197" i="225"/>
  <c r="L197" i="225" s="1"/>
  <c r="F198" i="225"/>
  <c r="J198" i="225"/>
  <c r="J185" i="225" s="1"/>
  <c r="F484" i="225" s="1"/>
  <c r="AT516" i="199"/>
  <c r="AS528" i="199"/>
  <c r="AS534" i="199" s="1"/>
  <c r="Q645" i="199"/>
  <c r="E484" i="225"/>
  <c r="E482" i="225" s="1"/>
  <c r="D484" i="225"/>
  <c r="D482" i="225" s="1"/>
  <c r="C482" i="225"/>
  <c r="F27" i="100" s="1"/>
  <c r="F26" i="100" s="1"/>
  <c r="E55" i="100"/>
  <c r="E52" i="100" s="1"/>
  <c r="E65" i="100" s="1"/>
  <c r="E11" i="100"/>
  <c r="E24" i="100" s="1"/>
  <c r="C9" i="106" s="1"/>
  <c r="D56" i="106" s="1"/>
  <c r="C30" i="106" l="1"/>
  <c r="D79" i="100"/>
  <c r="H484" i="225"/>
  <c r="H482" i="225" s="1"/>
  <c r="T647" i="199"/>
  <c r="T645" i="199" s="1"/>
  <c r="G484" i="225"/>
  <c r="G482" i="225" s="1"/>
  <c r="F482" i="225"/>
  <c r="H27" i="100"/>
  <c r="E491" i="225"/>
  <c r="C491" i="225"/>
  <c r="Q655" i="199" s="1"/>
  <c r="Q656" i="199" s="1"/>
  <c r="G198" i="225"/>
  <c r="L198" i="225" s="1"/>
  <c r="L185" i="225" s="1"/>
  <c r="L484" i="225" s="1"/>
  <c r="K198" i="225"/>
  <c r="K185" i="225" s="1"/>
  <c r="I484" i="225" s="1"/>
  <c r="E10" i="100"/>
  <c r="E29" i="100"/>
  <c r="E31" i="100" s="1"/>
  <c r="D40" i="100"/>
  <c r="G27" i="100"/>
  <c r="D491" i="225"/>
  <c r="K484" i="225" l="1"/>
  <c r="K482" i="225" s="1"/>
  <c r="J484" i="225"/>
  <c r="J482" i="225" s="1"/>
  <c r="W647" i="199"/>
  <c r="W645" i="199" s="1"/>
  <c r="I482" i="225"/>
  <c r="C17" i="106"/>
  <c r="C11" i="106"/>
  <c r="C13" i="106" s="1"/>
  <c r="C87" i="106"/>
  <c r="H26" i="100"/>
  <c r="H29" i="100" s="1"/>
  <c r="H68" i="100"/>
  <c r="H67" i="100" s="1"/>
  <c r="H70" i="100" s="1"/>
  <c r="G68" i="100"/>
  <c r="G67" i="100" s="1"/>
  <c r="G70" i="100" s="1"/>
  <c r="G26" i="100"/>
  <c r="G29" i="100" s="1"/>
  <c r="F68" i="100"/>
  <c r="F29" i="100"/>
  <c r="Q664" i="199" s="1"/>
  <c r="I27" i="100"/>
  <c r="F491" i="225"/>
  <c r="T655" i="199" s="1"/>
  <c r="T656" i="199" s="1"/>
  <c r="D81" i="100"/>
  <c r="Z647" i="199"/>
  <c r="Z645" i="199" s="1"/>
  <c r="L482" i="225"/>
  <c r="K27" i="100"/>
  <c r="H491" i="225"/>
  <c r="D42" i="100"/>
  <c r="G491" i="225"/>
  <c r="J27" i="100"/>
  <c r="E56" i="106"/>
  <c r="C32" i="106"/>
  <c r="C34" i="106" s="1"/>
  <c r="M484" i="225" l="1"/>
  <c r="M482" i="225" s="1"/>
  <c r="M491" i="225" s="1"/>
  <c r="J26" i="100"/>
  <c r="J29" i="100" s="1"/>
  <c r="J68" i="100"/>
  <c r="J67" i="100" s="1"/>
  <c r="J70" i="100" s="1"/>
  <c r="I26" i="100"/>
  <c r="I29" i="100" s="1"/>
  <c r="I68" i="100"/>
  <c r="I67" i="100" s="1"/>
  <c r="I70" i="100" s="1"/>
  <c r="E17" i="106"/>
  <c r="E19" i="106" s="1"/>
  <c r="F40" i="100"/>
  <c r="F42" i="100" s="1"/>
  <c r="G31" i="100"/>
  <c r="I491" i="225"/>
  <c r="W655" i="199" s="1"/>
  <c r="W656" i="199" s="1"/>
  <c r="L27" i="100"/>
  <c r="F79" i="100"/>
  <c r="F81" i="100" s="1"/>
  <c r="E38" i="106"/>
  <c r="E40" i="106" s="1"/>
  <c r="G72" i="100"/>
  <c r="K26" i="100"/>
  <c r="K29" i="100" s="1"/>
  <c r="K68" i="100"/>
  <c r="K67" i="100" s="1"/>
  <c r="K70" i="100" s="1"/>
  <c r="Q666" i="199"/>
  <c r="E40" i="100"/>
  <c r="F31" i="100"/>
  <c r="D17" i="106"/>
  <c r="D19" i="106" s="1"/>
  <c r="H72" i="100"/>
  <c r="G79" i="100"/>
  <c r="G81" i="100" s="1"/>
  <c r="F38" i="106"/>
  <c r="F40" i="106" s="1"/>
  <c r="M27" i="100"/>
  <c r="J491" i="225"/>
  <c r="O27" i="100"/>
  <c r="L491" i="225"/>
  <c r="Z655" i="199" s="1"/>
  <c r="Z656" i="199" s="1"/>
  <c r="F67" i="100"/>
  <c r="F70" i="100" s="1"/>
  <c r="F17" i="106"/>
  <c r="F19" i="106" s="1"/>
  <c r="H31" i="100"/>
  <c r="G40" i="100"/>
  <c r="G42" i="100" s="1"/>
  <c r="K491" i="225"/>
  <c r="N27" i="100"/>
  <c r="O68" i="100" l="1"/>
  <c r="O67" i="100" s="1"/>
  <c r="O26" i="100"/>
  <c r="O29" i="100" s="1"/>
  <c r="M26" i="100"/>
  <c r="M29" i="100" s="1"/>
  <c r="M68" i="100"/>
  <c r="M67" i="100" s="1"/>
  <c r="M70" i="100" s="1"/>
  <c r="I38" i="106"/>
  <c r="I40" i="106" s="1"/>
  <c r="K72" i="100"/>
  <c r="J79" i="100"/>
  <c r="J81" i="100" s="1"/>
  <c r="H40" i="100"/>
  <c r="H42" i="100" s="1"/>
  <c r="T664" i="199"/>
  <c r="T666" i="199" s="1"/>
  <c r="I31" i="100"/>
  <c r="G17" i="106"/>
  <c r="G19" i="106" s="1"/>
  <c r="I17" i="106"/>
  <c r="I19" i="106" s="1"/>
  <c r="K31" i="100"/>
  <c r="J40" i="100"/>
  <c r="J42" i="100" s="1"/>
  <c r="L68" i="100"/>
  <c r="L26" i="100"/>
  <c r="L29" i="100" s="1"/>
  <c r="P27" i="100"/>
  <c r="P26" i="100" s="1"/>
  <c r="P29" i="100" s="1"/>
  <c r="P31" i="100" s="1"/>
  <c r="D38" i="106"/>
  <c r="D40" i="106" s="1"/>
  <c r="Q671" i="199"/>
  <c r="Q673" i="199" s="1"/>
  <c r="E79" i="100"/>
  <c r="F72" i="100"/>
  <c r="E42" i="100"/>
  <c r="I40" i="100"/>
  <c r="I42" i="100" s="1"/>
  <c r="H17" i="106"/>
  <c r="H19" i="106" s="1"/>
  <c r="J31" i="100"/>
  <c r="J72" i="100"/>
  <c r="I79" i="100"/>
  <c r="I81" i="100" s="1"/>
  <c r="H38" i="106"/>
  <c r="H40" i="106" s="1"/>
  <c r="N68" i="100"/>
  <c r="N67" i="100" s="1"/>
  <c r="N70" i="100" s="1"/>
  <c r="N26" i="100"/>
  <c r="N29" i="100" s="1"/>
  <c r="T671" i="199"/>
  <c r="T673" i="199" s="1"/>
  <c r="I72" i="100"/>
  <c r="G38" i="106"/>
  <c r="G40" i="106" s="1"/>
  <c r="H79" i="100"/>
  <c r="H81" i="100" s="1"/>
  <c r="M40" i="100" l="1"/>
  <c r="M42" i="100" s="1"/>
  <c r="L17" i="106"/>
  <c r="L19" i="106" s="1"/>
  <c r="N31" i="100"/>
  <c r="L67" i="100"/>
  <c r="L70" i="100" s="1"/>
  <c r="P68" i="100"/>
  <c r="P67" i="100" s="1"/>
  <c r="P70" i="100" s="1"/>
  <c r="P72" i="100" s="1"/>
  <c r="K38" i="106"/>
  <c r="K40" i="106" s="1"/>
  <c r="M72" i="100"/>
  <c r="L79" i="100"/>
  <c r="L81" i="100" s="1"/>
  <c r="L40" i="100"/>
  <c r="L42" i="100" s="1"/>
  <c r="M31" i="100"/>
  <c r="K17" i="106"/>
  <c r="K19" i="106" s="1"/>
  <c r="N72" i="100"/>
  <c r="M79" i="100"/>
  <c r="M81" i="100" s="1"/>
  <c r="L38" i="106"/>
  <c r="L40" i="106" s="1"/>
  <c r="N40" i="100"/>
  <c r="N42" i="100" s="1"/>
  <c r="O31" i="100"/>
  <c r="M17" i="106"/>
  <c r="M19" i="106" s="1"/>
  <c r="Z664" i="199"/>
  <c r="Z666" i="199" s="1"/>
  <c r="E81" i="100"/>
  <c r="W664" i="199"/>
  <c r="W666" i="199" s="1"/>
  <c r="K40" i="100"/>
  <c r="L31" i="100"/>
  <c r="J17" i="106"/>
  <c r="J19" i="106" s="1"/>
  <c r="M38" i="106"/>
  <c r="M40" i="106" s="1"/>
  <c r="O70" i="100"/>
  <c r="C21" i="106" l="1"/>
  <c r="O72" i="100"/>
  <c r="Z671" i="199"/>
  <c r="Z673" i="199" s="1"/>
  <c r="N79" i="100"/>
  <c r="N81" i="100" s="1"/>
  <c r="K42" i="100"/>
  <c r="O42" i="100" s="1"/>
  <c r="O40" i="100"/>
  <c r="W671" i="199"/>
  <c r="W673" i="199" s="1"/>
  <c r="L72" i="100"/>
  <c r="J38" i="106"/>
  <c r="J40" i="106" s="1"/>
  <c r="C42" i="106" s="1"/>
  <c r="C44" i="106" s="1"/>
  <c r="K79" i="100"/>
  <c r="D57" i="106" l="1"/>
  <c r="D58" i="106" s="1"/>
  <c r="D60" i="106" s="1"/>
  <c r="C23" i="106"/>
  <c r="C88" i="106"/>
  <c r="D88" i="106" s="1"/>
  <c r="D89" i="106" s="1"/>
  <c r="D91" i="106" s="1"/>
  <c r="F92" i="106" s="1"/>
  <c r="E57" i="106"/>
  <c r="E58" i="106" s="1"/>
  <c r="E60" i="106" s="1"/>
  <c r="K81" i="100"/>
  <c r="O81" i="100" s="1"/>
  <c r="O79" i="100"/>
  <c r="S678" i="199" l="1"/>
  <c r="S680" i="199" s="1"/>
  <c r="C89" i="106"/>
  <c r="C91" i="106" s="1"/>
  <c r="E92" i="106" s="1"/>
  <c r="E67" i="106"/>
  <c r="E102" i="106"/>
  <c r="S696" i="199" s="1"/>
  <c r="E65" i="106" l="1"/>
  <c r="F65" i="106" s="1"/>
  <c r="F67" i="106"/>
  <c r="E66" i="106"/>
  <c r="F66" i="106" s="1"/>
  <c r="E68" i="106"/>
  <c r="F68" i="106" s="1"/>
  <c r="D75" i="106"/>
  <c r="F75" i="106" s="1"/>
  <c r="D73" i="106" l="1"/>
  <c r="F73" i="106" s="1"/>
  <c r="D76" i="106"/>
  <c r="F76" i="106" s="1"/>
  <c r="E69" i="106"/>
  <c r="F69" i="106" s="1"/>
  <c r="D74" i="106"/>
  <c r="F74" i="106" s="1"/>
  <c r="D77" i="106" l="1"/>
  <c r="F77" i="10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Armando</author>
    <author>Candhy Denis Ormeño Cueva</author>
    <author>OPMI</author>
  </authors>
  <commentList>
    <comment ref="F5" authorId="0" shapeId="0" xr:uid="{00000000-0006-0000-0300-000001000000}">
      <text>
        <r>
          <rPr>
            <b/>
            <sz val="9"/>
            <color indexed="81"/>
            <rFont val="Tahoma"/>
            <family val="2"/>
          </rPr>
          <t>Ayuda:</t>
        </r>
        <r>
          <rPr>
            <sz val="9"/>
            <color indexed="81"/>
            <rFont val="Tahoma"/>
            <family val="2"/>
          </rPr>
          <t xml:space="preserve"> Deberá indicarse información del área de influencia del Proyecto de Inversión como: cantidad de la población al momento de elaborarse el estudio, número de viviendas, tasa de crecimiento poblacional (sustentada), características económicas del área de influencia (ingreso mensual familiar, cobro del servicio de limpieza pública, otros). </t>
        </r>
      </text>
    </comment>
    <comment ref="AQ14" authorId="0" shapeId="0" xr:uid="{00000000-0006-0000-0300-000002000000}">
      <text>
        <r>
          <rPr>
            <b/>
            <sz val="9"/>
            <color indexed="81"/>
            <rFont val="Tahoma"/>
            <family val="2"/>
          </rPr>
          <t>Ayuda:</t>
        </r>
        <r>
          <rPr>
            <sz val="9"/>
            <color indexed="81"/>
            <rFont val="Tahoma"/>
            <family val="2"/>
          </rPr>
          <t xml:space="preserve"> Corresponde al ingreso de la suma de todos los aportes en la familia.</t>
        </r>
      </text>
    </comment>
    <comment ref="L21" authorId="0" shapeId="0" xr:uid="{00000000-0006-0000-0300-000003000000}">
      <text>
        <r>
          <rPr>
            <b/>
            <sz val="9"/>
            <color indexed="81"/>
            <rFont val="Tahoma"/>
            <family val="2"/>
          </rPr>
          <t xml:space="preserve">Ayuda: </t>
        </r>
        <r>
          <rPr>
            <sz val="9"/>
            <color indexed="81"/>
            <rFont val="Tahoma"/>
            <family val="2"/>
          </rPr>
          <t xml:space="preserve">Colocar los principales valores del estudio de caracterización a nivel municipal (el periodo de vigencia puede ser de 05 años.)
</t>
        </r>
      </text>
    </comment>
    <comment ref="Q27" authorId="1" shapeId="0" xr:uid="{00000000-0006-0000-0300-000004000000}">
      <text>
        <r>
          <rPr>
            <b/>
            <sz val="9"/>
            <color indexed="81"/>
            <rFont val="Tahoma"/>
            <family val="2"/>
          </rPr>
          <t xml:space="preserve">Ayuda: </t>
        </r>
        <r>
          <rPr>
            <sz val="9"/>
            <color indexed="81"/>
            <rFont val="Tahoma"/>
            <family val="2"/>
          </rPr>
          <t>Se considera como comercio: Bodegas, ferreterias, librerias, peluquerias, boutique, mimarket y similares.</t>
        </r>
        <r>
          <rPr>
            <b/>
            <sz val="9"/>
            <color indexed="81"/>
            <rFont val="Tahoma"/>
            <family val="2"/>
          </rPr>
          <t xml:space="preserve"> </t>
        </r>
      </text>
    </comment>
    <comment ref="H36" authorId="0" shapeId="0" xr:uid="{00000000-0006-0000-0300-000005000000}">
      <text>
        <r>
          <rPr>
            <b/>
            <sz val="9"/>
            <color indexed="81"/>
            <rFont val="Tahoma"/>
            <family val="2"/>
          </rPr>
          <t xml:space="preserve">Ayuda: </t>
        </r>
        <r>
          <rPr>
            <sz val="9"/>
            <color indexed="81"/>
            <rFont val="Tahoma"/>
            <family val="2"/>
          </rPr>
          <t>Consignar las</t>
        </r>
        <r>
          <rPr>
            <b/>
            <sz val="9"/>
            <color indexed="81"/>
            <rFont val="Tahoma"/>
            <family val="2"/>
          </rPr>
          <t xml:space="preserve"> </t>
        </r>
        <r>
          <rPr>
            <sz val="9"/>
            <color indexed="81"/>
            <rFont val="Tahoma"/>
            <family val="2"/>
          </rPr>
          <t xml:space="preserve">papeleras/contenedores que se encuentran en condiciones de ser utilizadas en el Proyecto.
</t>
        </r>
      </text>
    </comment>
    <comment ref="L44" authorId="0" shapeId="0" xr:uid="{00000000-0006-0000-0300-000006000000}">
      <text>
        <r>
          <rPr>
            <sz val="9"/>
            <color indexed="81"/>
            <rFont val="Tahoma"/>
            <family val="2"/>
          </rPr>
          <t>El total debe ser igual al número de existente plazas, calles, avenidas</t>
        </r>
      </text>
    </comment>
    <comment ref="AJ44" authorId="0" shapeId="0" xr:uid="{00000000-0006-0000-0300-000007000000}">
      <text>
        <r>
          <rPr>
            <sz val="9"/>
            <color indexed="81"/>
            <rFont val="Tahoma"/>
            <family val="2"/>
          </rPr>
          <t>El total debe ser igual al número de existente plazas, calles, avenidas</t>
        </r>
      </text>
    </comment>
    <comment ref="L51" authorId="0" shapeId="0" xr:uid="{00000000-0006-0000-0300-000008000000}">
      <text>
        <r>
          <rPr>
            <sz val="9"/>
            <color indexed="81"/>
            <rFont val="Tahoma"/>
            <family val="2"/>
          </rPr>
          <t>El total debe ser igual al número de existente plazas, calles, avenidas</t>
        </r>
      </text>
    </comment>
    <comment ref="L60" authorId="0" shapeId="0" xr:uid="{00000000-0006-0000-0300-000009000000}">
      <text>
        <r>
          <rPr>
            <sz val="9"/>
            <color indexed="81"/>
            <rFont val="Tahoma"/>
            <family val="2"/>
          </rPr>
          <t>El total debe ser igual al número de existente plazas, calles, avenidas</t>
        </r>
      </text>
    </comment>
    <comment ref="AJ60" authorId="0" shapeId="0" xr:uid="{00000000-0006-0000-0300-00000A000000}">
      <text>
        <r>
          <rPr>
            <sz val="9"/>
            <color indexed="81"/>
            <rFont val="Tahoma"/>
            <family val="2"/>
          </rPr>
          <t>El total debe ser igual al número de existente plazas, calles, avenidas</t>
        </r>
      </text>
    </comment>
    <comment ref="L67" authorId="0" shapeId="0" xr:uid="{00000000-0006-0000-0300-00000B000000}">
      <text>
        <r>
          <rPr>
            <sz val="9"/>
            <color indexed="81"/>
            <rFont val="Tahoma"/>
            <family val="2"/>
          </rPr>
          <t>El total debe ser igual al número de existente plazas, calles, avenidas</t>
        </r>
      </text>
    </comment>
    <comment ref="B98" authorId="2" shapeId="0" xr:uid="{00000000-0006-0000-0300-00000C000000}">
      <text>
        <r>
          <rPr>
            <b/>
            <sz val="9"/>
            <color indexed="81"/>
            <rFont val="Tahoma"/>
            <family val="2"/>
          </rPr>
          <t>OPMI:</t>
        </r>
        <r>
          <rPr>
            <sz val="9"/>
            <color indexed="81"/>
            <rFont val="Tahoma"/>
            <family val="2"/>
          </rPr>
          <t xml:space="preserve">
???????????
Por que comerciales, que tipos de vias son?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Liliana Karina Ventura Fernandez</author>
    <author>Candhy Denis Ormeño Cueva</author>
  </authors>
  <commentList>
    <comment ref="C111" authorId="0" shapeId="0" xr:uid="{00000000-0006-0000-0A00-000001000000}">
      <text>
        <r>
          <rPr>
            <b/>
            <sz val="9"/>
            <color indexed="81"/>
            <rFont val="Tahoma"/>
            <family val="2"/>
          </rPr>
          <t>Ayuda:</t>
        </r>
        <r>
          <rPr>
            <sz val="9"/>
            <color indexed="81"/>
            <rFont val="Tahoma"/>
            <family val="2"/>
          </rPr>
          <t xml:space="preserve">
Llenar 1 o 0, de corresponder.</t>
        </r>
      </text>
    </comment>
    <comment ref="C112" authorId="0" shapeId="0" xr:uid="{00000000-0006-0000-0A00-000002000000}">
      <text>
        <r>
          <rPr>
            <b/>
            <sz val="9"/>
            <color indexed="81"/>
            <rFont val="Tahoma"/>
            <family val="2"/>
          </rPr>
          <t xml:space="preserve">Ayuda:
</t>
        </r>
        <r>
          <rPr>
            <sz val="9"/>
            <color indexed="81"/>
            <rFont val="Tahoma"/>
            <family val="2"/>
          </rPr>
          <t>Llenar 1 o 0, de corresponder.</t>
        </r>
      </text>
    </comment>
    <comment ref="C454" authorId="1" shapeId="0" xr:uid="{00000000-0006-0000-0A00-000003000000}">
      <text>
        <r>
          <rPr>
            <sz val="9"/>
            <color indexed="81"/>
            <rFont val="Tahoma"/>
            <family val="2"/>
          </rPr>
          <t xml:space="preserve">la cantidad será igual al numero de OPERARIOS
</t>
        </r>
      </text>
    </comment>
    <comment ref="F457" authorId="0" shapeId="0" xr:uid="{00000000-0006-0000-0A00-000004000000}">
      <text>
        <r>
          <rPr>
            <b/>
            <sz val="9"/>
            <color indexed="81"/>
            <rFont val="Tahoma"/>
            <family val="2"/>
          </rPr>
          <t>Ayuda:</t>
        </r>
        <r>
          <rPr>
            <sz val="9"/>
            <color indexed="81"/>
            <rFont val="Tahoma"/>
            <family val="2"/>
          </rPr>
          <t xml:space="preserve">
Cantidad es 1 o 0, de corresponder.</t>
        </r>
      </text>
    </comment>
    <comment ref="C479" authorId="1" shapeId="0" xr:uid="{00000000-0006-0000-0A00-000005000000}">
      <text>
        <r>
          <rPr>
            <sz val="9"/>
            <color indexed="81"/>
            <rFont val="Tahoma"/>
            <family val="2"/>
          </rPr>
          <t xml:space="preserve">En caso de optar por trinchera, estará en función del estudio de suelos. </t>
        </r>
      </text>
    </comment>
    <comment ref="F510" authorId="0" shapeId="0" xr:uid="{00000000-0006-0000-0A00-000006000000}">
      <text>
        <r>
          <rPr>
            <b/>
            <sz val="9"/>
            <color indexed="81"/>
            <rFont val="Tahoma"/>
            <family val="2"/>
          </rPr>
          <t>Ayuda:</t>
        </r>
        <r>
          <rPr>
            <sz val="9"/>
            <color indexed="81"/>
            <rFont val="Tahoma"/>
            <family val="2"/>
          </rPr>
          <t xml:space="preserve">
Cantidad es 1 o 0, de corresponder.</t>
        </r>
      </text>
    </comment>
    <comment ref="C533" authorId="1" shapeId="0" xr:uid="{00000000-0006-0000-0A00-000007000000}">
      <text>
        <r>
          <rPr>
            <sz val="9"/>
            <color indexed="81"/>
            <rFont val="Tahoma"/>
            <family val="2"/>
          </rPr>
          <t>En caso de optar por trinchera, estará en función del estudio de suelos. 
Para relleno MANUAL, no mayor a 3 m.
Para relleno SEMIMECANIZADO/MECANIZADO, no mayor a 5m</t>
        </r>
      </text>
    </comment>
    <comment ref="F567" authorId="0" shapeId="0" xr:uid="{00000000-0006-0000-0A00-000008000000}">
      <text>
        <r>
          <rPr>
            <b/>
            <sz val="9"/>
            <color indexed="81"/>
            <rFont val="Tahoma"/>
            <family val="2"/>
          </rPr>
          <t>Ayuda:</t>
        </r>
        <r>
          <rPr>
            <sz val="9"/>
            <color indexed="81"/>
            <rFont val="Tahoma"/>
            <family val="2"/>
          </rPr>
          <t xml:space="preserve">
Cantidad es 1 o 0, de corresponder.</t>
        </r>
      </text>
    </comment>
    <comment ref="C591" authorId="1" shapeId="0" xr:uid="{00000000-0006-0000-0A00-000009000000}">
      <text>
        <r>
          <rPr>
            <sz val="9"/>
            <color indexed="81"/>
            <rFont val="Tahoma"/>
            <family val="2"/>
          </rPr>
          <t>En caso de optar por trinchera, estará en función del estudio de suelos. 
Para relleno MANUAL, no mayor a 3 m.
Para relleno SEMIMECANIZADO/MECANIZADO, no mayor a 5m</t>
        </r>
      </text>
    </comment>
  </commentList>
</comments>
</file>

<file path=xl/sharedStrings.xml><?xml version="1.0" encoding="utf-8"?>
<sst xmlns="http://schemas.openxmlformats.org/spreadsheetml/2006/main" count="8026" uniqueCount="3302">
  <si>
    <t>Nº</t>
  </si>
  <si>
    <t>AÑO</t>
  </si>
  <si>
    <t>POBLACIÓN</t>
  </si>
  <si>
    <t>Unidades</t>
  </si>
  <si>
    <t>Cantidad</t>
  </si>
  <si>
    <t>%</t>
  </si>
  <si>
    <t>Total</t>
  </si>
  <si>
    <t>Descripción</t>
  </si>
  <si>
    <t>Año</t>
  </si>
  <si>
    <t>Demanda</t>
  </si>
  <si>
    <t>TOTAL</t>
  </si>
  <si>
    <t>Unidad</t>
  </si>
  <si>
    <t>Global</t>
  </si>
  <si>
    <t>Operación</t>
  </si>
  <si>
    <t>Personal</t>
  </si>
  <si>
    <t>Equipos</t>
  </si>
  <si>
    <t>Insumos</t>
  </si>
  <si>
    <t xml:space="preserve">Servicios </t>
  </si>
  <si>
    <t>2.1.1</t>
  </si>
  <si>
    <t>ITEM</t>
  </si>
  <si>
    <t>UNIDAD</t>
  </si>
  <si>
    <t>COSTO DIRECTO</t>
  </si>
  <si>
    <t>m2</t>
  </si>
  <si>
    <t>CANTIDAD</t>
  </si>
  <si>
    <t>Mantenimiento</t>
  </si>
  <si>
    <t>Año 10</t>
  </si>
  <si>
    <t>Barrido de calles</t>
  </si>
  <si>
    <t>Déficit</t>
  </si>
  <si>
    <t>Año 0</t>
  </si>
  <si>
    <t>Mobiliario</t>
  </si>
  <si>
    <t>2.1.2</t>
  </si>
  <si>
    <t>Factor de corrección</t>
  </si>
  <si>
    <t>Año 1</t>
  </si>
  <si>
    <t>Año 2</t>
  </si>
  <si>
    <t>Año 3</t>
  </si>
  <si>
    <t>Año 4</t>
  </si>
  <si>
    <t>Año 5</t>
  </si>
  <si>
    <t>Año 6</t>
  </si>
  <si>
    <t>Año 7</t>
  </si>
  <si>
    <t>Año 8</t>
  </si>
  <si>
    <t>Año 9</t>
  </si>
  <si>
    <t>OPERACIÓN</t>
  </si>
  <si>
    <t xml:space="preserve">Combustibles </t>
  </si>
  <si>
    <t>MANTENIMIENTO</t>
  </si>
  <si>
    <t>Inflación</t>
  </si>
  <si>
    <t>ETAPA DE INVERSIÓN, OPERACIÓN Y MANTENIMIENTO</t>
  </si>
  <si>
    <t>AÑO 0</t>
  </si>
  <si>
    <t>AÑO 1</t>
  </si>
  <si>
    <t>AÑO 2</t>
  </si>
  <si>
    <t>AÑO 3</t>
  </si>
  <si>
    <t>AÑO 4</t>
  </si>
  <si>
    <t>AÑO 5</t>
  </si>
  <si>
    <t>AÑO 6</t>
  </si>
  <si>
    <t>AÑO 7</t>
  </si>
  <si>
    <t>AÑO 8</t>
  </si>
  <si>
    <t>AÑO 9</t>
  </si>
  <si>
    <t>AÑO 10</t>
  </si>
  <si>
    <t>I</t>
  </si>
  <si>
    <t>II</t>
  </si>
  <si>
    <t>TOTAL DE INVERSIÓN</t>
  </si>
  <si>
    <t>III</t>
  </si>
  <si>
    <t>POST INVERSIÓN</t>
  </si>
  <si>
    <t>IV</t>
  </si>
  <si>
    <t>COSTO TOTAL CON PROYECTO</t>
  </si>
  <si>
    <t>V</t>
  </si>
  <si>
    <t>OPERACIÓN Y MANTENIMIENTO SIN PROYECTO</t>
  </si>
  <si>
    <t>VI</t>
  </si>
  <si>
    <t>Costos según alternativa</t>
  </si>
  <si>
    <t>Situación sin proyecto</t>
  </si>
  <si>
    <t>Personas promedio por vivienda</t>
  </si>
  <si>
    <t>INVERSIÓN</t>
  </si>
  <si>
    <t>VII</t>
  </si>
  <si>
    <t>VALOR</t>
  </si>
  <si>
    <t>PARÁMETROS</t>
  </si>
  <si>
    <t>TASA DE CRECIMIENTO GPC</t>
  </si>
  <si>
    <t xml:space="preserve">PORCENTAJE DE MATERIAL DE COBERTURA </t>
  </si>
  <si>
    <t>GENERACIÓN MUNICIPAL</t>
  </si>
  <si>
    <t>ACTIVIDADES</t>
  </si>
  <si>
    <t>hab</t>
  </si>
  <si>
    <t>(A)</t>
  </si>
  <si>
    <t>( C )</t>
  </si>
  <si>
    <t>VOLUMEN DE RESIDUOS SÓLIDOS A DISPONER 
(m3/año)</t>
  </si>
  <si>
    <t>VOLUMEN DE MATERIAL DE COBERTURA
(m3/año)</t>
  </si>
  <si>
    <t>(B)</t>
  </si>
  <si>
    <t>(D)</t>
  </si>
  <si>
    <t>(K) = (J) x 20%</t>
  </si>
  <si>
    <t>(N) = (Mi) + (Li)</t>
  </si>
  <si>
    <t>PRODUCTOS / METAS</t>
  </si>
  <si>
    <t>COSTOS INCREMENTALES (V-VI)</t>
  </si>
  <si>
    <t>Ha</t>
  </si>
  <si>
    <t>REINVERSIÓN</t>
  </si>
  <si>
    <t>VOLUMEN DEL RELLENO SANITARIO ACUMULADO
(m3)</t>
  </si>
  <si>
    <t>VOLUMEN DE RESIDUOS DISPUESTOS EN EL RELLENO
(m3)</t>
  </si>
  <si>
    <t>N°</t>
  </si>
  <si>
    <t>Inversión</t>
  </si>
  <si>
    <t>kg/hab/dia</t>
  </si>
  <si>
    <t>Variacion Costos (S/.)</t>
  </si>
  <si>
    <t xml:space="preserve">Variable Sensible: Costos </t>
  </si>
  <si>
    <t>Variación Total de Residuos Sólidos (Ton)</t>
  </si>
  <si>
    <t>Variable Sensible: Residuos Solidos Gestionados y Tratados</t>
  </si>
  <si>
    <t>C/E</t>
  </si>
  <si>
    <t>O&amp;M</t>
  </si>
  <si>
    <t>Costos Sociales</t>
  </si>
  <si>
    <t>VAC de Mercado</t>
  </si>
  <si>
    <t>VACSN = Valor Actual Costos Sociales Netos</t>
  </si>
  <si>
    <t>TSD = Tasa Social Descuento</t>
  </si>
  <si>
    <t>Donde:</t>
  </si>
  <si>
    <t>VACS Costos de Inversión (S/.)</t>
  </si>
  <si>
    <t>D. COSTOS INCREMENTALES</t>
  </si>
  <si>
    <t>C. COSTOS DE OPERACIÓN Y MANTENIMIENTO SIN PROYECTO</t>
  </si>
  <si>
    <t>AÑOS</t>
  </si>
  <si>
    <t>(En nuevos soles a precios sociales)</t>
  </si>
  <si>
    <t>(En nuevos soles a precios de mercado)</t>
  </si>
  <si>
    <t>Tarifa (S/viv/mes)</t>
  </si>
  <si>
    <t>ton/viv/mes</t>
  </si>
  <si>
    <t>Cantidad de residuos por viv.</t>
  </si>
  <si>
    <t>kg/viv/mes</t>
  </si>
  <si>
    <t>kg/viv/dia</t>
  </si>
  <si>
    <t>Generación per cápita</t>
  </si>
  <si>
    <t>Costo Unitario (S/ton.)</t>
  </si>
  <si>
    <t>Inv. + O&amp;M</t>
  </si>
  <si>
    <t>Tarifa (S/.viv/mes)</t>
  </si>
  <si>
    <t>Montos</t>
  </si>
  <si>
    <t>Particip.</t>
  </si>
  <si>
    <t>TIEMPO</t>
  </si>
  <si>
    <t>TOTAL (S/.)</t>
  </si>
  <si>
    <t>MESES</t>
  </si>
  <si>
    <t>PERSONAL DE APOYO:</t>
  </si>
  <si>
    <t>LOCALIDAD</t>
  </si>
  <si>
    <t>Habitantes</t>
  </si>
  <si>
    <t>Tasa de Crecimiento de la GPC</t>
  </si>
  <si>
    <t>GPC PROMEDIO (Kg/Hab/Día)</t>
  </si>
  <si>
    <t>TOTAL POBLACIÓN</t>
  </si>
  <si>
    <t>ÁREA</t>
  </si>
  <si>
    <t>GRS-D (Tn/Día)</t>
  </si>
  <si>
    <t>GRS-ND (Tn/Día)</t>
  </si>
  <si>
    <t>Zona de Estudio</t>
  </si>
  <si>
    <t>TOTAL %</t>
  </si>
  <si>
    <t>(J) = (I) /0.5</t>
  </si>
  <si>
    <t>(E) = (A) + (B) + (C) + (D)</t>
  </si>
  <si>
    <t>GPC (KG/HAB/DIA)</t>
  </si>
  <si>
    <t>glb</t>
  </si>
  <si>
    <t>02</t>
  </si>
  <si>
    <t>(t/día)</t>
  </si>
  <si>
    <t>Demanda total (t/día)</t>
  </si>
  <si>
    <t xml:space="preserve">Establecimientos </t>
  </si>
  <si>
    <t xml:space="preserve">Barrido de calles </t>
  </si>
  <si>
    <t xml:space="preserve">Almacenamiento público </t>
  </si>
  <si>
    <t>Residuos No Domésticos (t/día)</t>
  </si>
  <si>
    <t>Almacenamiento Público</t>
  </si>
  <si>
    <t>Recolección</t>
  </si>
  <si>
    <t>Oferta optimizada</t>
  </si>
  <si>
    <t>(Li) = ∑ Ji x densidad</t>
  </si>
  <si>
    <t>Balanza</t>
  </si>
  <si>
    <t>TASA DE CRECIMIENTO POBLACIONAL</t>
  </si>
  <si>
    <t>04</t>
  </si>
  <si>
    <t>Estudio de Vulnerabilidad</t>
  </si>
  <si>
    <t>ESTUDIOS</t>
  </si>
  <si>
    <t>Ingeniero Civil</t>
  </si>
  <si>
    <t>Ingeniero Ambiental</t>
  </si>
  <si>
    <t>Población Distrital</t>
  </si>
  <si>
    <t>COSTOS INCREMENTALES</t>
  </si>
  <si>
    <t>Ton Totales</t>
  </si>
  <si>
    <t>VAC</t>
  </si>
  <si>
    <t>Alternativa</t>
  </si>
  <si>
    <t>Tarifa según Domicilios</t>
  </si>
  <si>
    <t>Costos de Mercado</t>
  </si>
  <si>
    <t>Costos -Alternativa</t>
  </si>
  <si>
    <t>Costos incrementales Alternativa</t>
  </si>
  <si>
    <t xml:space="preserve"> (C/E)</t>
  </si>
  <si>
    <t>VACS</t>
  </si>
  <si>
    <t>COSTOS A PRECIOS DE MERCADO</t>
  </si>
  <si>
    <t>COSTOS A PRECIOS SOCIALES</t>
  </si>
  <si>
    <t>Proceso</t>
  </si>
  <si>
    <t xml:space="preserve">Costo directo  </t>
  </si>
  <si>
    <t xml:space="preserve">      Almacenamiento y barrido </t>
  </si>
  <si>
    <t xml:space="preserve">      Recolección y transporte </t>
  </si>
  <si>
    <t xml:space="preserve">      Reaprovechamiento de residuos orgánicos</t>
  </si>
  <si>
    <t xml:space="preserve">      Reaprovechamiento de residuos inorgánicos </t>
  </si>
  <si>
    <t xml:space="preserve">      Disposición final</t>
  </si>
  <si>
    <t xml:space="preserve">     Gestión  administrativa, financiera y técnica </t>
  </si>
  <si>
    <t xml:space="preserve">     Participación de la población </t>
  </si>
  <si>
    <t xml:space="preserve"> Gastos generales </t>
  </si>
  <si>
    <t xml:space="preserve"> Utilidad </t>
  </si>
  <si>
    <t xml:space="preserve"> Expediente técnico y EIA </t>
  </si>
  <si>
    <t xml:space="preserve"> Supervisión y liquidación  </t>
  </si>
  <si>
    <t xml:space="preserve"> Evaluación Intermedia y Expost</t>
  </si>
  <si>
    <t>Operación y mantenimiento</t>
  </si>
  <si>
    <t xml:space="preserve">Ton Totales </t>
  </si>
  <si>
    <t xml:space="preserve">Alternativa </t>
  </si>
  <si>
    <t>1. PROYECCIÓN DE LA POBLACIÓN BENEFICIARIA</t>
  </si>
  <si>
    <t>DETERMINACIÓN DE LA INVERSIÓN
( CANTIDADES )</t>
  </si>
  <si>
    <t>t / día</t>
  </si>
  <si>
    <t>Demanda de Barrido</t>
  </si>
  <si>
    <t>km / dia</t>
  </si>
  <si>
    <t>Personal Propuesto</t>
  </si>
  <si>
    <t>barrenderos</t>
  </si>
  <si>
    <t>Total barrenderos</t>
  </si>
  <si>
    <t>Cantidad a adquirir 
al Año 0</t>
  </si>
  <si>
    <t>Cantidad a adquirir 
al Año 3</t>
  </si>
  <si>
    <t>Cantidad a adquirir 
al Año 6</t>
  </si>
  <si>
    <t>Cantidad a adquirir 
al Año 9</t>
  </si>
  <si>
    <t>Veces a comprar por año</t>
  </si>
  <si>
    <t>Conos de seguridad</t>
  </si>
  <si>
    <t>Recogedor Metálico</t>
  </si>
  <si>
    <t>Útiles de aseo</t>
  </si>
  <si>
    <t>i. Personal</t>
  </si>
  <si>
    <t>Cantidad por vehículo</t>
  </si>
  <si>
    <t>Choferes</t>
  </si>
  <si>
    <t>ii. Herramientas</t>
  </si>
  <si>
    <t>Filtro de aire (primario y secundario)</t>
  </si>
  <si>
    <t>Filtro secador de aire</t>
  </si>
  <si>
    <t>Filtro hidráulico</t>
  </si>
  <si>
    <t>Llantas Delanteras set completo</t>
  </si>
  <si>
    <t>Llantas Traseras set completo</t>
  </si>
  <si>
    <t>Baterías</t>
  </si>
  <si>
    <t>Camisaco</t>
  </si>
  <si>
    <t xml:space="preserve">Pantalón de drill </t>
  </si>
  <si>
    <t xml:space="preserve">Polos </t>
  </si>
  <si>
    <t xml:space="preserve">Gorro taslan </t>
  </si>
  <si>
    <t>Aceite de motor</t>
  </si>
  <si>
    <t>Aceite de caja</t>
  </si>
  <si>
    <t>Aceite de trasmisión</t>
  </si>
  <si>
    <t xml:space="preserve">Sistema hidráulico (cambio al año) </t>
  </si>
  <si>
    <t>Ayudantes</t>
  </si>
  <si>
    <t>Zapas</t>
  </si>
  <si>
    <t>Manta de Nylon reforzado</t>
  </si>
  <si>
    <t xml:space="preserve">Rastrillos </t>
  </si>
  <si>
    <t>Pantalón</t>
  </si>
  <si>
    <t>Polos</t>
  </si>
  <si>
    <t>Gorro</t>
  </si>
  <si>
    <t>Lentes</t>
  </si>
  <si>
    <t>Guantes de cuero reforzados</t>
  </si>
  <si>
    <t>Mascarilla de Drill</t>
  </si>
  <si>
    <t>Botas de jebe con forro</t>
  </si>
  <si>
    <t>Mochilas</t>
  </si>
  <si>
    <t>Balanza de plataforma</t>
  </si>
  <si>
    <t>Cantidad por operario</t>
  </si>
  <si>
    <t>Picos</t>
  </si>
  <si>
    <t>Carretillas</t>
  </si>
  <si>
    <t>Lampas</t>
  </si>
  <si>
    <t>Zarandas</t>
  </si>
  <si>
    <t xml:space="preserve">Camisaco </t>
  </si>
  <si>
    <t xml:space="preserve">Pantalón </t>
  </si>
  <si>
    <t>Gorro taslan</t>
  </si>
  <si>
    <t xml:space="preserve">Lentes </t>
  </si>
  <si>
    <t>Mascrillas con filtros</t>
  </si>
  <si>
    <t>Programa preventivo de salud ocupacional</t>
  </si>
  <si>
    <t>Operarios</t>
  </si>
  <si>
    <t xml:space="preserve">Carretilla de construcción </t>
  </si>
  <si>
    <t>Rastrillo metálico</t>
  </si>
  <si>
    <t>Trinche</t>
  </si>
  <si>
    <t xml:space="preserve">Escritorios </t>
  </si>
  <si>
    <t>Útiles de oficina</t>
  </si>
  <si>
    <t>Archivador de madera</t>
  </si>
  <si>
    <t>Mesa para comedor</t>
  </si>
  <si>
    <t>Cocina</t>
  </si>
  <si>
    <t>Mascarilla de doble filtro contra polvo y gases</t>
  </si>
  <si>
    <t>RECOLECCION</t>
  </si>
  <si>
    <t>Pala cuchara</t>
  </si>
  <si>
    <t>2.1.3</t>
  </si>
  <si>
    <t>2.1.4</t>
  </si>
  <si>
    <t>Pares</t>
  </si>
  <si>
    <t>Mochila</t>
  </si>
  <si>
    <t>BARRIDO
(Km / día )</t>
  </si>
  <si>
    <t>Personal existente</t>
  </si>
  <si>
    <t>Personal adicional</t>
  </si>
  <si>
    <t>Medidor de PH</t>
  </si>
  <si>
    <t>Poncho impermeable</t>
  </si>
  <si>
    <t>Rodillo manual</t>
  </si>
  <si>
    <t>Guante respirable de cuero flexible reforzado</t>
  </si>
  <si>
    <t>Mascarilla de doble filtro contra polvo y gases (incluye filtros)</t>
  </si>
  <si>
    <t>Medidor de pH digital</t>
  </si>
  <si>
    <t>1.1.</t>
  </si>
  <si>
    <t>1.1.1</t>
  </si>
  <si>
    <t>1.2.</t>
  </si>
  <si>
    <t>1.2.1</t>
  </si>
  <si>
    <t>1.2.2</t>
  </si>
  <si>
    <t>1.2.3</t>
  </si>
  <si>
    <t>1.2.4</t>
  </si>
  <si>
    <t>1.3.</t>
  </si>
  <si>
    <t>Bienes de Consumo</t>
  </si>
  <si>
    <t>1.3.1.</t>
  </si>
  <si>
    <t>1.3.1.1</t>
  </si>
  <si>
    <t>1.3.1.2</t>
  </si>
  <si>
    <t>1.3.1.3</t>
  </si>
  <si>
    <t>Bolsas de Polietileno 140L</t>
  </si>
  <si>
    <t>1.3.2.</t>
  </si>
  <si>
    <t>Reposición de Equipos de Protección Personal ( EPPs )</t>
  </si>
  <si>
    <t>1.3.2.1</t>
  </si>
  <si>
    <t>1.3.2.2</t>
  </si>
  <si>
    <t>1.3.2.3</t>
  </si>
  <si>
    <t>1.3.2.4</t>
  </si>
  <si>
    <t>1.3.2.5</t>
  </si>
  <si>
    <t>1.3.2.6</t>
  </si>
  <si>
    <t>1.3.2.7</t>
  </si>
  <si>
    <t>1.3.2.10</t>
  </si>
  <si>
    <t>1.3.2.11</t>
  </si>
  <si>
    <t>Repuestos</t>
  </si>
  <si>
    <t>2.2.1</t>
  </si>
  <si>
    <t>2.2.2</t>
  </si>
  <si>
    <t>Equipos y/o herramientas</t>
  </si>
  <si>
    <t>Grasa amarilla</t>
  </si>
  <si>
    <t>Filtro de aceite</t>
  </si>
  <si>
    <t>Filtro de petróleo (cambio c/250 Hr de trabajo)</t>
  </si>
  <si>
    <t>1.3.1.4</t>
  </si>
  <si>
    <t>1.3.1.5</t>
  </si>
  <si>
    <t>1.3.1.6</t>
  </si>
  <si>
    <t>1.3.1.7</t>
  </si>
  <si>
    <t>1.3.1.8</t>
  </si>
  <si>
    <t>1.3.1.9</t>
  </si>
  <si>
    <t>1.4.1</t>
  </si>
  <si>
    <t>1.4.2</t>
  </si>
  <si>
    <t>Servicios</t>
  </si>
  <si>
    <t>1.5.1</t>
  </si>
  <si>
    <t>1.5.2</t>
  </si>
  <si>
    <t>1.2.5</t>
  </si>
  <si>
    <t>1.2.6</t>
  </si>
  <si>
    <t>Costales</t>
  </si>
  <si>
    <t>1.3.2.9</t>
  </si>
  <si>
    <t>Señalizaciones</t>
  </si>
  <si>
    <t>Calibración de Balanza</t>
  </si>
  <si>
    <t>1.1.2</t>
  </si>
  <si>
    <t>2.2.3</t>
  </si>
  <si>
    <t>2.2.4</t>
  </si>
  <si>
    <t>Mantenimiento del área administrativa del servicio</t>
  </si>
  <si>
    <t>Diseño e impresión de Volantes</t>
  </si>
  <si>
    <t>Diseño e impresión de Afiches</t>
  </si>
  <si>
    <t>Diseño e impresión de Boletines</t>
  </si>
  <si>
    <t>Servicio de perifoneo motorizado</t>
  </si>
  <si>
    <t>Elaboración de Bolsas Sanas (Bolsas de tela )</t>
  </si>
  <si>
    <t>1.3.2.12</t>
  </si>
  <si>
    <t>1.3.2.13</t>
  </si>
  <si>
    <t>1.2.7</t>
  </si>
  <si>
    <t>1.2.8</t>
  </si>
  <si>
    <t>1.3.1.10</t>
  </si>
  <si>
    <t>1.3.1.11</t>
  </si>
  <si>
    <t>1.3.1.12</t>
  </si>
  <si>
    <t>1.2.9</t>
  </si>
  <si>
    <t>1.2.10</t>
  </si>
  <si>
    <t>1.2.11</t>
  </si>
  <si>
    <t>1.2.12</t>
  </si>
  <si>
    <t>1.2.13</t>
  </si>
  <si>
    <t>1.2.14</t>
  </si>
  <si>
    <t>Responsable del Servicio de Limpieza Publica</t>
  </si>
  <si>
    <t>Tintas para impresora</t>
  </si>
  <si>
    <t>1.3.3</t>
  </si>
  <si>
    <t>1.3.3.1</t>
  </si>
  <si>
    <t>1.3.3.2</t>
  </si>
  <si>
    <t>1.3.3.3</t>
  </si>
  <si>
    <t>1.3.3.4</t>
  </si>
  <si>
    <t>1.3.3.5</t>
  </si>
  <si>
    <t>1.3.3.6</t>
  </si>
  <si>
    <t>1.3.3.7</t>
  </si>
  <si>
    <t>2.1.5</t>
  </si>
  <si>
    <t>2.2.6</t>
  </si>
  <si>
    <t>1.3.1.13</t>
  </si>
  <si>
    <t>Lavado y pintado de papeleras</t>
  </si>
  <si>
    <t>Revisión técnica de motobomba</t>
  </si>
  <si>
    <t>1.3.1.14</t>
  </si>
  <si>
    <t>1.3.1.15</t>
  </si>
  <si>
    <t>Monitoreo Ambiental (Aire, ruido, agua y suelo)</t>
  </si>
  <si>
    <t>Control ambiental y sanitario (control de vectores)</t>
  </si>
  <si>
    <t>VACM Costos de Operación y Mantenimiento (S/.)</t>
  </si>
  <si>
    <t>VACS Costos de Operación y Mantenimiento (S/.)</t>
  </si>
  <si>
    <t>1.4.3</t>
  </si>
  <si>
    <t>1.4.4</t>
  </si>
  <si>
    <t>1.4.5</t>
  </si>
  <si>
    <t>1.4.6</t>
  </si>
  <si>
    <t>1.4.7</t>
  </si>
  <si>
    <t>1.4.8</t>
  </si>
  <si>
    <t>1.4.9</t>
  </si>
  <si>
    <t>1.4.10</t>
  </si>
  <si>
    <t xml:space="preserve">(La información registrada tiene carácter de Declaración Jurada - DS. N° 027-2017-EF)  </t>
  </si>
  <si>
    <t>ARTICULACIÓN CON EL PROGRAMA MULTIANUAL DE INVERSIONES (PMI)</t>
  </si>
  <si>
    <t>OBJETO</t>
  </si>
  <si>
    <t>DEPARTAMENTO</t>
  </si>
  <si>
    <t>PROVINCIA</t>
  </si>
  <si>
    <t>DISTRITO</t>
  </si>
  <si>
    <t>UBIGEO</t>
  </si>
  <si>
    <t>Tipo</t>
  </si>
  <si>
    <t>Responsable de la formulación del proyecto</t>
  </si>
  <si>
    <t xml:space="preserve">  </t>
  </si>
  <si>
    <t>Densidad poblacional (habitantes / vivienda)</t>
  </si>
  <si>
    <t>Tasa de crecimiento poblacional</t>
  </si>
  <si>
    <t>Ingreso promedio (S/familia/mes)</t>
  </si>
  <si>
    <t xml:space="preserve">Generación per cápita </t>
  </si>
  <si>
    <t>km lineales</t>
  </si>
  <si>
    <t>Cantidad de residuos no domiciliarios</t>
  </si>
  <si>
    <t>ALMACENAMIENTO</t>
  </si>
  <si>
    <t>BARRIDO</t>
  </si>
  <si>
    <t>FIRMAS</t>
  </si>
  <si>
    <t>SUPUESTOS</t>
  </si>
  <si>
    <t>FIN</t>
  </si>
  <si>
    <t>REQUERIMIENTOS INSTITUCIONALES Y/O NORMATIVOS</t>
  </si>
  <si>
    <t>ESTUDIO DE MERCADO DEL SERVICIO PÚBLICO</t>
  </si>
  <si>
    <t>Documento</t>
  </si>
  <si>
    <t>UNIDAD DE MEDIDA</t>
  </si>
  <si>
    <t>Tasa de crecimiento poblacional (%)</t>
  </si>
  <si>
    <t>Tarifa por el Servicio de Limpieza Pública (S/mes)</t>
  </si>
  <si>
    <t>PROCESO</t>
  </si>
  <si>
    <t>RECOLECCIÓN Y TRANSPORTE</t>
  </si>
  <si>
    <t>Papeleras</t>
  </si>
  <si>
    <t>Planta de aprovechamiento orgánico (Infraestructura)</t>
  </si>
  <si>
    <t>Bomba de lixiviado</t>
  </si>
  <si>
    <t>ACCIONES</t>
  </si>
  <si>
    <t>DETALLE</t>
  </si>
  <si>
    <t>Equipamiento</t>
  </si>
  <si>
    <t>Infraestructura</t>
  </si>
  <si>
    <t>CRITERIO DE ELECCIÓN*</t>
  </si>
  <si>
    <t>1.</t>
  </si>
  <si>
    <t>DATOS GENERALES</t>
  </si>
  <si>
    <t>NOMBRE DEL PROYECTO :</t>
  </si>
  <si>
    <t>NATURALEZA DE INTERVENCIÓN</t>
  </si>
  <si>
    <t>AMPLIACIÓN</t>
  </si>
  <si>
    <t>SERVICIO DE LIMPIEZA PÚBLICA</t>
  </si>
  <si>
    <t>LOCALIZACIÓN</t>
  </si>
  <si>
    <t>RESPONSABILIDAD FUNCIONAL DEL PROYECTO DE INVERSIÓN PÚBLICA.</t>
  </si>
  <si>
    <t>FUNCIÓN:</t>
  </si>
  <si>
    <t>17: AMBIENTE</t>
  </si>
  <si>
    <t>DIVISIÓN FUNCIONAL:</t>
  </si>
  <si>
    <t>GRUPO FUNCIONAL:</t>
  </si>
  <si>
    <t>RESPONSABLE FUNCIONAL:</t>
  </si>
  <si>
    <t>AMBIENTE</t>
  </si>
  <si>
    <t>¿EL PROYECTO PERTENECE A UN PROGRAMA DE INVERSIÓN ?</t>
  </si>
  <si>
    <t>NO</t>
  </si>
  <si>
    <t>EN CASO AFIRMATIVO, INDIQUE CUAL ES EL CÓDIGO DEL PROGRAMA DE INVERSIÓN:</t>
  </si>
  <si>
    <t>¿EL PROYECTO PERTENECE A UN CONGLOMERADO AUTORIZADO ?</t>
  </si>
  <si>
    <t>EN CASO AFIRMATIVO, INDIQUE CUAL ES EL CÓDIGO DEL CONGLOMERADO:</t>
  </si>
  <si>
    <t>1.4</t>
  </si>
  <si>
    <t>UNIDAD FORMULADORA (U.F.) DEL PROYECTO</t>
  </si>
  <si>
    <t xml:space="preserve">SECTOR: </t>
  </si>
  <si>
    <t xml:space="preserve">PLIEGO: </t>
  </si>
  <si>
    <t>NOMBRE DE LA UF:</t>
  </si>
  <si>
    <t>PERSONA RESPONSABLE DE LA U.F.:</t>
  </si>
  <si>
    <t>PERSONA RESPONSABLE DE LA FORMULACIÓN:</t>
  </si>
  <si>
    <t>SI LA FICHA TÉCNICA HA SIDO DESARROLLADA POR ADMINISTRACIÓN INDIRECTA (CONSULTORÍA):</t>
  </si>
  <si>
    <t>AUTOR :</t>
  </si>
  <si>
    <t>COSTO DE ELABORACIÓN (S/):</t>
  </si>
  <si>
    <t>Fecha inicio</t>
  </si>
  <si>
    <t>Fecha termino</t>
  </si>
  <si>
    <t>1.5</t>
  </si>
  <si>
    <t>UNIDAD EJECUTORA DE INVERSIONES (U.E.I.) RECOMENDADA DEL PROYECTO</t>
  </si>
  <si>
    <t>NOMBRE:</t>
  </si>
  <si>
    <t>PERSONA RESPONSABLE DE LA U.E.I.:</t>
  </si>
  <si>
    <t>1.6</t>
  </si>
  <si>
    <t>LOCALIZACIÓN GEOGRÁFICA DEL PROYECTO</t>
  </si>
  <si>
    <t>COORDENADAS UTM - WGS84 Y COTA</t>
  </si>
  <si>
    <t>(X):</t>
  </si>
  <si>
    <t>(Y):</t>
  </si>
  <si>
    <t>COTA (msnm):</t>
  </si>
  <si>
    <t>REGIÓN</t>
  </si>
  <si>
    <t>SIERRA</t>
  </si>
  <si>
    <t>II.</t>
  </si>
  <si>
    <t>IDENTIFICACIÓN</t>
  </si>
  <si>
    <t>2.1</t>
  </si>
  <si>
    <t>DESCRIPCIÓN DE LA SITUACIÓN ACTUAL</t>
  </si>
  <si>
    <t>INFORMACIÓN SOCIOECONOMICA E INDICADORES</t>
  </si>
  <si>
    <t>VALOR ACTUAL</t>
  </si>
  <si>
    <t>COSTOS SERVICIOS BÁSICOS POR VIVIENDA</t>
  </si>
  <si>
    <t>Costo del Servicio de agua potable (Soles / mes)</t>
  </si>
  <si>
    <t>Costo del Servicio de desagüe o alcantarillado (Soles / mes)</t>
  </si>
  <si>
    <t>Costo del Servicio de Energía (Soles / mes)</t>
  </si>
  <si>
    <t>VALORIZACIÓN</t>
  </si>
  <si>
    <t>Ubicación UTM - WGS84</t>
  </si>
  <si>
    <t>Área (m2)</t>
  </si>
  <si>
    <t>Ubicación UTM - WGS85</t>
  </si>
  <si>
    <t>Ubicación UTM - WGS86</t>
  </si>
  <si>
    <t>EDUCACIÓN AMBIENTAL</t>
  </si>
  <si>
    <t>(*) Talleres, ferias, campañas, pasacalles, entre otros</t>
  </si>
  <si>
    <t xml:space="preserve">COMPONENTES </t>
  </si>
  <si>
    <t>U. M.</t>
  </si>
  <si>
    <t>und</t>
  </si>
  <si>
    <t>Área degradada operativo (en uso)</t>
  </si>
  <si>
    <t>Relleno Sanitario</t>
  </si>
  <si>
    <t>INDICADOR</t>
  </si>
  <si>
    <t>2.2</t>
  </si>
  <si>
    <t>CAUSAS INDIRECTAS</t>
  </si>
  <si>
    <t>Inadecuada capacidad para la recolección y transporte</t>
  </si>
  <si>
    <t>Inadecuada disposición final de los residuos sólidos</t>
  </si>
  <si>
    <t>Ineficiente gestión técnica, administrativa, económica y financiera del servicio de limpieza pública</t>
  </si>
  <si>
    <t>Inadecuada difusión y sensibilización sobre temas ambientales y sanitarios.</t>
  </si>
  <si>
    <t>Emisión de gases tóxicos y filtración de lixiviados en el suelo</t>
  </si>
  <si>
    <t>Deterioro de la calidad ambiental.</t>
  </si>
  <si>
    <t>Riesgos para la salud de la población y el personal de limpieza publica</t>
  </si>
  <si>
    <t>Personal de limpieza pública expuesto a contraer enfermedades.</t>
  </si>
  <si>
    <t>2.3</t>
  </si>
  <si>
    <t>ANÁLISIS DE LOS INVOLUCRADOS</t>
  </si>
  <si>
    <t>Nacional</t>
  </si>
  <si>
    <t>Regional</t>
  </si>
  <si>
    <t>Local</t>
  </si>
  <si>
    <t>2.4</t>
  </si>
  <si>
    <t>POBLACIÓN AFECTADA Y POBLACIÓN OBJETIVO</t>
  </si>
  <si>
    <t>Urbana</t>
  </si>
  <si>
    <t>INEI, Municipalidad, MINSA</t>
  </si>
  <si>
    <t>2.5</t>
  </si>
  <si>
    <t>OBJETIVO DEL PROYECTO</t>
  </si>
  <si>
    <t>META</t>
  </si>
  <si>
    <t>Población atendida por el servicio de limpieza pública</t>
  </si>
  <si>
    <t>Encuestas</t>
  </si>
  <si>
    <t>Ton/día recolectada y transportada</t>
  </si>
  <si>
    <t>Informe del área encargada de la O&amp;M</t>
  </si>
  <si>
    <t>Ton/día dispuestas al relleno sanitario</t>
  </si>
  <si>
    <t>MEDIOS FUNDAMENTALES</t>
  </si>
  <si>
    <t>Adecuada difusión y sensibilización sobre temas ambientales y sanitarios.</t>
  </si>
  <si>
    <t>2.6</t>
  </si>
  <si>
    <t>DESCRIPCION DE LA ALTERNATIVA DE SOLUCIÓN</t>
  </si>
  <si>
    <t xml:space="preserve">DESCRIPCIÓN ALTERNATIVA </t>
  </si>
  <si>
    <t>MEDIOS DE PRIMER NIVEL</t>
  </si>
  <si>
    <t>MEDIO FUNDAMENTALES</t>
  </si>
  <si>
    <t>SERVICIOS CON BRECHA</t>
  </si>
  <si>
    <t>UNIDAD DE 
MEDIDA</t>
  </si>
  <si>
    <t>Servicio de limpieza pública</t>
  </si>
  <si>
    <t>habitantes</t>
  </si>
  <si>
    <t>REQUERIMIENTOS INSTITUCIONALES Y NORMATIVOS</t>
  </si>
  <si>
    <t>FASE FORMULACIÓN</t>
  </si>
  <si>
    <t>SANEAMIENTO FÍSICO LEGAL</t>
  </si>
  <si>
    <t>TERRENO DE PRIVADO O COMUNIDAD CAMPESINA</t>
  </si>
  <si>
    <t>TERRENO DE ENTIDAD PÚBLICA (SBN, MINISTERIO, ETC)</t>
  </si>
  <si>
    <t>TERRENO DE PROPIEDAD DE LA MUNICIPALIDAD</t>
  </si>
  <si>
    <t>Los ensayos no es obligatorio que se haga en laboratorios acreditados</t>
  </si>
  <si>
    <t>III.</t>
  </si>
  <si>
    <t>3.1</t>
  </si>
  <si>
    <t xml:space="preserve">HORIZONTE DE EVALUACIÓN </t>
  </si>
  <si>
    <t>3.2</t>
  </si>
  <si>
    <t>3.2.1 Principales parámetros y supuestos considerados para la proyección de la demanda</t>
  </si>
  <si>
    <t>Población Total (beneficiaria)</t>
  </si>
  <si>
    <t>(kg/hab/día)</t>
  </si>
  <si>
    <t>t/día</t>
  </si>
  <si>
    <t>ALMACENAMIENTO (T/día)</t>
  </si>
  <si>
    <t>BARRIDO (T/día)</t>
  </si>
  <si>
    <t>RECOLECCIÓN Y TRANSPORTE(T/día)</t>
  </si>
  <si>
    <t>DEMANDA</t>
  </si>
  <si>
    <t>OFERTA</t>
  </si>
  <si>
    <t xml:space="preserve">BRECHA </t>
  </si>
  <si>
    <t>3.3</t>
  </si>
  <si>
    <t>TIPO DE ITEM</t>
  </si>
  <si>
    <t>ANÁLISIS TÉCNICO</t>
  </si>
  <si>
    <t>Vehículo</t>
  </si>
  <si>
    <t>Vehiculo</t>
  </si>
  <si>
    <t>Intangibles</t>
  </si>
  <si>
    <t>3.4</t>
  </si>
  <si>
    <t>COSTOS DEL PROYECTO</t>
  </si>
  <si>
    <t>METAS FISICAS, COSTOS Y PLAZOS</t>
  </si>
  <si>
    <t>Producto por Medio Fundamental</t>
  </si>
  <si>
    <t>Tipo de ítem</t>
  </si>
  <si>
    <t>Tamaño, volumen u otras unidades representativas</t>
  </si>
  <si>
    <t>Expediente Técnico / Equivalente</t>
  </si>
  <si>
    <t>Unidad de medida
(UM)</t>
  </si>
  <si>
    <t>Meta</t>
  </si>
  <si>
    <t>Fecha de inicio</t>
  </si>
  <si>
    <t>Fecha de término</t>
  </si>
  <si>
    <t>COSTO ESTIMADO DE INVERSION A PRECIOS DE MERCADO (SOLES)</t>
  </si>
  <si>
    <t>Gestión del Proyecto</t>
  </si>
  <si>
    <t>Informe</t>
  </si>
  <si>
    <t>RESUMEN DE LAS INVERSIONES</t>
  </si>
  <si>
    <t>1</t>
  </si>
  <si>
    <t>2</t>
  </si>
  <si>
    <t>3</t>
  </si>
  <si>
    <t>4</t>
  </si>
  <si>
    <t>5</t>
  </si>
  <si>
    <t>6</t>
  </si>
  <si>
    <t>7</t>
  </si>
  <si>
    <t>8</t>
  </si>
  <si>
    <t>9</t>
  </si>
  <si>
    <t>10</t>
  </si>
  <si>
    <t>11</t>
  </si>
  <si>
    <t>12</t>
  </si>
  <si>
    <t>Sub total por periodo</t>
  </si>
  <si>
    <t>U.M Representativa</t>
  </si>
  <si>
    <t>TOTAL META</t>
  </si>
  <si>
    <t>RESUMEN DE EJECUCIÓN</t>
  </si>
  <si>
    <t>Años</t>
  </si>
  <si>
    <t>Vehículos</t>
  </si>
  <si>
    <t>Total reposición</t>
  </si>
  <si>
    <t>Costos</t>
  </si>
  <si>
    <t>Sin Proyecto</t>
  </si>
  <si>
    <t>Total costo O&amp;M precios privados</t>
  </si>
  <si>
    <t>Total costo O&amp;M precios sociales</t>
  </si>
  <si>
    <t>Con Proyecto</t>
  </si>
  <si>
    <t>Precios sociales</t>
  </si>
  <si>
    <t>3.5</t>
  </si>
  <si>
    <t>CRITERIOS DE DECISIÓN DE INVERSIÓN</t>
  </si>
  <si>
    <t>3.6</t>
  </si>
  <si>
    <t>SOSTENIBILIDAD</t>
  </si>
  <si>
    <t>TIPO DE PELIGROS</t>
  </si>
  <si>
    <t>FRECUENCIA</t>
  </si>
  <si>
    <t>INTENSIDAD</t>
  </si>
  <si>
    <t>MEDIDAS DE MITIGACIÓN DE RIESGO</t>
  </si>
  <si>
    <t>INUNDACIONES</t>
  </si>
  <si>
    <t>Bajo</t>
  </si>
  <si>
    <t>FUERTES VIENTOS</t>
  </si>
  <si>
    <t>&lt; a 5 años</t>
  </si>
  <si>
    <t>LLUVIAS INTENSAS</t>
  </si>
  <si>
    <t>DESLIZAMIENTOS</t>
  </si>
  <si>
    <t>SI</t>
  </si>
  <si>
    <t>Medio</t>
  </si>
  <si>
    <t>HELADAS</t>
  </si>
  <si>
    <t>SISMOS</t>
  </si>
  <si>
    <t>3.7</t>
  </si>
  <si>
    <t>MODALIDAD DE EJECUCIÓN Y FUENTE DE FINANCIAMIENTO</t>
  </si>
  <si>
    <t>A. MODALIDAD DE EJECUCIÓN DE OBRA</t>
  </si>
  <si>
    <t>B. FUENTE DE FINANCIAMIENTO</t>
  </si>
  <si>
    <t>3.8</t>
  </si>
  <si>
    <t>IMPACTO AMBIENTAL</t>
  </si>
  <si>
    <t>IMPACTOS NEGATIVOS</t>
  </si>
  <si>
    <t>MEDIDAS DE MITIGACIÓN</t>
  </si>
  <si>
    <t>COSTOS (S/)</t>
  </si>
  <si>
    <t>DESCRIPCIÓN</t>
  </si>
  <si>
    <t>MEDIOS DE VERIFICACIÓN</t>
  </si>
  <si>
    <t>Reporte de la Gerencia de Servicios  Ambientales</t>
  </si>
  <si>
    <t>La población y las autoridades participan activamente en los programas orientados al manejo adecuado de residuos sólidos.</t>
  </si>
  <si>
    <t>PROPÓSITO</t>
  </si>
  <si>
    <t>Las autoridades garantizan la continuidad de las medidas propuestas por el proyecto</t>
  </si>
  <si>
    <t>COMPONENTES / PRODUCTOS</t>
  </si>
  <si>
    <t>Informe de la oficina encargada del servicio de limpieza pública de la Municipalidad</t>
  </si>
  <si>
    <t>Población da un adecuado uso del servicio 
Trabajadores de limpieza cumplen eficientemente con su plan de trabajo
Cumplimiento de rutas y horarios de recolección establecidos
Asimilación de las rutas de recolección propuestas</t>
  </si>
  <si>
    <t>3.10.CONCLUSIONES Y RECOMENDACIONES</t>
  </si>
  <si>
    <t>ANEXOS</t>
  </si>
  <si>
    <t>Croquis/planos de ubicación del proyecto (el cual incluya ubicación de los beneficiarios, infraestructuras y rutas de trasporte al área de disposición final.)</t>
  </si>
  <si>
    <t>Estudio de selección de sitio</t>
  </si>
  <si>
    <t>CAUSAS DIRECTAS</t>
  </si>
  <si>
    <t>Adquisición e instalación de papeleras y contenedores superficiales</t>
  </si>
  <si>
    <t>Adquisición e instalación de papeleras y contenedores soterrados</t>
  </si>
  <si>
    <t>Adquisición e instalación de papeleras y contenedores superficiales y soterrados</t>
  </si>
  <si>
    <t>CAUSAS</t>
  </si>
  <si>
    <t>MEDIOS Y ACCIONES</t>
  </si>
  <si>
    <t>MEJORAMIENTO</t>
  </si>
  <si>
    <t xml:space="preserve">MEJORAMIENTO Y AMPLIACIÓN </t>
  </si>
  <si>
    <t>LOCALIDAD (URBANA)</t>
  </si>
  <si>
    <t>RECUPERACIÓN</t>
  </si>
  <si>
    <t>2.</t>
  </si>
  <si>
    <t>Otros</t>
  </si>
  <si>
    <t>3.</t>
  </si>
  <si>
    <t>DIAGNÓSTICO DEL SERVICIO LIMPIEZA PÚBLICA</t>
  </si>
  <si>
    <t>Avenidas</t>
  </si>
  <si>
    <t>Capacidad (m3)</t>
  </si>
  <si>
    <t>Cantidad (und)</t>
  </si>
  <si>
    <t>Capacidad Instalada (m3)</t>
  </si>
  <si>
    <t>Capacidad Instalada (ton)</t>
  </si>
  <si>
    <t>Tipo de vía y espacios públicos</t>
  </si>
  <si>
    <t>Longitud (m)</t>
  </si>
  <si>
    <t>Nº de aceras</t>
  </si>
  <si>
    <t>Características  de los vehículos de recolección y transporte (situación actual)</t>
  </si>
  <si>
    <t>Tipo vehículo</t>
  </si>
  <si>
    <t>Densidad residuos tipo vehículo (Ton/m3)</t>
  </si>
  <si>
    <t>% de efectividad por viaje</t>
  </si>
  <si>
    <t>Capacidad efectiva de recolección (Ton/viaje)</t>
  </si>
  <si>
    <t>N° de vehículos</t>
  </si>
  <si>
    <t>N° viajes por turno</t>
  </si>
  <si>
    <t>N° turnos por día</t>
  </si>
  <si>
    <t>N° días trabajados por semana</t>
  </si>
  <si>
    <t>Recolección promedio por vehículo (Ton/día)</t>
  </si>
  <si>
    <t>Camión Baranda</t>
  </si>
  <si>
    <t>Capacidad efectiva total de vehículos</t>
  </si>
  <si>
    <t xml:space="preserve">Residuos sólidos orgánicos que se aprovechan </t>
  </si>
  <si>
    <t xml:space="preserve">Residuos sólidos inorgánicos que se aprovechan </t>
  </si>
  <si>
    <t>Ton/día</t>
  </si>
  <si>
    <t>Und</t>
  </si>
  <si>
    <t>Capacidad (T/día)</t>
  </si>
  <si>
    <t>Antiguedad (años)</t>
  </si>
  <si>
    <t>Operativo
(SI/NO)</t>
  </si>
  <si>
    <t>Estado (Bueno /Regular /malo)</t>
  </si>
  <si>
    <t>Observación</t>
  </si>
  <si>
    <t>Capacidad Total (Ton/día)</t>
  </si>
  <si>
    <t>Faja transportadora</t>
  </si>
  <si>
    <t>Vehículo transporte manual (carritos)</t>
  </si>
  <si>
    <t>Grupo electrógeno</t>
  </si>
  <si>
    <t>Minicargador</t>
  </si>
  <si>
    <t>3.5 Disposición final</t>
  </si>
  <si>
    <t>Paneles solares</t>
  </si>
  <si>
    <t>Compactadora manual</t>
  </si>
  <si>
    <t>Camión volquete</t>
  </si>
  <si>
    <t>Tractor sobre orugas</t>
  </si>
  <si>
    <t>Excavadora</t>
  </si>
  <si>
    <t>Retroexcavadora</t>
  </si>
  <si>
    <t>Cargador frontal</t>
  </si>
  <si>
    <t>Pata de cabra</t>
  </si>
  <si>
    <t>3.6 Gestión</t>
  </si>
  <si>
    <t>Vehículo para la supervisión</t>
  </si>
  <si>
    <t>Equipo de rastreo satelital</t>
  </si>
  <si>
    <t>Software para seguimiento y control de las unidades vehiculares</t>
  </si>
  <si>
    <t>4.</t>
  </si>
  <si>
    <t>COSTOS ANUAL DE OPERACIÓN Y MANTENIMIENTO DEL SERVICIO DE LIMPIEZA PÚBLICA (SIN PROYECTO)</t>
  </si>
  <si>
    <t>Escobas para limpieza pública</t>
  </si>
  <si>
    <t>Escobas metálicas</t>
  </si>
  <si>
    <t>Rastrillos Metálicos</t>
  </si>
  <si>
    <t>Botiquín</t>
  </si>
  <si>
    <t>Termómetro industrial</t>
  </si>
  <si>
    <t>Botín de cuero con punta de acero</t>
  </si>
  <si>
    <t>Lentes con mica de policarbonato transparentes con regulador</t>
  </si>
  <si>
    <t>Material administrativo o para la gestión del servicio</t>
  </si>
  <si>
    <t>Póliza de seguros para vehículos</t>
  </si>
  <si>
    <t>SOAT para vehículo (camión compactador)</t>
  </si>
  <si>
    <t>Dotación de agua para el tanque elevado para el riego para minimizar las partículas suspendidas</t>
  </si>
  <si>
    <t>Petróleo para vehículo recolector</t>
  </si>
  <si>
    <t>Combustible para motobomba</t>
  </si>
  <si>
    <t>1.5.3</t>
  </si>
  <si>
    <t>Combustible maquinarias (Galones)</t>
  </si>
  <si>
    <t>Repuestos de motobomba (Set de Bridas, canastilla de succión y  filtros)</t>
  </si>
  <si>
    <t>Aceite semi sintético 10w 30 para bomba de lixiviados</t>
  </si>
  <si>
    <t>Lavado y Engrase de vehículo recolector</t>
  </si>
  <si>
    <t>Revisión técnica del vehículo recolector</t>
  </si>
  <si>
    <t>Vías locales</t>
  </si>
  <si>
    <t>BARRIDO
(tn/barrer/km )</t>
  </si>
  <si>
    <t>Residuos Domésticos (t/día)</t>
  </si>
  <si>
    <t>Demanda total (t/año)</t>
  </si>
  <si>
    <t>Año de Censo</t>
  </si>
  <si>
    <t>INFORMACIÓN POBLACIONAL</t>
  </si>
  <si>
    <t>INFORMACIÓN GENERAL</t>
  </si>
  <si>
    <t>Valor de la GPC (kg/hab/día)</t>
  </si>
  <si>
    <t>Valor de la GPC (kg/hab/día) - Formulación</t>
  </si>
  <si>
    <t>Comercios  (t/día)</t>
  </si>
  <si>
    <t>Restaurantes (t/día)</t>
  </si>
  <si>
    <t>Hoteles (t/día)</t>
  </si>
  <si>
    <t>Colegios  (t/día)</t>
  </si>
  <si>
    <t>Mercados (t/día)</t>
  </si>
  <si>
    <t>Población. Beneficiaria</t>
  </si>
  <si>
    <t>Toneladas de rr.ss /km</t>
  </si>
  <si>
    <t>ALMACENAMIENTO EN VÍAS URBANAS Y ESPACIOS PÚBLICOS</t>
  </si>
  <si>
    <t>BARRIDO DE VÍAS URBANAS Y ESPACIOS PÚBLICOS</t>
  </si>
  <si>
    <t>INFORMACIÓN DE LA GENERACIÓN DE RESIDUOS SÓLIDOS</t>
  </si>
  <si>
    <t>Cantidad de papeleras requeridas (50lt) en vías urbanas y espacios públicos</t>
  </si>
  <si>
    <t>Efectividad de almacenamiento</t>
  </si>
  <si>
    <t>Contenedores Superficiales</t>
  </si>
  <si>
    <t>Contenedores soterrados</t>
  </si>
  <si>
    <t>4.1 ALMACENAMIENTO</t>
  </si>
  <si>
    <t>Vías comerciales</t>
  </si>
  <si>
    <t>Vias expresas  o evitamiento</t>
  </si>
  <si>
    <t>4.2 BARRIDO</t>
  </si>
  <si>
    <t>Total (km lineales)</t>
  </si>
  <si>
    <t>TOTAL (Km lineal)</t>
  </si>
  <si>
    <t>Plazas</t>
  </si>
  <si>
    <t>Parques</t>
  </si>
  <si>
    <t>Plazuelas</t>
  </si>
  <si>
    <t>Alamedas</t>
  </si>
  <si>
    <t>Malecones</t>
  </si>
  <si>
    <t>Cantidad total de coches de barrido</t>
  </si>
  <si>
    <t>Cantidad total de barredora mecánica</t>
  </si>
  <si>
    <t>Trimovil</t>
  </si>
  <si>
    <t>Camión Volquete</t>
  </si>
  <si>
    <t xml:space="preserve">Camión Compactador </t>
  </si>
  <si>
    <t>Planta de valorizacion ORGÁNICA</t>
  </si>
  <si>
    <t>Planta de valorizacion INORGÁNICA</t>
  </si>
  <si>
    <t>ph metro</t>
  </si>
  <si>
    <t>Trituradora</t>
  </si>
  <si>
    <t>Comentarios</t>
  </si>
  <si>
    <t>4.3 RECOLECCIÓN</t>
  </si>
  <si>
    <t>4.4 VALORIZACIÓN</t>
  </si>
  <si>
    <t>Volteadora</t>
  </si>
  <si>
    <t>Mesa de trabajo para segregación</t>
  </si>
  <si>
    <t>Picadora</t>
  </si>
  <si>
    <t>Bueno</t>
  </si>
  <si>
    <t>Regular</t>
  </si>
  <si>
    <t>Malo</t>
  </si>
  <si>
    <t>EFECTOS DIRECTOS</t>
  </si>
  <si>
    <t xml:space="preserve">Administración Directa </t>
  </si>
  <si>
    <t xml:space="preserve">Administración Indirecta - Por Contrata </t>
  </si>
  <si>
    <t xml:space="preserve">Administración Indirecta - Asociación Pública Privada (APP) </t>
  </si>
  <si>
    <t xml:space="preserve">Administración Indirecta - Obras por Impuestos </t>
  </si>
  <si>
    <t xml:space="preserve">Administración Indirecta - Núcleo Ejecutor </t>
  </si>
  <si>
    <t xml:space="preserve">Administración Indirecta - Concurso Oferta </t>
  </si>
  <si>
    <t>COSTA</t>
  </si>
  <si>
    <t>SELVA</t>
  </si>
  <si>
    <t>DISPOSICIÓN FINAL</t>
  </si>
  <si>
    <t>Almacenamiento efectivo (%) en papeleras</t>
  </si>
  <si>
    <t>Almacenamiento efectivo (%) en contenedores</t>
  </si>
  <si>
    <t>Planta de aprovechamiento inorgánico (Infraestructura)</t>
  </si>
  <si>
    <t>CAPACIDAD TOTAL</t>
  </si>
  <si>
    <t>EFECTO INDIRECTO</t>
  </si>
  <si>
    <t>INVOLUCRADOS</t>
  </si>
  <si>
    <t>ÁMBITO DEL PARTICIPANTE (NACIONAL, REGIONAL. LOCAL, OTROS)</t>
  </si>
  <si>
    <t>POSICIÓN (COOPERANTE, BENEFICIARIO, OPONENTE, PERJUDICADO)</t>
  </si>
  <si>
    <t>COMPROMISOS</t>
  </si>
  <si>
    <t>TIPO DE POBLACIÓN</t>
  </si>
  <si>
    <t>FUENTE DE INFORMACIÓN</t>
  </si>
  <si>
    <t>MEDIO DE PRIMER NIVEL</t>
  </si>
  <si>
    <t>Adquisición e instalación de contenedores superficiales</t>
  </si>
  <si>
    <t>Adquisición e instalación de contenedores soterrados</t>
  </si>
  <si>
    <t>Adquisición e instalación de contenedores superficiales y soterrados</t>
  </si>
  <si>
    <t>FASE DE EJECUCIÓN</t>
  </si>
  <si>
    <t>CONVENIO ENTRE GOBIERNO LOCAL COMPETENTE CON GOB. NACIONAL O REGIONAL</t>
  </si>
  <si>
    <t>OTRO (ESPECIFICAR):</t>
  </si>
  <si>
    <t>HORIZONTE DE EVALUACIÓN:</t>
  </si>
  <si>
    <t>REQUERIMIENTOS TÉCNICOS PARA LA FORMULACIÓN</t>
  </si>
  <si>
    <t>Cantidad total de operarios de barrido</t>
  </si>
  <si>
    <t>PROYECCIÓN DE LA CANTIDAD DE RESIDUOS SÓLIDOS DOMICILIARIOS</t>
  </si>
  <si>
    <t>ALMACENAMIENTO (T/DIA)</t>
  </si>
  <si>
    <t>DEMANDA TOTAL</t>
  </si>
  <si>
    <t>BARRIDO (T/DIA)</t>
  </si>
  <si>
    <t xml:space="preserve"> T/DÍA</t>
  </si>
  <si>
    <t xml:space="preserve"> T/AÑO</t>
  </si>
  <si>
    <t>BARRIDO
(t/barrer/km )</t>
  </si>
  <si>
    <t>BALANCE OFERTA - DEMANDA</t>
  </si>
  <si>
    <t>(t/Año)</t>
  </si>
  <si>
    <t>DENSIDAD DE RESIDUOS SÓLIDOS EN EL RELLENO SANITARIO (t/m3)</t>
  </si>
  <si>
    <t>CATEGORÍA</t>
  </si>
  <si>
    <t>EQUIPOS</t>
  </si>
  <si>
    <t>HERRAMIENTAS</t>
  </si>
  <si>
    <t>EQUIPOS DE PROTECCIÓN PERSONAL</t>
  </si>
  <si>
    <t>Otros (especifique)</t>
  </si>
  <si>
    <t>MOBILIARIO</t>
  </si>
  <si>
    <t>FECHA PREVISTA DE INICIO DE EJECUCIÓN (MES/AÑO):</t>
  </si>
  <si>
    <t>MES:</t>
  </si>
  <si>
    <t>AÑO:</t>
  </si>
  <si>
    <t>PERIODO</t>
  </si>
  <si>
    <t>AÑO 20_____</t>
  </si>
  <si>
    <t>Requerimiento total Año 0</t>
  </si>
  <si>
    <t>Polo</t>
  </si>
  <si>
    <t>Zapatillas</t>
  </si>
  <si>
    <t>BARRIDO MANUAL</t>
  </si>
  <si>
    <t>Barredora mecánica grande</t>
  </si>
  <si>
    <t>Barredora mecánica mediana</t>
  </si>
  <si>
    <t>Barredora mecánica pequeña</t>
  </si>
  <si>
    <t>Locker de 12 casilleros</t>
  </si>
  <si>
    <t>Locker de 9 casilleros</t>
  </si>
  <si>
    <t>Locker de 4 casilleros</t>
  </si>
  <si>
    <t>PLANTEAMIENTO TECNICO</t>
  </si>
  <si>
    <t>MANUAL Y MECANIZADO</t>
  </si>
  <si>
    <t>DATOS PARA EL BARRIDO</t>
  </si>
  <si>
    <t>ii. Equipos</t>
  </si>
  <si>
    <t>Kit de herramientas barrido</t>
  </si>
  <si>
    <t>Kit EPPs seguridad barrido</t>
  </si>
  <si>
    <t>Personal Propuesto manual</t>
  </si>
  <si>
    <t>Personal existente manual</t>
  </si>
  <si>
    <t>Total barrenderos manual</t>
  </si>
  <si>
    <t>Personal barrido mecanizado</t>
  </si>
  <si>
    <t>PERSONAL TOTAL</t>
  </si>
  <si>
    <t>Punzon</t>
  </si>
  <si>
    <t>Rendimiento optimo para el barrido</t>
  </si>
  <si>
    <t>SUB TOTAL</t>
  </si>
  <si>
    <t>Camión Baranda 4 m3</t>
  </si>
  <si>
    <t>Camión Baranda 8 m3</t>
  </si>
  <si>
    <t>Vehículo tipo Triciclo</t>
  </si>
  <si>
    <t>Densidad residuos tipo vehículo (t/m3)</t>
  </si>
  <si>
    <t>Capacidad efectiva de recolección (t/viaje)</t>
  </si>
  <si>
    <t>Recolección promedio por vehículo (t/día)</t>
  </si>
  <si>
    <t>Vehículo Triciclo</t>
  </si>
  <si>
    <t>Capacidad del vehículo (m3)</t>
  </si>
  <si>
    <t>EPP's Choferes y supervisores</t>
  </si>
  <si>
    <t>EPP's Ayudantes</t>
  </si>
  <si>
    <t>Cantidad total</t>
  </si>
  <si>
    <t>Tipo vehículo - CONVENCIONAL</t>
  </si>
  <si>
    <t>Tipo vehículo - NO CONVENCIONAL</t>
  </si>
  <si>
    <t>CANTIDAD TOTAL DE RESIDUOS SÓLIDOS A RECOLECTAR (T/DÍA)</t>
  </si>
  <si>
    <t>CANTIDAD TOTAL DE RESIDUOS SÓLIDOS APROVECHABLES A RECOLECTAR (T/DÍA)</t>
  </si>
  <si>
    <t>Tipo vehículo . CONVENCIONAL</t>
  </si>
  <si>
    <t>Choferes vehículo compactador/baranda</t>
  </si>
  <si>
    <t>RESIDUOS SÓLIDOS INORGÁNICOS</t>
  </si>
  <si>
    <t>RESIDUOS SÓLIDOS ORGÁNICOS</t>
  </si>
  <si>
    <t>RELLENO SANITARIO MANUAL</t>
  </si>
  <si>
    <t>RELLENO SANITARIO SEMIMECANIZADO</t>
  </si>
  <si>
    <t>Item</t>
  </si>
  <si>
    <t>Und.</t>
  </si>
  <si>
    <t>Metrado</t>
  </si>
  <si>
    <t>Precio (S/.)</t>
  </si>
  <si>
    <t>Parcial (S/.)</t>
  </si>
  <si>
    <t>01</t>
  </si>
  <si>
    <t>01.01</t>
  </si>
  <si>
    <t xml:space="preserve">   ARQUITECTURA</t>
  </si>
  <si>
    <t>01.01.01</t>
  </si>
  <si>
    <t xml:space="preserve">      OBRAS PRELIMINARES</t>
  </si>
  <si>
    <t>01.01.01.01</t>
  </si>
  <si>
    <t xml:space="preserve">         LIMPIEZA DURANTE LA EJECUCIÓN DE OBRA</t>
  </si>
  <si>
    <t>mes</t>
  </si>
  <si>
    <t>01.01.02</t>
  </si>
  <si>
    <t xml:space="preserve">      MUROS Y TABIQUES DE ALBAÑILERIA</t>
  </si>
  <si>
    <t>01.01.02.01</t>
  </si>
  <si>
    <t xml:space="preserve">         MURO DE LADRILLO K.K. DE ARCILLA DE SOGA</t>
  </si>
  <si>
    <t>01.01.03</t>
  </si>
  <si>
    <t xml:space="preserve">      REVOQUES ENLUCIDOS Y MOLDURAS</t>
  </si>
  <si>
    <t>01.01.03.01</t>
  </si>
  <si>
    <t xml:space="preserve">         TARRAJEO EN MUROS INTERIORES Y EXTERIORES</t>
  </si>
  <si>
    <t>01.01.03.02</t>
  </si>
  <si>
    <t xml:space="preserve">         VESTIDURA DE DERRAMES (SOLAQUEADO)</t>
  </si>
  <si>
    <t>m</t>
  </si>
  <si>
    <t>01.01.04</t>
  </si>
  <si>
    <t xml:space="preserve">      PISOS</t>
  </si>
  <si>
    <t>01.01.04.01</t>
  </si>
  <si>
    <t xml:space="preserve">         PISOS DE CONCRETO DE 2" SIN COLOREAR ACABADO FROTACHADO, BRUÑADO</t>
  </si>
  <si>
    <t>01.01.04.02</t>
  </si>
  <si>
    <t xml:space="preserve">         PISO DE CONCRETO SIN COLOREAR ACABADO BRUÑADO 2" ESPESOR</t>
  </si>
  <si>
    <t>01.01.05</t>
  </si>
  <si>
    <t>01.01.05.01</t>
  </si>
  <si>
    <t>01.01.06</t>
  </si>
  <si>
    <t>01.01.06.01</t>
  </si>
  <si>
    <t>01.01.07</t>
  </si>
  <si>
    <t xml:space="preserve">      COBERTURA</t>
  </si>
  <si>
    <t>01.01.07.01</t>
  </si>
  <si>
    <t>01.01.07.02</t>
  </si>
  <si>
    <t>01.01.08</t>
  </si>
  <si>
    <t xml:space="preserve">      CARPINTERIA DE MADERA</t>
  </si>
  <si>
    <t>01.01.08.01</t>
  </si>
  <si>
    <t xml:space="preserve">         PUERTA DE MADERA APANELADA CON SOBRE LUZ BARNIZADO</t>
  </si>
  <si>
    <t>u</t>
  </si>
  <si>
    <t>01.01.08.02</t>
  </si>
  <si>
    <t xml:space="preserve">         PUERTA DE TRIPLAY CONTRAPLACADA CON SOBRE LUZ, BARNIZADO </t>
  </si>
  <si>
    <t>01.01.09</t>
  </si>
  <si>
    <t>01.01.09.01</t>
  </si>
  <si>
    <t xml:space="preserve">         PUERTA, BARRAS DE Fe 1/2" Y PLANCHA 2mm C/MARCO ANGULO 1 1/2"  PINTADO ANTICORROSIVO</t>
  </si>
  <si>
    <t>01.01.09.02</t>
  </si>
  <si>
    <t xml:space="preserve">         REJA DE BARRAS DE FIERRO 1/2" C/MARCO ANGULO 1 1/2" PINTADO ANTICORROSIVO</t>
  </si>
  <si>
    <t>01.01.10</t>
  </si>
  <si>
    <t>01.01.10.01</t>
  </si>
  <si>
    <t xml:space="preserve">         VENTANA CORREDIZAS DE VIDRIO 6mm C/MARCO DE ALUMINIO LIVIANO COLOR NATURAL</t>
  </si>
  <si>
    <t>01.01.11</t>
  </si>
  <si>
    <t>01.01.11.01</t>
  </si>
  <si>
    <t>01.01.11.02</t>
  </si>
  <si>
    <t xml:space="preserve">         CERROJO DE ALUMINIO</t>
  </si>
  <si>
    <t>01.01.11.03</t>
  </si>
  <si>
    <t xml:space="preserve">         CERRADURA DE OBREPONER 3 PINES DE ACERO</t>
  </si>
  <si>
    <t>01.01.11.04</t>
  </si>
  <si>
    <t xml:space="preserve">         BISAGRA CAPUCHINA DE 3 1/2" X 3 1/2"</t>
  </si>
  <si>
    <t>01.01.11.05</t>
  </si>
  <si>
    <t xml:space="preserve">         ESPEJO E=4mm C/MARCO DE MADERA</t>
  </si>
  <si>
    <t>01.01.12</t>
  </si>
  <si>
    <t xml:space="preserve">      PINTURA</t>
  </si>
  <si>
    <t>01.01.12.01</t>
  </si>
  <si>
    <t xml:space="preserve">         PINTURA CON ESMALTE MATE EN MUROS (2 MANOS)</t>
  </si>
  <si>
    <t>01.01.13</t>
  </si>
  <si>
    <t xml:space="preserve">      APARATOS Y ACCESORIOS SANITARIOS</t>
  </si>
  <si>
    <t>01.01.13.01</t>
  </si>
  <si>
    <t>01.01.13.02</t>
  </si>
  <si>
    <t xml:space="preserve">         LAVATORIO MANANTIAL NACIONAL DE COLOR BLANCO</t>
  </si>
  <si>
    <t>01.01.13.03</t>
  </si>
  <si>
    <t xml:space="preserve">         SALIDA PARA DUCHA</t>
  </si>
  <si>
    <t>01.01.14</t>
  </si>
  <si>
    <t>01.01.14.01</t>
  </si>
  <si>
    <t>01.01.14.02</t>
  </si>
  <si>
    <t>01.01.14.03</t>
  </si>
  <si>
    <t xml:space="preserve">         COLOCACION DE APARATOS SANITARIOS</t>
  </si>
  <si>
    <t>01.02</t>
  </si>
  <si>
    <t xml:space="preserve">   ESTRUCTURAS</t>
  </si>
  <si>
    <t>01.02.01</t>
  </si>
  <si>
    <t xml:space="preserve">      TRABAJOS PRELIMINARES</t>
  </si>
  <si>
    <t>01.02.01.01</t>
  </si>
  <si>
    <t>01.02.01.02</t>
  </si>
  <si>
    <t xml:space="preserve">         LIMPIEZA DE TERRENO MANUAL</t>
  </si>
  <si>
    <t>01.02.02</t>
  </si>
  <si>
    <t xml:space="preserve">      MOVIMIENTO DE TIERRAS</t>
  </si>
  <si>
    <t>01.02.02.01</t>
  </si>
  <si>
    <t xml:space="preserve">         EXCAVACIONES</t>
  </si>
  <si>
    <t>01.02.02.01.01</t>
  </si>
  <si>
    <t>m3</t>
  </si>
  <si>
    <t>01.02.02.01.02</t>
  </si>
  <si>
    <t>01.02.02.01.03</t>
  </si>
  <si>
    <t xml:space="preserve">            CORTE DE TERRENO CON EQUIPO</t>
  </si>
  <si>
    <t>01.02.02.02</t>
  </si>
  <si>
    <t xml:space="preserve">         RELLENO CON MATERIAL PROPIO</t>
  </si>
  <si>
    <t>01.02.02.02.01</t>
  </si>
  <si>
    <t xml:space="preserve">            RELLENO</t>
  </si>
  <si>
    <t>01.02.02.03</t>
  </si>
  <si>
    <t xml:space="preserve">         ACARREO Y ELIMINACION DE MATERIAL EXCEDENTE</t>
  </si>
  <si>
    <t>01.02.02.03.01</t>
  </si>
  <si>
    <t xml:space="preserve">            ACARREO  INTERNO DE MATERIAL DE EXCAVACIONES</t>
  </si>
  <si>
    <t>01.02.02.03.02</t>
  </si>
  <si>
    <t>01.02.03</t>
  </si>
  <si>
    <t xml:space="preserve">      CONCRETO SIMPLE</t>
  </si>
  <si>
    <t>01.02.03.01</t>
  </si>
  <si>
    <t xml:space="preserve">         CIMIENTOS CORRIDOS 1:10 + 30% PG</t>
  </si>
  <si>
    <t>01.02.03.02</t>
  </si>
  <si>
    <t xml:space="preserve">         CONCRETO DE SOBRECIMIENTO</t>
  </si>
  <si>
    <t>01.02.03.03</t>
  </si>
  <si>
    <t xml:space="preserve">         ENCOFRADO Y DESENCOFRADO NORMAL PARA SOBRECIMIENTOS</t>
  </si>
  <si>
    <t>01.02.03.04</t>
  </si>
  <si>
    <t xml:space="preserve">         CONCRETO f'c=175 kg/cm2 EN VEREDAS Y RAMPA</t>
  </si>
  <si>
    <t>01.02.03.05</t>
  </si>
  <si>
    <t xml:space="preserve">         ENCOFRADO Y DESENCOFRADO EN VEREDA Y RAMPA</t>
  </si>
  <si>
    <t>01.02.03.06</t>
  </si>
  <si>
    <t>01.02.03.07</t>
  </si>
  <si>
    <t xml:space="preserve">         FALSO PISO CONCRETO fc=140 kg/cm2 E=10 CM.</t>
  </si>
  <si>
    <t>01.02.03.08</t>
  </si>
  <si>
    <t>01.02.03.09</t>
  </si>
  <si>
    <t>01.02.04</t>
  </si>
  <si>
    <t xml:space="preserve">      CONCRETO ARMADO</t>
  </si>
  <si>
    <t>01.02.04.01</t>
  </si>
  <si>
    <t xml:space="preserve">         COLUMNAS Y VIGAS</t>
  </si>
  <si>
    <t>01.02.04.01.01</t>
  </si>
  <si>
    <t xml:space="preserve">            ENCOFRADO Y DESENCOFRADO NORMAL EN COLUMNAS</t>
  </si>
  <si>
    <t>01.02.04.01.02</t>
  </si>
  <si>
    <t xml:space="preserve">            ENCOFRADO Y DESENCOFRADO NORMAL EN ESTRUCTURA SUBTERRANEA</t>
  </si>
  <si>
    <t>01.02.04.01.03</t>
  </si>
  <si>
    <t xml:space="preserve">            ACERO fy=4200 kg/cm2</t>
  </si>
  <si>
    <t>kg</t>
  </si>
  <si>
    <t>01.02.04.01.04</t>
  </si>
  <si>
    <t xml:space="preserve">            TARRAJEO CON IMPERMEABILIZANTES</t>
  </si>
  <si>
    <t>01.02.04.01.05</t>
  </si>
  <si>
    <t xml:space="preserve">            CONCRETO f'c=210 kg/cm2 PARA COLUMNAS</t>
  </si>
  <si>
    <t>01.02.05</t>
  </si>
  <si>
    <t xml:space="preserve">      VIGAS DE FIERRO</t>
  </si>
  <si>
    <t>01.02.05.01</t>
  </si>
  <si>
    <t xml:space="preserve">         VIGAS DE FIERRO</t>
  </si>
  <si>
    <t>01.03</t>
  </si>
  <si>
    <t xml:space="preserve">   INSTALACIONES SANITARIAS</t>
  </si>
  <si>
    <t>01.03.01</t>
  </si>
  <si>
    <t xml:space="preserve">      DESAGUE Y VENTILACION</t>
  </si>
  <si>
    <t>01.03.01.01</t>
  </si>
  <si>
    <t xml:space="preserve">         SALIDAS DE DESAGUE</t>
  </si>
  <si>
    <t>01.03.01.01.01</t>
  </si>
  <si>
    <t xml:space="preserve">            SALIDA DE DESAGUE EN PVC 2"</t>
  </si>
  <si>
    <t>pto</t>
  </si>
  <si>
    <t>01.03.01.01.02</t>
  </si>
  <si>
    <t xml:space="preserve">            SALIDA DE DESAGUE EN PVC 4"</t>
  </si>
  <si>
    <t>01.03.01.01.03</t>
  </si>
  <si>
    <t>01.03.01.02</t>
  </si>
  <si>
    <t>01.03.01.02.01</t>
  </si>
  <si>
    <t>01.03.01.02.02</t>
  </si>
  <si>
    <t>01.03.01.03</t>
  </si>
  <si>
    <t xml:space="preserve">         ADITAMENTOS VARIOS</t>
  </si>
  <si>
    <t>01.03.01.03.01</t>
  </si>
  <si>
    <t>pza</t>
  </si>
  <si>
    <t>01.03.01.03.02</t>
  </si>
  <si>
    <t>01.03.01.03.03</t>
  </si>
  <si>
    <t>01.03.01.04</t>
  </si>
  <si>
    <t xml:space="preserve">         ACCESORIOS DE REDES DE DESAGUE</t>
  </si>
  <si>
    <t>01.03.01.04.01</t>
  </si>
  <si>
    <t xml:space="preserve">            CODO PVC-SAP 2" X 90" DESAGUE</t>
  </si>
  <si>
    <t>01.03.01.04.02</t>
  </si>
  <si>
    <t xml:space="preserve">            CODO PVC-SAP 4" X 90" DESAGUE</t>
  </si>
  <si>
    <t>01.03.01.04.03</t>
  </si>
  <si>
    <t xml:space="preserve">            CODO PVC-SAP 4" X 45" DESAGUE</t>
  </si>
  <si>
    <t>01.03.01.04.04</t>
  </si>
  <si>
    <t xml:space="preserve">            YEE 2" DESAGUE</t>
  </si>
  <si>
    <t>01.03.01.04.05</t>
  </si>
  <si>
    <t xml:space="preserve">            YEE 4" DESAGUE</t>
  </si>
  <si>
    <t>01.03.01.04.06</t>
  </si>
  <si>
    <t xml:space="preserve">            TEE 4" DESAGUE</t>
  </si>
  <si>
    <t>01.03.01.04.07</t>
  </si>
  <si>
    <t xml:space="preserve">            TRAMPA 2" DESAGUE</t>
  </si>
  <si>
    <t>01.03.02</t>
  </si>
  <si>
    <t>01.03.02.01</t>
  </si>
  <si>
    <t>01.03.02.01.01</t>
  </si>
  <si>
    <t>01.03.02.02</t>
  </si>
  <si>
    <t>01.03.02.02.01</t>
  </si>
  <si>
    <t xml:space="preserve">            RED DE DISTRIBUCION TUBERIA PVC-SAP C/R DIAMETRO 1/2" </t>
  </si>
  <si>
    <t>01.03.02.02.02</t>
  </si>
  <si>
    <t xml:space="preserve">            RED DE DISTRIBUCION TUBERIA PVC-SAP C/R DIAMETRO 3/4" </t>
  </si>
  <si>
    <t>01.03.02.03</t>
  </si>
  <si>
    <t>01.03.02.03.01</t>
  </si>
  <si>
    <t xml:space="preserve">            CODO PVC SAP 1/2" S/P</t>
  </si>
  <si>
    <t>01.03.02.03.02</t>
  </si>
  <si>
    <t xml:space="preserve">            CODO PVC SAP 3/4" S/P</t>
  </si>
  <si>
    <t>01.03.02.03.03</t>
  </si>
  <si>
    <t xml:space="preserve">            TEE PVC-SAP 1/2" S/P</t>
  </si>
  <si>
    <t>01.03.02.03.04</t>
  </si>
  <si>
    <t xml:space="preserve">            LLAVES DE PASO  1/2" PESADA</t>
  </si>
  <si>
    <t>01.03.02.04</t>
  </si>
  <si>
    <t>01.03.02.04.01</t>
  </si>
  <si>
    <t>01.03.02.04.02</t>
  </si>
  <si>
    <t>01.03.02.05</t>
  </si>
  <si>
    <t>01.03.02.05.01</t>
  </si>
  <si>
    <t>01.03.02.06</t>
  </si>
  <si>
    <t xml:space="preserve">         DRENAJE DE AGUA PLUVIAL</t>
  </si>
  <si>
    <t>01.03.02.06.01</t>
  </si>
  <si>
    <t xml:space="preserve">            CANALETA FE GALVANIZADA 4"</t>
  </si>
  <si>
    <t>01.03.02.06.02</t>
  </si>
  <si>
    <t>01.03.02.06.03</t>
  </si>
  <si>
    <t xml:space="preserve">            GANCHOS DE FE PARA CANALETA 4"</t>
  </si>
  <si>
    <t>01.03.03</t>
  </si>
  <si>
    <t xml:space="preserve">      EQUIPAMIENTO</t>
  </si>
  <si>
    <t>01.03.03.01</t>
  </si>
  <si>
    <t>01.03.03.03</t>
  </si>
  <si>
    <t>01.03.03.04</t>
  </si>
  <si>
    <t>01.04</t>
  </si>
  <si>
    <t>01.04.01</t>
  </si>
  <si>
    <t>01.04.01.01</t>
  </si>
  <si>
    <t xml:space="preserve">         SALIDA PARA CENTROS DE LUZ EN TECHO</t>
  </si>
  <si>
    <t>01.04.01.02</t>
  </si>
  <si>
    <t xml:space="preserve">         SALIDA PARA TOMACORRIENTE SIMPLE CON PVC C/TOMA A TIERRA</t>
  </si>
  <si>
    <t>01.04.01.03</t>
  </si>
  <si>
    <t xml:space="preserve">         SALIDA DE FUERZA</t>
  </si>
  <si>
    <t>01.04.02</t>
  </si>
  <si>
    <t xml:space="preserve">      INTERRUPTORES</t>
  </si>
  <si>
    <t>01.04.02.01</t>
  </si>
  <si>
    <t xml:space="preserve">         INTERRUPTOR UNIPOLAR SIMPLE</t>
  </si>
  <si>
    <t>01.04.03</t>
  </si>
  <si>
    <t xml:space="preserve">      CAJAS DE PASE</t>
  </si>
  <si>
    <t>01.04.03.01</t>
  </si>
  <si>
    <t xml:space="preserve">         CAJA DE PASE 150X150X120mm</t>
  </si>
  <si>
    <t>01.04.04</t>
  </si>
  <si>
    <t xml:space="preserve">      TABLEROS Y CUCHILLAS</t>
  </si>
  <si>
    <t>01.04.04.01</t>
  </si>
  <si>
    <t>01.04.04.02</t>
  </si>
  <si>
    <t>01.04.04.03</t>
  </si>
  <si>
    <t xml:space="preserve">         INTERRUPTOR DIFERENCIAL 2 x 25A</t>
  </si>
  <si>
    <t>01.04.04.04</t>
  </si>
  <si>
    <t>01.04.04.05</t>
  </si>
  <si>
    <t>01.04.04.06</t>
  </si>
  <si>
    <t>01.04.04.07</t>
  </si>
  <si>
    <t>01.04.05</t>
  </si>
  <si>
    <t>01.04.05.01</t>
  </si>
  <si>
    <t>01.04.06</t>
  </si>
  <si>
    <t xml:space="preserve">      CONDUCTORES Y/O CABLES</t>
  </si>
  <si>
    <t>01.04.06.01</t>
  </si>
  <si>
    <t xml:space="preserve">         CABLE 2-1X2.5mm2 NXH-90+10mm2 Cu(T)</t>
  </si>
  <si>
    <t>01.04.06.02</t>
  </si>
  <si>
    <t xml:space="preserve">         CABLE 2-1X4mm2 NXH-90+6mm2 Cu(T)</t>
  </si>
  <si>
    <t>01.04.07</t>
  </si>
  <si>
    <t xml:space="preserve">      ARTEFACTOS DE ALUMBRADO</t>
  </si>
  <si>
    <t>01.04.07.01</t>
  </si>
  <si>
    <t xml:space="preserve">          LUMINARIA AHORRADORA 12 V</t>
  </si>
  <si>
    <t>01.04.08</t>
  </si>
  <si>
    <t xml:space="preserve">      OTROS</t>
  </si>
  <si>
    <t>01.04.08.01</t>
  </si>
  <si>
    <t xml:space="preserve">         POZO A TIERRA EN SISTEMA</t>
  </si>
  <si>
    <t>01.04.08.02</t>
  </si>
  <si>
    <t>02.01</t>
  </si>
  <si>
    <t>02.01.01</t>
  </si>
  <si>
    <t>02.01.01.01</t>
  </si>
  <si>
    <t>km</t>
  </si>
  <si>
    <t>02.01.02</t>
  </si>
  <si>
    <t>02.01.02.01</t>
  </si>
  <si>
    <t xml:space="preserve">         CORTE DE MATERIAL SUELTO</t>
  </si>
  <si>
    <t>02.01.02.02</t>
  </si>
  <si>
    <t>02.01.02.03</t>
  </si>
  <si>
    <t>02.01.03</t>
  </si>
  <si>
    <t xml:space="preserve">      PAVIMENTO</t>
  </si>
  <si>
    <t>02.01.03.01</t>
  </si>
  <si>
    <t xml:space="preserve">         LASTRADO E= 0.20m</t>
  </si>
  <si>
    <t>02.01.03.02</t>
  </si>
  <si>
    <t>03</t>
  </si>
  <si>
    <t>CONSTRUCCIONES EN RELLENO SANITARIO</t>
  </si>
  <si>
    <t>03.01</t>
  </si>
  <si>
    <t>03.01.01</t>
  </si>
  <si>
    <t xml:space="preserve">      EXPLANACIONES</t>
  </si>
  <si>
    <t>03.01.01.01</t>
  </si>
  <si>
    <t xml:space="preserve">         TRAZO Y REPLANTEO</t>
  </si>
  <si>
    <t>03.01.01.02</t>
  </si>
  <si>
    <t>ha</t>
  </si>
  <si>
    <t>03.02</t>
  </si>
  <si>
    <t>03.02.01</t>
  </si>
  <si>
    <t>03.02.01.01</t>
  </si>
  <si>
    <t>03.02.01.02</t>
  </si>
  <si>
    <t>03.02.01.03</t>
  </si>
  <si>
    <t>03.02.01.04</t>
  </si>
  <si>
    <t xml:space="preserve">         TRANSPORTE DE MATERIAL DE SOPORTE C/VOLQ. 10 M3 D=5 KM</t>
  </si>
  <si>
    <t>03.02.01.05</t>
  </si>
  <si>
    <t>03.02.01.06</t>
  </si>
  <si>
    <t>03.02.01.07</t>
  </si>
  <si>
    <t xml:space="preserve">         RELLENO CON MATERIAL PROPIO EN DADO DE ANCLAJE DE GEOMEMBRANA</t>
  </si>
  <si>
    <t>03.02.02</t>
  </si>
  <si>
    <t xml:space="preserve">      DRENES INTERIORES DE LIXIVIADOS</t>
  </si>
  <si>
    <t>03.02.02.01</t>
  </si>
  <si>
    <t>03.02.02.02</t>
  </si>
  <si>
    <t>03.02.02.03</t>
  </si>
  <si>
    <t xml:space="preserve">         EMPEDRADO DE DRENES</t>
  </si>
  <si>
    <t>03.02.02.04</t>
  </si>
  <si>
    <t>03.02.02.05</t>
  </si>
  <si>
    <t>03.02.02.06</t>
  </si>
  <si>
    <t>03.03</t>
  </si>
  <si>
    <t>03.03.01</t>
  </si>
  <si>
    <t>03.03.01.01</t>
  </si>
  <si>
    <t>03.03.02</t>
  </si>
  <si>
    <t>03.03.02.01</t>
  </si>
  <si>
    <t>03.03.02.02</t>
  </si>
  <si>
    <t>03.03.02.03</t>
  </si>
  <si>
    <t>03.03.03</t>
  </si>
  <si>
    <t xml:space="preserve">      IMPERMEABILIZACIONES</t>
  </si>
  <si>
    <t>03.03.03.01</t>
  </si>
  <si>
    <t xml:space="preserve">         SUMINISTRO Y COLOCACION DE GEOMEMBRANAS E=1mm</t>
  </si>
  <si>
    <t>03.03.03.02</t>
  </si>
  <si>
    <t>03.03.04</t>
  </si>
  <si>
    <t>03.03.04.01</t>
  </si>
  <si>
    <t xml:space="preserve">         CONCRETO f'c=140 kg/cm2 + 30% PIEDRA MEDIANA</t>
  </si>
  <si>
    <t>03.03.05</t>
  </si>
  <si>
    <t xml:space="preserve">      ESTRUCTURA DE MADERA</t>
  </si>
  <si>
    <t>03.03.05.01</t>
  </si>
  <si>
    <t xml:space="preserve">         COLUMNAS DE MADERA D=6"</t>
  </si>
  <si>
    <t>03.03.05.02</t>
  </si>
  <si>
    <t xml:space="preserve">         VIGA TEMPLADOR DE MADERA D=3"</t>
  </si>
  <si>
    <t>03.03.05.03</t>
  </si>
  <si>
    <t xml:space="preserve">         TIJERAL DE MADERA T-1</t>
  </si>
  <si>
    <t>03.03.05.04</t>
  </si>
  <si>
    <t xml:space="preserve">         COBERTURA CON CALAMINA GALVANIZADA</t>
  </si>
  <si>
    <t>03.04</t>
  </si>
  <si>
    <t>03.04.01</t>
  </si>
  <si>
    <t>03.04.01.01</t>
  </si>
  <si>
    <t>03.04.02</t>
  </si>
  <si>
    <t>03.04.02.01</t>
  </si>
  <si>
    <t>03.04.02.02</t>
  </si>
  <si>
    <t>03.04.02.03</t>
  </si>
  <si>
    <t xml:space="preserve">         EMPEDRADO DE CANALES</t>
  </si>
  <si>
    <t>03.05</t>
  </si>
  <si>
    <t>03.05.01</t>
  </si>
  <si>
    <t>03.05.01.01</t>
  </si>
  <si>
    <t>03.05.02</t>
  </si>
  <si>
    <t>03.05.02.01</t>
  </si>
  <si>
    <t>03.05.03</t>
  </si>
  <si>
    <t>03.05.03.01</t>
  </si>
  <si>
    <t>03.05.04</t>
  </si>
  <si>
    <t>03.05.04.01</t>
  </si>
  <si>
    <t xml:space="preserve">         CERCO CON PALOS NATIVOS DE LA ZONA Y ALAMBRE DE PUAS</t>
  </si>
  <si>
    <t>03.05.04.02</t>
  </si>
  <si>
    <t>03.05.05</t>
  </si>
  <si>
    <t xml:space="preserve">      CERCOS VIVOS</t>
  </si>
  <si>
    <t>03.05.05.01</t>
  </si>
  <si>
    <t>03.06</t>
  </si>
  <si>
    <t>03.06.01</t>
  </si>
  <si>
    <t>03.06.01.01</t>
  </si>
  <si>
    <t>03.06.01.02</t>
  </si>
  <si>
    <t xml:space="preserve">         RELLENO COMPACTADO  A MANO</t>
  </si>
  <si>
    <t>03.06.01.03</t>
  </si>
  <si>
    <t xml:space="preserve">         FILTRO SELECCIONADO PARA DREN</t>
  </si>
  <si>
    <t>03.06.02</t>
  </si>
  <si>
    <t>03.06.02.01</t>
  </si>
  <si>
    <t xml:space="preserve">         CONCRETO f'c=210 Kg/cm2</t>
  </si>
  <si>
    <t>03.06.03</t>
  </si>
  <si>
    <t>03.06.03.01</t>
  </si>
  <si>
    <t>03.07</t>
  </si>
  <si>
    <t>03.07.01</t>
  </si>
  <si>
    <t>03.07.01.01</t>
  </si>
  <si>
    <t>03.07.02</t>
  </si>
  <si>
    <t xml:space="preserve">      CHIMENEA</t>
  </si>
  <si>
    <t>03.07.02.01</t>
  </si>
  <si>
    <t xml:space="preserve">         CHIMENEA DE 0.40 X 0.40</t>
  </si>
  <si>
    <t>03.08</t>
  </si>
  <si>
    <t>03.08.01</t>
  </si>
  <si>
    <t xml:space="preserve">      CLAUSURA DE SILOS Y RELLENOS SANITARIOS</t>
  </si>
  <si>
    <t>03.08.02</t>
  </si>
  <si>
    <t xml:space="preserve">      REFORESTACIÓN CON ESPECIES NATIVAS, E IMPLEMENTACIÓN DE CORTINA VEGETAL</t>
  </si>
  <si>
    <t>03.08.03</t>
  </si>
  <si>
    <t>OBRAS PROVISIONALES Y FLETE</t>
  </si>
  <si>
    <t>04.01</t>
  </si>
  <si>
    <t>04.02</t>
  </si>
  <si>
    <t>04.03</t>
  </si>
  <si>
    <t>04.04</t>
  </si>
  <si>
    <t xml:space="preserve">   TRANSPORTE DE MATERIALES Y EQUIPOS MENORES</t>
  </si>
  <si>
    <t>04.05</t>
  </si>
  <si>
    <t>COSTO PARCIAL TOTAL</t>
  </si>
  <si>
    <t>GASTOS GENERALES</t>
  </si>
  <si>
    <t>UTILIDAD</t>
  </si>
  <si>
    <t>IGV</t>
  </si>
  <si>
    <t xml:space="preserve">COSTOS DIRECTOS </t>
  </si>
  <si>
    <t>COSTO DIRECTO ( CD )</t>
  </si>
  <si>
    <t>GASTOS GENERALES ( 10% CD )</t>
  </si>
  <si>
    <t>UTILIDAD ( 10% CD )</t>
  </si>
  <si>
    <t>TOTAL COSTO DE OBRA</t>
  </si>
  <si>
    <t xml:space="preserve">   PLANTA DE COMPOSTAJE</t>
  </si>
  <si>
    <t xml:space="preserve">      TRABAJOS PRELIMINARES </t>
  </si>
  <si>
    <t xml:space="preserve">         LIMPIEZA DE TERRENO MANUAL </t>
  </si>
  <si>
    <t>01.01.01.02</t>
  </si>
  <si>
    <t xml:space="preserve">      MOVIMIENTO DE TIERRAS </t>
  </si>
  <si>
    <t>01.01.02.02</t>
  </si>
  <si>
    <t>01.01.02.03</t>
  </si>
  <si>
    <t>01.01.02.04</t>
  </si>
  <si>
    <t xml:space="preserve">         RELLENO MASIVO CON MATERIAL PROPIO SELECCIONADO</t>
  </si>
  <si>
    <t>01.01.02.05</t>
  </si>
  <si>
    <t xml:space="preserve">      BASE GRANULAR </t>
  </si>
  <si>
    <t xml:space="preserve">         BASE GRANULAR E=0.10 M</t>
  </si>
  <si>
    <t xml:space="preserve">      OBRAS DE CONCRETO SIMPLE</t>
  </si>
  <si>
    <t xml:space="preserve">         CONCRETO C:H 1:10 PARA SOLADOS E=2"</t>
  </si>
  <si>
    <t xml:space="preserve">      OBRAS DE CONCRETO ARMADO</t>
  </si>
  <si>
    <t xml:space="preserve">         CONCRETO EN ZAPATAS</t>
  </si>
  <si>
    <t>01.01.05.02</t>
  </si>
  <si>
    <t xml:space="preserve">         ACERO PARA ZAPATAS Fy=4200KG/CM2 GRADO 60</t>
  </si>
  <si>
    <t>01.01.05.03</t>
  </si>
  <si>
    <t xml:space="preserve">         CONCRETO EN COLUMNAS F'C=210 KG/CM2</t>
  </si>
  <si>
    <t>01.01.05.04</t>
  </si>
  <si>
    <t xml:space="preserve">         ACERO Fy=4200 kg/cm2 GRADO 60 EN COLUMNAS</t>
  </si>
  <si>
    <t>01.01.05.05</t>
  </si>
  <si>
    <t xml:space="preserve">         ENCOFRADO Y DESENCOFRADO PARA COLUMNAS</t>
  </si>
  <si>
    <t xml:space="preserve">         AFIRMADO DE E=0.20 CON MATERIAL DE CANTERA </t>
  </si>
  <si>
    <t xml:space="preserve">         MURO DE LADRILLO KK, APAREJO SOGA MEZC C:A  1:4</t>
  </si>
  <si>
    <t>01.01.06.02</t>
  </si>
  <si>
    <t xml:space="preserve">         ENCOFRADO Y DESENCOFRADO EN PAVIMENTO RIGIDO E= 0.15 M</t>
  </si>
  <si>
    <t xml:space="preserve">      REVOQUES Y ENLUCIDOS</t>
  </si>
  <si>
    <t>01.01.06.03</t>
  </si>
  <si>
    <t xml:space="preserve">         TARRAJEO EN MUROS INTERIORES MEZC. C:A 1:5 E=0.015 M</t>
  </si>
  <si>
    <t>01.01.06.04</t>
  </si>
  <si>
    <t xml:space="preserve">         TARRAJEO DE COLUMNAS CON MEZC.  C:A 1:5 E=0.015 M</t>
  </si>
  <si>
    <t xml:space="preserve">      CANALETA PARA CONTROL DE ESCURRIMIENTO </t>
  </si>
  <si>
    <t xml:space="preserve">         TRABAJOS PRELIMINARES </t>
  </si>
  <si>
    <t>01.01.07.01.01</t>
  </si>
  <si>
    <t xml:space="preserve">         MOVIMIENTO DE TIERRAS </t>
  </si>
  <si>
    <t>01.01.08.03</t>
  </si>
  <si>
    <t>01.01.07.02.01</t>
  </si>
  <si>
    <t>01.01.08.04</t>
  </si>
  <si>
    <t>01.01.07.02.02</t>
  </si>
  <si>
    <t>01.01.07.02.03</t>
  </si>
  <si>
    <t xml:space="preserve">         OBRA DE CONCRETO ARMADO</t>
  </si>
  <si>
    <t>01.01.09.01.01</t>
  </si>
  <si>
    <t xml:space="preserve">            CONCRETO F'C=210 KG/CM2 EN CANALETAS</t>
  </si>
  <si>
    <t xml:space="preserve">            ENCOFRADO Y DESENCOFRADO EN CANALETAS</t>
  </si>
  <si>
    <t>01.01.09.02.01</t>
  </si>
  <si>
    <t xml:space="preserve">         REVOQUES Y ENLUCIDOS</t>
  </si>
  <si>
    <t>01.01.09.02.02</t>
  </si>
  <si>
    <t>01.01.09.04</t>
  </si>
  <si>
    <t xml:space="preserve">         VARIOS</t>
  </si>
  <si>
    <t>01.01.09.02.03</t>
  </si>
  <si>
    <t xml:space="preserve">      CUBIERTA </t>
  </si>
  <si>
    <t xml:space="preserve">         CUBIERTA CON FIBRAFORTE OPACA 12 ONDA 100 (3.05 Mx1.10 M)</t>
  </si>
  <si>
    <t>01.01.10.02</t>
  </si>
  <si>
    <t xml:space="preserve">         CUMBRERAS PARA FIBRAFORTE OPACA 12 ONDA 100 (3.05x1.10) </t>
  </si>
  <si>
    <t>01.01.10.03</t>
  </si>
  <si>
    <t>01.01.10.04</t>
  </si>
  <si>
    <t xml:space="preserve">      PINTURA </t>
  </si>
  <si>
    <t>01.01.12.02</t>
  </si>
  <si>
    <t xml:space="preserve">         TRABAJOS PRELIMINARES</t>
  </si>
  <si>
    <t>01.01.13.01.01</t>
  </si>
  <si>
    <t xml:space="preserve">            LIMPIEZA DE TERRENO MANUAL </t>
  </si>
  <si>
    <t>01.01.13.01.02</t>
  </si>
  <si>
    <t xml:space="preserve">         MOVIMIENTO DE TIERRAS</t>
  </si>
  <si>
    <t>01.01.13.02.01</t>
  </si>
  <si>
    <t>01.01.15</t>
  </si>
  <si>
    <t>01.01.13.02.02</t>
  </si>
  <si>
    <t>01.01.15.01</t>
  </si>
  <si>
    <t>01.01.13.02.03</t>
  </si>
  <si>
    <t xml:space="preserve">            RELLENO CON MATERIAL SELECCIONADO </t>
  </si>
  <si>
    <t>01.01.15.01.01</t>
  </si>
  <si>
    <t>01.01.13.02.04</t>
  </si>
  <si>
    <t>01.01.15.01.02</t>
  </si>
  <si>
    <t>01.01.15.02</t>
  </si>
  <si>
    <t>01.01.13.03.01</t>
  </si>
  <si>
    <t>01.01.15.02.01</t>
  </si>
  <si>
    <t>01.01.13.04</t>
  </si>
  <si>
    <t>01.01.15.02.02</t>
  </si>
  <si>
    <t>01.01.13.04.01</t>
  </si>
  <si>
    <t>01.01.15.02.03</t>
  </si>
  <si>
    <t xml:space="preserve">      POZA DE LIXIVIADOS</t>
  </si>
  <si>
    <t>01.01.15.02.04</t>
  </si>
  <si>
    <t>01.01.15.03</t>
  </si>
  <si>
    <t>01.01.14.01.01</t>
  </si>
  <si>
    <t>01.01.15.03.01</t>
  </si>
  <si>
    <t>01.01.14.01.02</t>
  </si>
  <si>
    <t>01.01.15.04</t>
  </si>
  <si>
    <t>01.01.15.04.01</t>
  </si>
  <si>
    <t>01.01.14.02.01</t>
  </si>
  <si>
    <t>01.01.16</t>
  </si>
  <si>
    <t>01.01.14.02.02</t>
  </si>
  <si>
    <t>01.01.16.01</t>
  </si>
  <si>
    <t>01.01.14.02.03</t>
  </si>
  <si>
    <t>01.01.16.01.01</t>
  </si>
  <si>
    <t xml:space="preserve">         OBRAS DE CONCRETO SIMPLE</t>
  </si>
  <si>
    <t>01.01.16.01.02</t>
  </si>
  <si>
    <t>01.01.14.03.01</t>
  </si>
  <si>
    <t xml:space="preserve">            CONCRETO C:H 1:10 PARA SOLADOS E=2"</t>
  </si>
  <si>
    <t>01.01.16.02</t>
  </si>
  <si>
    <t>01.01.14.04</t>
  </si>
  <si>
    <t xml:space="preserve">         OBRAS DE CONCRETO ARMADO</t>
  </si>
  <si>
    <t>01.01.16.02.01</t>
  </si>
  <si>
    <t>01.01.14.04.01</t>
  </si>
  <si>
    <t xml:space="preserve">            CONCRETO EN POZA LIXIVIADOS F'C=210 KG/CM2</t>
  </si>
  <si>
    <t>01.01.16.02.02</t>
  </si>
  <si>
    <t>01.01.14.04.02</t>
  </si>
  <si>
    <t xml:space="preserve">            ENCOFRADO Y DESENCOFRADO NORMAL EN POZA DE LIXIVIADOS</t>
  </si>
  <si>
    <t>01.01.16.02.03</t>
  </si>
  <si>
    <t>01.01.14.04.03</t>
  </si>
  <si>
    <t xml:space="preserve">            ACERO Fy=4200 kg/cm2 GRADO 60 EN POZA DE LIXIVIADOS</t>
  </si>
  <si>
    <t>01.01.16.03</t>
  </si>
  <si>
    <t>01.01.14.05</t>
  </si>
  <si>
    <t>01.01.16.03.01</t>
  </si>
  <si>
    <t>01.01.14.05.01</t>
  </si>
  <si>
    <t xml:space="preserve">            TARRAJEO EN MUROS INTERIORES MEZC. C:A 1:5 E=0.015 M</t>
  </si>
  <si>
    <t>01.01.16.04</t>
  </si>
  <si>
    <t xml:space="preserve">      CISTERNA Y TANQUES PARA ABASTECIMIENTO DE AGUA</t>
  </si>
  <si>
    <t>01.01.16.04.01</t>
  </si>
  <si>
    <t>01.01.16.04.02</t>
  </si>
  <si>
    <t>01.01.16.04.03</t>
  </si>
  <si>
    <t>01.01.16.05</t>
  </si>
  <si>
    <t>01.01.16.05.01</t>
  </si>
  <si>
    <t>01.01.17</t>
  </si>
  <si>
    <t>01.01.17.01</t>
  </si>
  <si>
    <t xml:space="preserve">            CONCRETO  C:H 1:6 + 25% P.M. P/ SOBRECIMIENTOS</t>
  </si>
  <si>
    <t>01.01.17.01.01</t>
  </si>
  <si>
    <t>01.01.15.03.02</t>
  </si>
  <si>
    <t xml:space="preserve">            ENCOFRADO Y DESENCOFRADO NORMAL PARA SOBRECIMIENTOS </t>
  </si>
  <si>
    <t>01.01.17.01.02</t>
  </si>
  <si>
    <t>01.01.17.02</t>
  </si>
  <si>
    <t xml:space="preserve">            ACERO fy=4200 kg/cm2 GRADO 60 EN CISTERNAS</t>
  </si>
  <si>
    <t>01.01.17.02.01</t>
  </si>
  <si>
    <t>01.01.15.04.02</t>
  </si>
  <si>
    <t xml:space="preserve">            CONCRETO EN CISTERNAS F'C=210 KG/CM2 </t>
  </si>
  <si>
    <t>01.01.17.03</t>
  </si>
  <si>
    <t>01.01.15.04.03</t>
  </si>
  <si>
    <t xml:space="preserve">            ENCOFRADO Y DESENCOFRADO EN CISTERNAS</t>
  </si>
  <si>
    <t>01.01.17.03.01</t>
  </si>
  <si>
    <t>01.01.15.05</t>
  </si>
  <si>
    <t>01.01.17.03.02</t>
  </si>
  <si>
    <t>01.01.15.05.01</t>
  </si>
  <si>
    <t xml:space="preserve">             TARRAJEO C/IMPER. EN MUROS INTERIORES MEZC. C:A 1:4, E=1.5 CM  </t>
  </si>
  <si>
    <t>01.01.17.04</t>
  </si>
  <si>
    <t>01.01.15.05.02</t>
  </si>
  <si>
    <t xml:space="preserve">            TARRAJEO EN MUROS EXTERIORES MEZC. C:A 1:5 E=0.015 M</t>
  </si>
  <si>
    <t>01.01.17.04.01</t>
  </si>
  <si>
    <t>01.01.15.05.03</t>
  </si>
  <si>
    <t xml:space="preserve">             TARRAJEO C/IMPER. DE LOSA DE FONDO MEZC. C:A 1:4, E=1.5 CM  </t>
  </si>
  <si>
    <t>01.01.17.04.02</t>
  </si>
  <si>
    <t>01.01.15.05.04</t>
  </si>
  <si>
    <t xml:space="preserve">             TARRAJEO C/IMPER. DE LOSA DE TECHO MEZC. C:A 1:4, E=1.5 CM  </t>
  </si>
  <si>
    <t>01.01.17.04.03</t>
  </si>
  <si>
    <t>01.01.15.06</t>
  </si>
  <si>
    <t xml:space="preserve">         PINTURA </t>
  </si>
  <si>
    <t>01.01.17.05</t>
  </si>
  <si>
    <t>01.01.15.06.01</t>
  </si>
  <si>
    <t xml:space="preserve">            PINTURA LATEX EN MUROS </t>
  </si>
  <si>
    <t>01.01.17.05.01</t>
  </si>
  <si>
    <t>01.01.15.07</t>
  </si>
  <si>
    <t xml:space="preserve">         TANQUE ELEVADO</t>
  </si>
  <si>
    <t>01.01.17.05.02</t>
  </si>
  <si>
    <t>01.01.15.07.01</t>
  </si>
  <si>
    <t xml:space="preserve">            TANQUES  PARA AGUA DE VOL=  1.10 m3</t>
  </si>
  <si>
    <t>01.01.17.05.03</t>
  </si>
  <si>
    <t>01.01.15.08</t>
  </si>
  <si>
    <t>01.01.17.05.04</t>
  </si>
  <si>
    <t>01.01.15.08.01</t>
  </si>
  <si>
    <t xml:space="preserve">            ELECTROBOMBA CENTRIFUGA DE 1 HP</t>
  </si>
  <si>
    <t>GLB</t>
  </si>
  <si>
    <t>01.01.17.06</t>
  </si>
  <si>
    <t>01.01.17.06.01</t>
  </si>
  <si>
    <t xml:space="preserve">         SALIDA PARA CENTROS DE LUZ  </t>
  </si>
  <si>
    <t>01.01.17.07</t>
  </si>
  <si>
    <t xml:space="preserve">         SALIDA PARA TOMACORRIENTE BIPOLAR DOBLE </t>
  </si>
  <si>
    <t>01.01.17.07.01</t>
  </si>
  <si>
    <t xml:space="preserve">         FLUORESCENTE RECTO 2 X 36 W INCLUYENDO EQUIPO Y PANTALLA</t>
  </si>
  <si>
    <t>01.01.17.08</t>
  </si>
  <si>
    <t xml:space="preserve">         INTERRUPTOR BIPOLAR DOBLE</t>
  </si>
  <si>
    <t>01.01.17.08.01</t>
  </si>
  <si>
    <t>01.01.18</t>
  </si>
  <si>
    <t>01.01.16.06</t>
  </si>
  <si>
    <t xml:space="preserve">         SUMINISTRO E INSTALACIÓN DE CABLE 2-1x2.5 mm2  TW</t>
  </si>
  <si>
    <t>01.01.18.01</t>
  </si>
  <si>
    <t>01.01.16.07</t>
  </si>
  <si>
    <t xml:space="preserve">         SUMINISTRO E INSTALACIÓN DE CABLE 2-1x 4 mm2 TW +  2-1x2.5 mm2  TW</t>
  </si>
  <si>
    <t>01.01.18.02</t>
  </si>
  <si>
    <t>01.01.16.08</t>
  </si>
  <si>
    <t>01.01.18.03</t>
  </si>
  <si>
    <t>01.01.18.04</t>
  </si>
  <si>
    <t>01.01.18.05</t>
  </si>
  <si>
    <t>01.01.18.06</t>
  </si>
  <si>
    <t>01.01.18.07</t>
  </si>
  <si>
    <t>01.01.18.08</t>
  </si>
  <si>
    <t>01.02.02.04</t>
  </si>
  <si>
    <t>TIJERAL TUBO 2"x2"x4mm L:6M</t>
  </si>
  <si>
    <t>mm</t>
  </si>
  <si>
    <t>01.02.02.05</t>
  </si>
  <si>
    <t>BASE TIJERAL TUBO DE 4"X4"X3/16" L:6M</t>
  </si>
  <si>
    <t>01.02.02.06</t>
  </si>
  <si>
    <t>COLUMNA TUBO DE 6"X6"X3/16" L:6M</t>
  </si>
  <si>
    <t>01.02.02.07</t>
  </si>
  <si>
    <t>VIGETA TIPO Z Z25X90X1/8" PL: 1.5X6M</t>
  </si>
  <si>
    <t>01.02.02.08</t>
  </si>
  <si>
    <t>ZAPATA 400X400X400</t>
  </si>
  <si>
    <t>01.02.02.09</t>
  </si>
  <si>
    <t>ARRIOSTRES L2X2X1/4" L:6M</t>
  </si>
  <si>
    <t>01.02.02.10</t>
  </si>
  <si>
    <t>PLACA DE AMARRE TIJERAL-COLUMNAS PLANCHA 200X250X1/4"</t>
  </si>
  <si>
    <t>01.02.02.11</t>
  </si>
  <si>
    <t>PERNO TIJERAL COLUMNAS 5/8" DIAMETRO</t>
  </si>
  <si>
    <t>01.02.02.12</t>
  </si>
  <si>
    <t>01.02.02.13</t>
  </si>
  <si>
    <t>ARANDELA TEJERAL-COLUMNAS P/PERNO DE 5/8" DE DIAMETRO</t>
  </si>
  <si>
    <t>01.02.02.14</t>
  </si>
  <si>
    <t>PLACA DE AMARRE Z-TIJERAL PLANCHA DE 100X100X1/4"</t>
  </si>
  <si>
    <t>01.02.02.15</t>
  </si>
  <si>
    <t>01.02.02.16</t>
  </si>
  <si>
    <t>01.02.02.17</t>
  </si>
  <si>
    <t>01.02.02.18</t>
  </si>
  <si>
    <t>PLACA DE COLUMNAS  ARRIOSTRE PLANCHA DE 200X200X1/4"</t>
  </si>
  <si>
    <t>01.02.02.19</t>
  </si>
  <si>
    <t>01.02.02.20</t>
  </si>
  <si>
    <t>01.02.02.21</t>
  </si>
  <si>
    <t>01.02.02.22</t>
  </si>
  <si>
    <t>PLACA DE AMARRE DE COLUMNAS ZAPATAS PLANCHA 200X250X1/4"</t>
  </si>
  <si>
    <t>01.02.02.23</t>
  </si>
  <si>
    <t>01.02.02.24</t>
  </si>
  <si>
    <t>TUERCA ZAPATA COLUMNA P/PERNO DE 1/2" DE DIAMETRO</t>
  </si>
  <si>
    <t xml:space="preserve">   PLANTA DE REAPROVECHAMIENTO</t>
  </si>
  <si>
    <t xml:space="preserve">   PLANTA DE RECICLAJE</t>
  </si>
  <si>
    <t xml:space="preserve">      OBRAS DE CONCRETO SIMPLE-PAVIMENTACIÓN</t>
  </si>
  <si>
    <t xml:space="preserve">         CONCRETO  C:H 1:6 + 25% P.M. P/ SOBRECIMIENTOS</t>
  </si>
  <si>
    <t>01.01.04.03</t>
  </si>
  <si>
    <t xml:space="preserve">         ENCOFRADO Y DESENCOFRADO NORMAL PARA SOBRECIMIENTOS </t>
  </si>
  <si>
    <t>01.01.04.04</t>
  </si>
  <si>
    <t xml:space="preserve">         FALSO PISO DE 4" DE CONCRETO CON MEZ. C:H 1:8</t>
  </si>
  <si>
    <t xml:space="preserve">         CONCRETO F'C=210 KG/CM2 EN ZAPATA</t>
  </si>
  <si>
    <t xml:space="preserve">         ACERO Fy=4200 kg/cm2 GRADO 60 EN POZA DE LIXIVIADOS</t>
  </si>
  <si>
    <t xml:space="preserve">         ENCOFRADO Y DESENCOFRADO PARA COLUMNAS </t>
  </si>
  <si>
    <t>01.01.05.06</t>
  </si>
  <si>
    <t xml:space="preserve">         CONCRETO EN VIGAS F'C=210 KG/CM2 </t>
  </si>
  <si>
    <t>01.01.05.07</t>
  </si>
  <si>
    <t xml:space="preserve">         ACERO fy=4200 kg/cm2 GRADO 60  EN VIGAS </t>
  </si>
  <si>
    <t>01.01.05.08</t>
  </si>
  <si>
    <t xml:space="preserve">         ENCOFRADO Y DESENCOFRADO EN VIGAS </t>
  </si>
  <si>
    <t xml:space="preserve">         MURO DE LADRILLO KK CARAVISTA, APAREJO DE SOGA MEZCLA  C:A 1:4</t>
  </si>
  <si>
    <t xml:space="preserve">         TARRAJEO DE VIGAS CON MEZC. C:A 1:5 E=0.015 M</t>
  </si>
  <si>
    <t>01.01.07.03</t>
  </si>
  <si>
    <t xml:space="preserve">         VESTIDURA DE DERRAMES MEZC. C:A 1:5 E=1.5 CM</t>
  </si>
  <si>
    <t xml:space="preserve">      PISOS Y VEREDAS- PAVIMENTO</t>
  </si>
  <si>
    <t xml:space="preserve">         CONTRAPISO E= 40 MM ,  BASE 3CM MEZC 1:5, ACABADO 1 CM PASTA 1:2</t>
  </si>
  <si>
    <t>01.01.10.05</t>
  </si>
  <si>
    <t>01.01.10.06</t>
  </si>
  <si>
    <t>01.01.10.07</t>
  </si>
  <si>
    <t>01.01.10.08</t>
  </si>
  <si>
    <t>01.01.10.09</t>
  </si>
  <si>
    <t>01.01.10.10</t>
  </si>
  <si>
    <t>01.01.10.11</t>
  </si>
  <si>
    <t>01.01.10.12</t>
  </si>
  <si>
    <t>01.01.10.13</t>
  </si>
  <si>
    <t>01.01.10.14</t>
  </si>
  <si>
    <t>01.01.10.15</t>
  </si>
  <si>
    <t>01.01.10.16</t>
  </si>
  <si>
    <t>01.01.10.17</t>
  </si>
  <si>
    <t>01.01.10.18</t>
  </si>
  <si>
    <t>01.01.10.19</t>
  </si>
  <si>
    <t>01.01.10.20</t>
  </si>
  <si>
    <t>01.01.10.21</t>
  </si>
  <si>
    <t>01.01.10.22</t>
  </si>
  <si>
    <t>01.01.10.23</t>
  </si>
  <si>
    <t>01.01.10.24</t>
  </si>
  <si>
    <t>01.01.12.03</t>
  </si>
  <si>
    <t>01.01.12.04</t>
  </si>
  <si>
    <t>01.01.12.05</t>
  </si>
  <si>
    <t xml:space="preserve">         TABLERO DE DISTRIBUCIÓN TD-02</t>
  </si>
  <si>
    <t>01.01.12.06</t>
  </si>
  <si>
    <t>01.01.12.07</t>
  </si>
  <si>
    <t xml:space="preserve">   INSTALACIONES ELÉCTRICAS TABLERO GENERAL</t>
  </si>
  <si>
    <t>INFRAESTRUCTURA ADMINISTRATIVA Y DE SERVICIOS</t>
  </si>
  <si>
    <t xml:space="preserve">      TABLERO GENERAL</t>
  </si>
  <si>
    <t xml:space="preserve">   SERVICIOS HIGIÉNICOS Y VESTUARIOS</t>
  </si>
  <si>
    <t xml:space="preserve">         EXCAVACIÓN DE CIMIENTO PARA MURO DE TABLERO GENERAL</t>
  </si>
  <si>
    <t xml:space="preserve">         MURO DE CONCRETO PARA LA INSTALACIÓN DE TABLERO GENERAL ( TG 1.0 x 0.5 x 0.20 ) .</t>
  </si>
  <si>
    <t>01.01.13.01.03</t>
  </si>
  <si>
    <t>01.01.13.01.04</t>
  </si>
  <si>
    <t xml:space="preserve">      ILUMINACIÓN EXTERNA</t>
  </si>
  <si>
    <t xml:space="preserve">         EXCAVACIÓN DE ZANJA DE 60 x 60 EN TERRENO NATURAL.</t>
  </si>
  <si>
    <t xml:space="preserve">         SUMINISTRO E INSTALACIÓN DE CABLE  2- 1X6 MM2 NYY. DIRECTAMENTE ENTERRADO</t>
  </si>
  <si>
    <t xml:space="preserve">         SUMINISTRO E INSTALACIÓN DE CABLE 3-1X10 MM2 NYY DIRECTAMENTE ENTERRADO</t>
  </si>
  <si>
    <t xml:space="preserve">         TABLERO DE DISTRIBUCIÓN TD-09 MONOFÁSICO 10 POLOS. EQUIPADO</t>
  </si>
  <si>
    <t xml:space="preserve">         CONCRETO 1:8+25% P.M. PARA SOBRECIMIENTOS</t>
  </si>
  <si>
    <t>01.01.13.02.05</t>
  </si>
  <si>
    <t xml:space="preserve">         POSTE  C.A.C. 8/200</t>
  </si>
  <si>
    <t>02.01.03.03</t>
  </si>
  <si>
    <t>01.01.13.02.06</t>
  </si>
  <si>
    <t xml:space="preserve">         PASTORAL CON ILUMINARIA DE VAPOR DE 150 W.</t>
  </si>
  <si>
    <t>02.01.03.04</t>
  </si>
  <si>
    <t xml:space="preserve">         FALSO PISO DE 4" DE CONCRETO 1:8</t>
  </si>
  <si>
    <t xml:space="preserve">   ALMACEN PARA MATERIALES Y HERRAMIENTAS</t>
  </si>
  <si>
    <t>02.01.04</t>
  </si>
  <si>
    <t>02.01.04.01</t>
  </si>
  <si>
    <t xml:space="preserve">         CONCRETO EN COLUMNAS  0.15X0.25 F'C=210 KG/CM2</t>
  </si>
  <si>
    <t>02.01.04.02</t>
  </si>
  <si>
    <t>02.01.04.03</t>
  </si>
  <si>
    <t xml:space="preserve">         ACERO fý=4200 kg/cm2 GRADO 60</t>
  </si>
  <si>
    <t>02.01.04.04</t>
  </si>
  <si>
    <t xml:space="preserve">         CONCRETO EN VIGAS  0.15X0.25 F'C=210 KG/CM2</t>
  </si>
  <si>
    <t>02.01.04.05</t>
  </si>
  <si>
    <t xml:space="preserve">         ENCOFRADO Y DESENCOFRADO EN VIGAS</t>
  </si>
  <si>
    <t>02.01.04.06</t>
  </si>
  <si>
    <t xml:space="preserve">         ACERO fý=4200 kg/cm2 GRADO 60 - VIGAS</t>
  </si>
  <si>
    <t>02.01.05</t>
  </si>
  <si>
    <t xml:space="preserve">      ALBAÑILERIA</t>
  </si>
  <si>
    <t>02.01.05.01</t>
  </si>
  <si>
    <t xml:space="preserve">         MURO DE LADRILLO KK, CARAVISTA, APAREJO DE  SOGA MEZCLA 1:5</t>
  </si>
  <si>
    <t>01.01.14.03.02</t>
  </si>
  <si>
    <t>02.01.05.02</t>
  </si>
  <si>
    <t xml:space="preserve">         MURO DE LADRILLO KK, APAREJO SOGA</t>
  </si>
  <si>
    <t>01.01.14.03.03</t>
  </si>
  <si>
    <t>02.01.06</t>
  </si>
  <si>
    <t xml:space="preserve">      REVOQUES ENLUCIDOS</t>
  </si>
  <si>
    <t>02.01.06.01</t>
  </si>
  <si>
    <t xml:space="preserve">         TARRAJEO PRIMARIO RAYADO</t>
  </si>
  <si>
    <t xml:space="preserve">         CONCRETO EN COLUMNAS  F'C=210 KG/CM2</t>
  </si>
  <si>
    <t>02.01.06.02</t>
  </si>
  <si>
    <t xml:space="preserve">         TARRAJEO DE SUPERFICIE DE COLUMNAS CON CEMENTO-ARENA</t>
  </si>
  <si>
    <t>02.01.06.03</t>
  </si>
  <si>
    <t xml:space="preserve">         TARRAJEO DE SUPERFICIE DE VIGAS CON CEMENTO-ARENA</t>
  </si>
  <si>
    <t xml:space="preserve">         ACERO fý=4200 kg/cm2 GRADO 60 - COLUMNAS</t>
  </si>
  <si>
    <t>02.01.07</t>
  </si>
  <si>
    <t xml:space="preserve">      PISOS Y PAVIMENTOS</t>
  </si>
  <si>
    <t>01.01.14.04.04</t>
  </si>
  <si>
    <t>02.01.07.01</t>
  </si>
  <si>
    <t xml:space="preserve">         PISO DE 2" CONCRETO F'C 140 KG/CM2 X 4 CM.+ PULIDO 1:2 X 1CM</t>
  </si>
  <si>
    <t>01.01.14.04.05</t>
  </si>
  <si>
    <t>02.01.07.02</t>
  </si>
  <si>
    <t>01.01.14.04.06</t>
  </si>
  <si>
    <t>02.01.08</t>
  </si>
  <si>
    <t>02.01.08.01</t>
  </si>
  <si>
    <t>02.01.09</t>
  </si>
  <si>
    <t xml:space="preserve">      CUBIERTA</t>
  </si>
  <si>
    <t>01.01.14.06</t>
  </si>
  <si>
    <t>02.01.09.01</t>
  </si>
  <si>
    <t xml:space="preserve">         CUBIERTA CON  FIBRAFORTE OPACA 12 ONDA 100 (3.05x1.10)</t>
  </si>
  <si>
    <t>01.01.14.06.01</t>
  </si>
  <si>
    <t xml:space="preserve">         TARRAJEO DE COLUMNAS</t>
  </si>
  <si>
    <t>02.01.09.02</t>
  </si>
  <si>
    <t xml:space="preserve">         CUMBRERAS PARA FIBRAFORTE OPACA 12 ONDA 100 (3.05x1.10)</t>
  </si>
  <si>
    <t>01.01.14.06.02</t>
  </si>
  <si>
    <t xml:space="preserve">         TARRAJEO DE VIGAS</t>
  </si>
  <si>
    <t>02.01.10</t>
  </si>
  <si>
    <t>01.01.14.07</t>
  </si>
  <si>
    <t>02.01.10.01</t>
  </si>
  <si>
    <t xml:space="preserve">         PUERTA CONTRAPLACADA 35 MM. C/TRIPLAY 4MM. INCLUYE BISAGRAS Y CERRADURA</t>
  </si>
  <si>
    <t>01.01.14.07.01</t>
  </si>
  <si>
    <t xml:space="preserve">         AFIRMADO DE 4" PARA PISOS Y VEREDAS</t>
  </si>
  <si>
    <t>02.01.10.02</t>
  </si>
  <si>
    <t xml:space="preserve">         BANCAS DE MADERA EN VESTUARIOS</t>
  </si>
  <si>
    <t>01.01.14.07.02</t>
  </si>
  <si>
    <t xml:space="preserve">         PISO DE 4" CONCRETO F'C 140 KG/CM2 X 4 CM.+ PULIDO 1:2 X 1CM</t>
  </si>
  <si>
    <t>02.01.10.03</t>
  </si>
  <si>
    <t xml:space="preserve">         ESTRUCTURA DE MADERA - SOPORTE DE COBERTURA</t>
  </si>
  <si>
    <t>01.01.14.08</t>
  </si>
  <si>
    <t>02.01.11</t>
  </si>
  <si>
    <t>01.01.14.08.01</t>
  </si>
  <si>
    <t>02.01.11.01</t>
  </si>
  <si>
    <t xml:space="preserve">         VENTANA DE FIERRO C/PERFIL DE 1"X1/8"+HOJA BAST."L"3/4"</t>
  </si>
  <si>
    <t>02.01.12</t>
  </si>
  <si>
    <t xml:space="preserve">      VIDRIOS Y CRISTALES</t>
  </si>
  <si>
    <t>02.01.12.01</t>
  </si>
  <si>
    <t xml:space="preserve">         VIDRIO INCOLORO, CRUDO SEMIDOBLE COLOCADO</t>
  </si>
  <si>
    <t>p2</t>
  </si>
  <si>
    <t>01.01.14.08.02</t>
  </si>
  <si>
    <t>02.01.13</t>
  </si>
  <si>
    <t>02.01.13.01</t>
  </si>
  <si>
    <t xml:space="preserve">         VIGUETA DE MADERA DE 2"x 4" (TRAVESAÑOS)</t>
  </si>
  <si>
    <t>02.01.13.02</t>
  </si>
  <si>
    <t xml:space="preserve">         VIGA CORREAS DE MADERA DE 2"x 2" </t>
  </si>
  <si>
    <t>02.01.13.03</t>
  </si>
  <si>
    <t>01.01.14.08.03</t>
  </si>
  <si>
    <t xml:space="preserve">         PUERTA DE MADERA APANELADA</t>
  </si>
  <si>
    <t>02.01.14</t>
  </si>
  <si>
    <t>01.01.14.08.04</t>
  </si>
  <si>
    <t xml:space="preserve">         PUERTA CONTRAPLACADA</t>
  </si>
  <si>
    <t>02.01.14.01</t>
  </si>
  <si>
    <t xml:space="preserve">         INODORO TANQUE BAJO - SIFON JET - BLANCO INC ACCESORIOS</t>
  </si>
  <si>
    <t>01.01.14.08.05</t>
  </si>
  <si>
    <t xml:space="preserve">         VESTIDURA DE DERRAMES EN PUERTAS, VENTANAS Y VANOS.</t>
  </si>
  <si>
    <t>02.01.14.02</t>
  </si>
  <si>
    <t xml:space="preserve">         LAVATORIO SONNET COLOR BLANCO - INC. ACCES. Y LLAVES</t>
  </si>
  <si>
    <t>02.01.14.03</t>
  </si>
  <si>
    <t>02.01.14.04</t>
  </si>
  <si>
    <t xml:space="preserve">         JABONERA DE LOSA BLANCA DE SOBREPONER</t>
  </si>
  <si>
    <t>01.01.14.09</t>
  </si>
  <si>
    <t>02.01.14.05</t>
  </si>
  <si>
    <t>01.01.14.09.01</t>
  </si>
  <si>
    <t>02.01.15</t>
  </si>
  <si>
    <t xml:space="preserve">      INSTALACIONES SANITARIAS</t>
  </si>
  <si>
    <t>01.01.14.10</t>
  </si>
  <si>
    <t>02.01.15.01</t>
  </si>
  <si>
    <t xml:space="preserve">         SALIDA DE DESAGUE PVC SAL DE 2"</t>
  </si>
  <si>
    <t>01.01.14.10.01</t>
  </si>
  <si>
    <t xml:space="preserve">         CERRADURA PARA PUERTA PRINCIPAL (ALMACEN)</t>
  </si>
  <si>
    <t>02.01.15.02</t>
  </si>
  <si>
    <t xml:space="preserve">         SALIDA DE DESAGUE PVC SAL DE 4"</t>
  </si>
  <si>
    <t>01.01.14.10.02</t>
  </si>
  <si>
    <t xml:space="preserve">         BISAGRA ALUMINIZADA CAPUCHINA DE 3" X 3"</t>
  </si>
  <si>
    <t>02.01.15.03</t>
  </si>
  <si>
    <t>01.01.14.10.03</t>
  </si>
  <si>
    <t xml:space="preserve">         CERRADURA PARA PUERTA  INTERIOR (DEPOSITO)</t>
  </si>
  <si>
    <t>02.01.15.04</t>
  </si>
  <si>
    <t xml:space="preserve">         TUBERÍA DE PVC SAL 2" PARA DESAGUE</t>
  </si>
  <si>
    <t>01.01.14.11</t>
  </si>
  <si>
    <t>02.01.15.05</t>
  </si>
  <si>
    <t xml:space="preserve">         TUBERÍA DE PVC SAL 3" PARA DESAGUE</t>
  </si>
  <si>
    <t>01.01.14.11.01</t>
  </si>
  <si>
    <t xml:space="preserve">         PINTURA LATEX EN MUROS INTERIORES Y EXTERIORES, 2 MANOS</t>
  </si>
  <si>
    <t>02.01.15.06</t>
  </si>
  <si>
    <t>01.01.14.11.02</t>
  </si>
  <si>
    <t xml:space="preserve">         PINTURA LATEX EN ZOCALOS (H = 0.20 M) 2 MANOS</t>
  </si>
  <si>
    <t>02.01.15.07</t>
  </si>
  <si>
    <t>01.01.14.11.03</t>
  </si>
  <si>
    <t xml:space="preserve">         PINTURA EN VENTANAS CON BARNIZ, 2 MANOS</t>
  </si>
  <si>
    <t>02.01.15.08</t>
  </si>
  <si>
    <t>01.01.14.12</t>
  </si>
  <si>
    <t xml:space="preserve">      INSTALACIONES ELÉCTRICAS</t>
  </si>
  <si>
    <t>02.01.15.09</t>
  </si>
  <si>
    <t xml:space="preserve">         REGISTRO DE BRONCE ROSCADO DE PISO DE 3"</t>
  </si>
  <si>
    <t>01.01.14.12.01</t>
  </si>
  <si>
    <t xml:space="preserve">         SALIDA PARA CENTROS DE LUZ C/INTERRUPTOR</t>
  </si>
  <si>
    <t>02.01.15.10</t>
  </si>
  <si>
    <t xml:space="preserve">         REGISTRO DE BRONCE ROSCADO DE PISO DE 4"</t>
  </si>
  <si>
    <t>01.01.14.12.02</t>
  </si>
  <si>
    <t xml:space="preserve">         SALIDA PARA TOMACORRIENTE BIPOLAR DOBLE CON PVC</t>
  </si>
  <si>
    <t>02.01.15.11</t>
  </si>
  <si>
    <t xml:space="preserve">         CAJA DE REGISTRO DE DESAGUE 12" X 24" DE ALBAÑILERIA</t>
  </si>
  <si>
    <t>01.01.14.12.03</t>
  </si>
  <si>
    <t xml:space="preserve">         FLUORESCENTE RECTO ISPE 1 X 36 W INCLUYENDO EQUIPO Y PANTALL</t>
  </si>
  <si>
    <t>02.01.15.12</t>
  </si>
  <si>
    <t>01.01.14.12.04</t>
  </si>
  <si>
    <t xml:space="preserve">         FLUORESCENTE CIRCULAR 12 W INCLUYENDO EQUIPO Y PANTALL</t>
  </si>
  <si>
    <t>02.01.15.13</t>
  </si>
  <si>
    <t>01.01.14.12.05</t>
  </si>
  <si>
    <t xml:space="preserve">         TABLERO DE DISTRIBUCIÓN TD-04 MONOFÁSICO 8 POLOS</t>
  </si>
  <si>
    <t>02.01.15.14</t>
  </si>
  <si>
    <t>01.01.14.12.06</t>
  </si>
  <si>
    <t xml:space="preserve">         SUMINISTRO E INSTALACIÓN DE CABLE 2- 1x 2.5 MM2 TW + TUBO  PVC SAP 19 MM</t>
  </si>
  <si>
    <t>02.01.15.15</t>
  </si>
  <si>
    <t>01.01.14.12.07</t>
  </si>
  <si>
    <t>02.01.15.16</t>
  </si>
  <si>
    <t>01.01.14.12.08</t>
  </si>
  <si>
    <t>02.01.15.17</t>
  </si>
  <si>
    <t>01.01.14.12.09</t>
  </si>
  <si>
    <t xml:space="preserve">         PINTURA EN PUERTAS CON BARNIZ, 2 MANOS</t>
  </si>
  <si>
    <t>02.01.15.18</t>
  </si>
  <si>
    <t>02.01.15.19</t>
  </si>
  <si>
    <t>02.01.15.20</t>
  </si>
  <si>
    <t>02.01.15.21</t>
  </si>
  <si>
    <t xml:space="preserve">         DUCHA CROMADA 1 LLAVE INCL.ACCESORIOS</t>
  </si>
  <si>
    <t>02.01.16</t>
  </si>
  <si>
    <t>02.01.16.01</t>
  </si>
  <si>
    <t>02.01.16.02</t>
  </si>
  <si>
    <t>02.01.16.03</t>
  </si>
  <si>
    <t>02.01.16.04</t>
  </si>
  <si>
    <t xml:space="preserve">         TABLERO DE DISTRIBUCIÓN TD-05 MONOFÁSICO 8 POLOS</t>
  </si>
  <si>
    <t>02.01.16.05</t>
  </si>
  <si>
    <t>02.01.16.06</t>
  </si>
  <si>
    <t>02.01.16.07</t>
  </si>
  <si>
    <t xml:space="preserve">         SUMINISTRO E INSTALACIÓN DE CABLE 2- 1x 4 MM2  + 1x 2.5 MM2 TW</t>
  </si>
  <si>
    <t>02.02</t>
  </si>
  <si>
    <t xml:space="preserve">   CASETA DE VIGILANCIA Y CONTROL</t>
  </si>
  <si>
    <t>02.02.01</t>
  </si>
  <si>
    <t>02.02.01.01</t>
  </si>
  <si>
    <t>02.02.02</t>
  </si>
  <si>
    <t>02.02.02.01</t>
  </si>
  <si>
    <t>02.02.02.02</t>
  </si>
  <si>
    <t>02.02.02.03</t>
  </si>
  <si>
    <t>02.02.03</t>
  </si>
  <si>
    <t>02.02.03.01</t>
  </si>
  <si>
    <t>02.02.03.02</t>
  </si>
  <si>
    <t>02.02.03.03</t>
  </si>
  <si>
    <t>02.02.03.04</t>
  </si>
  <si>
    <t>02.02.04</t>
  </si>
  <si>
    <t>02.02.04.01</t>
  </si>
  <si>
    <t xml:space="preserve">         CONCRETO F'C=175 KG/CM2. EN ZAPATAS</t>
  </si>
  <si>
    <t>02.02.04.02</t>
  </si>
  <si>
    <t xml:space="preserve">         ACERO ESTRUCTURAL PARA ZAPATAS FY=4200KG/CM2</t>
  </si>
  <si>
    <t>02.02.04.03</t>
  </si>
  <si>
    <t xml:space="preserve">         CONCRETO EN COLUMNAS   F'C=210 KG/CM2</t>
  </si>
  <si>
    <t>02.02.04.04</t>
  </si>
  <si>
    <t>02.02.04.05</t>
  </si>
  <si>
    <t xml:space="preserve">         ACERO fý=4200 kg/cm2 GRADO 60- COLUMNAS</t>
  </si>
  <si>
    <t>02.02.04.06</t>
  </si>
  <si>
    <t>02.02.04.07</t>
  </si>
  <si>
    <t xml:space="preserve">         ENCOFRADO Y DESENCOFRADO PARA VIGAS</t>
  </si>
  <si>
    <t>02.02.04.08</t>
  </si>
  <si>
    <t>02.02.05</t>
  </si>
  <si>
    <t>02.02.05.01</t>
  </si>
  <si>
    <t>02.02.06</t>
  </si>
  <si>
    <t>02.02.06.01</t>
  </si>
  <si>
    <t xml:space="preserve">         TARRAJEO  EN EXTERIORES E INTERIORES, CON CEMENTO ARENA </t>
  </si>
  <si>
    <t>02.02.06.02</t>
  </si>
  <si>
    <t>02.02.07</t>
  </si>
  <si>
    <t>02.02.07.01</t>
  </si>
  <si>
    <t>02.02.07.02</t>
  </si>
  <si>
    <t>02.02.08</t>
  </si>
  <si>
    <t>02.02.08.01</t>
  </si>
  <si>
    <t>02.02.08.02</t>
  </si>
  <si>
    <t>02.02.09</t>
  </si>
  <si>
    <t>02.02.09.01</t>
  </si>
  <si>
    <t>02.02.10</t>
  </si>
  <si>
    <t>02.02.10.01</t>
  </si>
  <si>
    <t xml:space="preserve">         VIGUETA DE MADERA DE 4"x 4" </t>
  </si>
  <si>
    <t>02.02.10.02</t>
  </si>
  <si>
    <t>02.02.10.03</t>
  </si>
  <si>
    <t>02.02.10.04</t>
  </si>
  <si>
    <t xml:space="preserve">         VENTANA DE MADERA CEDRO, CON HOJAS</t>
  </si>
  <si>
    <t>02.02.11</t>
  </si>
  <si>
    <t>02.02.11.01</t>
  </si>
  <si>
    <t>02.02.12</t>
  </si>
  <si>
    <t>02.02.12.01</t>
  </si>
  <si>
    <t xml:space="preserve">         CERADURA PARA PUERTA PRINCIPAL PESADA</t>
  </si>
  <si>
    <t>02.02.12.02</t>
  </si>
  <si>
    <t>02.02.13</t>
  </si>
  <si>
    <t>02.02.13.01</t>
  </si>
  <si>
    <t>02.02.13.02</t>
  </si>
  <si>
    <t>02.02.13.03</t>
  </si>
  <si>
    <t>02.02.14</t>
  </si>
  <si>
    <t>02.02.14.01</t>
  </si>
  <si>
    <t>02.02.14.02</t>
  </si>
  <si>
    <t>02.02.14.03</t>
  </si>
  <si>
    <t>02.02.14.04</t>
  </si>
  <si>
    <t xml:space="preserve">         TABLERO DE DISTRIBUCIÓN TD-01 MONOFÁSICO 8 POLOS</t>
  </si>
  <si>
    <t>02.02.14.05</t>
  </si>
  <si>
    <t>02.02.14.06</t>
  </si>
  <si>
    <t>02.02.14.07</t>
  </si>
  <si>
    <t>02.02.14.08</t>
  </si>
  <si>
    <t xml:space="preserve">         SUMINISTRO E INSTALACIÓN DE CABLE  2- 1X6 MM2 NYY </t>
  </si>
  <si>
    <t>02.03</t>
  </si>
  <si>
    <t xml:space="preserve">   CASETA DE REGISTRO Y PESAJE (BALANZA)</t>
  </si>
  <si>
    <t>02.03.01</t>
  </si>
  <si>
    <t>02.03.01.01</t>
  </si>
  <si>
    <t>02.03.02</t>
  </si>
  <si>
    <t>02.03.02.01</t>
  </si>
  <si>
    <t>02.03.02.02</t>
  </si>
  <si>
    <t>02.03.02.03</t>
  </si>
  <si>
    <t>02.03.03</t>
  </si>
  <si>
    <t>02.03.03.01</t>
  </si>
  <si>
    <t>02.03.03.02</t>
  </si>
  <si>
    <t>02.03.03.03</t>
  </si>
  <si>
    <t>02.03.03.04</t>
  </si>
  <si>
    <t xml:space="preserve">         FALSO PISO DE 4" DE CONCRETO 1:8 </t>
  </si>
  <si>
    <t>02.03.04</t>
  </si>
  <si>
    <t>02.03.04.01</t>
  </si>
  <si>
    <t>02.03.04.02</t>
  </si>
  <si>
    <t>02.03.04.03</t>
  </si>
  <si>
    <t>02.03.04.04</t>
  </si>
  <si>
    <t xml:space="preserve">         CONCRETO EN VIGAS F'C=210 KG/CM2</t>
  </si>
  <si>
    <t>02.03.04.05</t>
  </si>
  <si>
    <t xml:space="preserve">         ENCOFRADO Y DESENCOFRADO DE VIGAS</t>
  </si>
  <si>
    <t>02.03.04.06</t>
  </si>
  <si>
    <t xml:space="preserve">         ACERO fý=4200 kg/cm2 GRADO 60 VIGAS</t>
  </si>
  <si>
    <t>02.03.05</t>
  </si>
  <si>
    <t>02.03.05.01</t>
  </si>
  <si>
    <t>02.03.06</t>
  </si>
  <si>
    <t>02.03.06.01</t>
  </si>
  <si>
    <t>02.03.06.02</t>
  </si>
  <si>
    <t>02.03.07</t>
  </si>
  <si>
    <t>02.03.07.01</t>
  </si>
  <si>
    <t>02.03.08</t>
  </si>
  <si>
    <t>02.03.08.01</t>
  </si>
  <si>
    <t>02.03.09</t>
  </si>
  <si>
    <t>02.03.09.01</t>
  </si>
  <si>
    <t xml:space="preserve">         CUBIERTA CON PLANCHAS FIBRAFORTE OPACA 12 ONDA 100 (3.05x1.10)</t>
  </si>
  <si>
    <t>02.03.10</t>
  </si>
  <si>
    <t>02.03.10.01</t>
  </si>
  <si>
    <t xml:space="preserve">         PUERTA DE MADERA  INCLUYE BISAGRAS Y CERRADURA</t>
  </si>
  <si>
    <t>02.03.10.02</t>
  </si>
  <si>
    <t xml:space="preserve">         ESTRUCTURA DE MADERA - SOPORTE DE COBERTURA </t>
  </si>
  <si>
    <t>02.03.11</t>
  </si>
  <si>
    <t>02.03.11.01</t>
  </si>
  <si>
    <t>02.03.12</t>
  </si>
  <si>
    <t>02.03.12.01</t>
  </si>
  <si>
    <t>02.03.13</t>
  </si>
  <si>
    <t>02.03.13.01</t>
  </si>
  <si>
    <t>02.03.13.02</t>
  </si>
  <si>
    <t>02.03.13.03</t>
  </si>
  <si>
    <t>02.03.14</t>
  </si>
  <si>
    <t>02.03.14.01</t>
  </si>
  <si>
    <t>02.03.14.02</t>
  </si>
  <si>
    <t>02.03.14.03</t>
  </si>
  <si>
    <t>02.03.14.04</t>
  </si>
  <si>
    <t xml:space="preserve">         TABLERO DE DISTRIBUCIÓN TD-02 MONOFÁSICO 10 POLOS</t>
  </si>
  <si>
    <t>02.03.14.05</t>
  </si>
  <si>
    <t>02.03.14.06</t>
  </si>
  <si>
    <t xml:space="preserve">         SUMINISTRO E INSTALACIÓN DE CABLE 2- 1x 4 MM2  + 1x 2.5 MM2 TW + TUBO PVC SAP 19MM</t>
  </si>
  <si>
    <t>02.03.14.07</t>
  </si>
  <si>
    <t>02.03.14.08</t>
  </si>
  <si>
    <t>02.03.14.09</t>
  </si>
  <si>
    <t xml:space="preserve">   OFICINA ADMINISTRATIVA</t>
  </si>
  <si>
    <t>02.04.01</t>
  </si>
  <si>
    <t>02.04.01.01</t>
  </si>
  <si>
    <t>02.04.02</t>
  </si>
  <si>
    <t>02.04.02.01</t>
  </si>
  <si>
    <t>02.04.02.02</t>
  </si>
  <si>
    <t>02.04.02.03</t>
  </si>
  <si>
    <t>02.04.03</t>
  </si>
  <si>
    <t>02.04.03.01</t>
  </si>
  <si>
    <t>02.04.03.02</t>
  </si>
  <si>
    <t>02.04.03.03</t>
  </si>
  <si>
    <t>02.04.04</t>
  </si>
  <si>
    <t>02.04.04.01</t>
  </si>
  <si>
    <t>02.04.04.02</t>
  </si>
  <si>
    <t>02.04.04.03</t>
  </si>
  <si>
    <t>02.04.04.04</t>
  </si>
  <si>
    <t>02.04.04.05</t>
  </si>
  <si>
    <t>02.04.04.06</t>
  </si>
  <si>
    <t>02.04.05</t>
  </si>
  <si>
    <t>02.04.05.01</t>
  </si>
  <si>
    <t>02.04.06</t>
  </si>
  <si>
    <t>02.04.06.01</t>
  </si>
  <si>
    <t>02.04.06.02</t>
  </si>
  <si>
    <t>02.04.06.03</t>
  </si>
  <si>
    <t>02.04.07</t>
  </si>
  <si>
    <t>02.04.07.01</t>
  </si>
  <si>
    <t>02.04.07.02</t>
  </si>
  <si>
    <t>02.04.08</t>
  </si>
  <si>
    <t>02.04.08.01</t>
  </si>
  <si>
    <t>02.04.09</t>
  </si>
  <si>
    <t>02.04.09.01</t>
  </si>
  <si>
    <t>02.04.09.02</t>
  </si>
  <si>
    <t>02.04.10</t>
  </si>
  <si>
    <t>02.04.10.01</t>
  </si>
  <si>
    <t>02.04.10.02</t>
  </si>
  <si>
    <t>02.04.10.03</t>
  </si>
  <si>
    <t>02.04.10.04</t>
  </si>
  <si>
    <t>02.04.11</t>
  </si>
  <si>
    <t>02.04.11.01</t>
  </si>
  <si>
    <t>02.04.12</t>
  </si>
  <si>
    <t>02.04.12.01</t>
  </si>
  <si>
    <t>02.04.13</t>
  </si>
  <si>
    <t>02.04.13.01</t>
  </si>
  <si>
    <t xml:space="preserve">         CERRADURA PARA PUERTA PRINCIPAL PESADA</t>
  </si>
  <si>
    <t>02.04.13.02</t>
  </si>
  <si>
    <t xml:space="preserve">         CERRADURA PARA PUERTAS INTERIORES</t>
  </si>
  <si>
    <t>02.04.13.03</t>
  </si>
  <si>
    <t>02.04.14</t>
  </si>
  <si>
    <t>02.04.14.01</t>
  </si>
  <si>
    <t>02.04.14.02</t>
  </si>
  <si>
    <t>02.04.14.03</t>
  </si>
  <si>
    <t>02.04.14.04</t>
  </si>
  <si>
    <t>02.04.15</t>
  </si>
  <si>
    <t>02.04.15.01</t>
  </si>
  <si>
    <t>02.04.15.02</t>
  </si>
  <si>
    <t>02.04.15.03</t>
  </si>
  <si>
    <t>02.04.15.04</t>
  </si>
  <si>
    <t xml:space="preserve">         TABLERO DE DISTRIBUCIÓN TD-02 MONOFÁSICO 8 POLOS</t>
  </si>
  <si>
    <t>02.04.15.05</t>
  </si>
  <si>
    <t>02.04.15.06</t>
  </si>
  <si>
    <t>02.04.15.07</t>
  </si>
  <si>
    <t xml:space="preserve">         SUMNISTRO E INSTALACIÓN DE CABLE 3 - 1X 6 MM2 NYY DIRECTAMENTE ENTERRADO</t>
  </si>
  <si>
    <t>02.04.15.08</t>
  </si>
  <si>
    <t>02.04.15.09</t>
  </si>
  <si>
    <t>02.05.01</t>
  </si>
  <si>
    <t>02.05.01.01</t>
  </si>
  <si>
    <t>02.05.01.02</t>
  </si>
  <si>
    <t>02.05.01.03</t>
  </si>
  <si>
    <t>02.05.01.04</t>
  </si>
  <si>
    <t>02.05.02</t>
  </si>
  <si>
    <t>02.05.02.01</t>
  </si>
  <si>
    <t>02.05.02.02</t>
  </si>
  <si>
    <t>02.05.02.03</t>
  </si>
  <si>
    <t>02.05.02.04</t>
  </si>
  <si>
    <t>02.05.02.05</t>
  </si>
  <si>
    <t>02.05.02.06</t>
  </si>
  <si>
    <t>02.06.01</t>
  </si>
  <si>
    <t>02.06.01.01</t>
  </si>
  <si>
    <t>02.06.02</t>
  </si>
  <si>
    <t>02.06.02.01</t>
  </si>
  <si>
    <t>02.06.02.02</t>
  </si>
  <si>
    <t>02.06.02.03</t>
  </si>
  <si>
    <t>02.06.03</t>
  </si>
  <si>
    <t>02.06.03.01</t>
  </si>
  <si>
    <t>02.06.03.02</t>
  </si>
  <si>
    <t>02.06.03.03</t>
  </si>
  <si>
    <t>02.06.04</t>
  </si>
  <si>
    <t>02.06.04.01</t>
  </si>
  <si>
    <t>02.06.04.02</t>
  </si>
  <si>
    <t>02.06.04.03</t>
  </si>
  <si>
    <t>02.06.04.04</t>
  </si>
  <si>
    <t>02.06.04.05</t>
  </si>
  <si>
    <t>02.06.04.06</t>
  </si>
  <si>
    <t>02.06.05</t>
  </si>
  <si>
    <t>02.06.05.01</t>
  </si>
  <si>
    <t>02.06.06</t>
  </si>
  <si>
    <t>02.06.06.01</t>
  </si>
  <si>
    <t>02.06.06.02</t>
  </si>
  <si>
    <t>02.06.07</t>
  </si>
  <si>
    <t>02.06.07.01</t>
  </si>
  <si>
    <t>02.06.07.02</t>
  </si>
  <si>
    <t>02.06.08</t>
  </si>
  <si>
    <t>02.06.08.01</t>
  </si>
  <si>
    <t>02.06.09</t>
  </si>
  <si>
    <t>02.06.09.01</t>
  </si>
  <si>
    <t>02.06.09.02</t>
  </si>
  <si>
    <t>02.06.10</t>
  </si>
  <si>
    <t>02.06.10.01</t>
  </si>
  <si>
    <t>02.06.10.02</t>
  </si>
  <si>
    <t>02.06.10.03</t>
  </si>
  <si>
    <t>02.06.10.04</t>
  </si>
  <si>
    <t>02.06.10.05</t>
  </si>
  <si>
    <t>02.06.11</t>
  </si>
  <si>
    <t>02.06.11.01</t>
  </si>
  <si>
    <t>02.06.12</t>
  </si>
  <si>
    <t>02.06.12.01</t>
  </si>
  <si>
    <t>02.06.13</t>
  </si>
  <si>
    <t>02.06.13.01</t>
  </si>
  <si>
    <t>02.06.13.02</t>
  </si>
  <si>
    <t>02.06.13.03</t>
  </si>
  <si>
    <t>02.06.14</t>
  </si>
  <si>
    <t>02.06.14.01</t>
  </si>
  <si>
    <t>02.06.14.02</t>
  </si>
  <si>
    <t>02.06.14.03</t>
  </si>
  <si>
    <t>02.06.15</t>
  </si>
  <si>
    <t>02.06.15.01</t>
  </si>
  <si>
    <t>02.06.15.02</t>
  </si>
  <si>
    <t>02.06.15.03</t>
  </si>
  <si>
    <t>02.06.15.04</t>
  </si>
  <si>
    <t>02.06.15.05</t>
  </si>
  <si>
    <t>02.06.15.06</t>
  </si>
  <si>
    <t>02.06.15.07</t>
  </si>
  <si>
    <t>02.06.15.08</t>
  </si>
  <si>
    <t>02.06.15.09</t>
  </si>
  <si>
    <t xml:space="preserve">   COCINA - COMEDOR</t>
  </si>
  <si>
    <t>02.07.01</t>
  </si>
  <si>
    <t>02.07.01.01</t>
  </si>
  <si>
    <t>02.07.02</t>
  </si>
  <si>
    <t>02.07.02.01</t>
  </si>
  <si>
    <t>02.07.02.02</t>
  </si>
  <si>
    <t>02.07.02.03</t>
  </si>
  <si>
    <t>02.07.02.04</t>
  </si>
  <si>
    <t>02.07.03</t>
  </si>
  <si>
    <t>02.07.03.01</t>
  </si>
  <si>
    <t>02.07.03.02</t>
  </si>
  <si>
    <t>02.07.03.03</t>
  </si>
  <si>
    <t>02.07.03.04</t>
  </si>
  <si>
    <t>02.07.04</t>
  </si>
  <si>
    <t>02.07.04.01</t>
  </si>
  <si>
    <t>02.07.04.02</t>
  </si>
  <si>
    <t>02.07.04.03</t>
  </si>
  <si>
    <t>02.07.05</t>
  </si>
  <si>
    <t>02.07.05.01</t>
  </si>
  <si>
    <t>02.07.06</t>
  </si>
  <si>
    <t>02.07.06.01</t>
  </si>
  <si>
    <t>02.07.06.02</t>
  </si>
  <si>
    <t>02.07.06.03</t>
  </si>
  <si>
    <t>02.07.07</t>
  </si>
  <si>
    <t>02.07.07.01</t>
  </si>
  <si>
    <t>02.07.07.02</t>
  </si>
  <si>
    <t>02.07.08</t>
  </si>
  <si>
    <t>02.07.08.01</t>
  </si>
  <si>
    <t>02.07.08.02</t>
  </si>
  <si>
    <t>02.07.09</t>
  </si>
  <si>
    <t>02.07.09.01</t>
  </si>
  <si>
    <t>02.07.09.02</t>
  </si>
  <si>
    <t>02.07.10</t>
  </si>
  <si>
    <t>02.07.10.01</t>
  </si>
  <si>
    <t>02.07.10.02</t>
  </si>
  <si>
    <t xml:space="preserve">         MAMPARA DE MADERA INCLUYE BISAGRAS Y CERRADURA</t>
  </si>
  <si>
    <t>02.07.10.03</t>
  </si>
  <si>
    <t>02.07.11</t>
  </si>
  <si>
    <t>02.07.11.01</t>
  </si>
  <si>
    <t>02.07.12</t>
  </si>
  <si>
    <t>02.07.12.01</t>
  </si>
  <si>
    <t>02.07.12.02</t>
  </si>
  <si>
    <t xml:space="preserve">         VIDRIO INCOLORO DOBLE, COLOCADO</t>
  </si>
  <si>
    <t>02.07.13</t>
  </si>
  <si>
    <t>02.07.13.01</t>
  </si>
  <si>
    <t>02.07.13.02</t>
  </si>
  <si>
    <t>02.07.13.03</t>
  </si>
  <si>
    <t>02.07.14</t>
  </si>
  <si>
    <t>02.07.14.01</t>
  </si>
  <si>
    <t xml:space="preserve">         LAVADERO DE COCINA DE ACERO INOXIDABLE</t>
  </si>
  <si>
    <t>02.07.15</t>
  </si>
  <si>
    <t>02.07.15.01</t>
  </si>
  <si>
    <t>02.07.15.02</t>
  </si>
  <si>
    <t>02.07.15.03</t>
  </si>
  <si>
    <t>02.07.15.04</t>
  </si>
  <si>
    <t>02.07.15.05</t>
  </si>
  <si>
    <t>02.07.16</t>
  </si>
  <si>
    <t>02.07.16.01</t>
  </si>
  <si>
    <t>02.07.16.02</t>
  </si>
  <si>
    <t>02.07.16.03</t>
  </si>
  <si>
    <t>02.07.16.04</t>
  </si>
  <si>
    <t>02.07.16.05</t>
  </si>
  <si>
    <t>02.07.16.06</t>
  </si>
  <si>
    <t>02.07.16.07</t>
  </si>
  <si>
    <t>INFRAESTRUCTURA UBICADA DENTRO DEL RELLENO SANITARIO</t>
  </si>
  <si>
    <t>INFRAESTRUCTURA UBICADA FUERA DEL RELLENO SANITARIO</t>
  </si>
  <si>
    <t>Minicargador sobre ruedas</t>
  </si>
  <si>
    <t xml:space="preserve">Sillas de madera </t>
  </si>
  <si>
    <t>Maquinista</t>
  </si>
  <si>
    <t>Cantidad de operarios</t>
  </si>
  <si>
    <t>MANUAL</t>
  </si>
  <si>
    <t>TIPO DE PLANTA</t>
  </si>
  <si>
    <t>SEMIMECANIZADO</t>
  </si>
  <si>
    <t>MECANIZADO</t>
  </si>
  <si>
    <t>Volteadora mecánica</t>
  </si>
  <si>
    <t>Escobas</t>
  </si>
  <si>
    <t>Recogedor</t>
  </si>
  <si>
    <t>Extintor</t>
  </si>
  <si>
    <t>Fajas</t>
  </si>
  <si>
    <t>Chalecos</t>
  </si>
  <si>
    <t>Operadores</t>
  </si>
  <si>
    <t>Bomba de lixiviados</t>
  </si>
  <si>
    <t>Generador eléctrico</t>
  </si>
  <si>
    <t>Cantidad de residuos solidos generados</t>
  </si>
  <si>
    <t>&gt; 6 - 20 t/día</t>
  </si>
  <si>
    <t>&gt; 200 t/día</t>
  </si>
  <si>
    <t>&gt; 2 - 6 t/día</t>
  </si>
  <si>
    <t>&gt; 20 - 50 t/día</t>
  </si>
  <si>
    <t>&gt; 50 - 100 t/día</t>
  </si>
  <si>
    <t>&gt; 100 - 200 t/día</t>
  </si>
  <si>
    <t>Descripción -MANUAL</t>
  </si>
  <si>
    <t>Descripción - SEMIMECANIZADA</t>
  </si>
  <si>
    <t>Descripción - MECANIZADA</t>
  </si>
  <si>
    <t>&gt; 2 - 4 t/día</t>
  </si>
  <si>
    <t>&gt; 4 - 50 t/día</t>
  </si>
  <si>
    <t>&gt; 50 t/día</t>
  </si>
  <si>
    <t>B. Almacenamiento en espacios públicos de alta afluencia peatonal</t>
  </si>
  <si>
    <t>Escobas de paja</t>
  </si>
  <si>
    <t>Poncho Impermeable</t>
  </si>
  <si>
    <t>Guante nylon</t>
  </si>
  <si>
    <t>Coches de barrido de 240 lt</t>
  </si>
  <si>
    <t>Camión Compactador 4 m3 - con alza contenedor</t>
  </si>
  <si>
    <t>Camión Compactador 6 m3 - con alza contenedor</t>
  </si>
  <si>
    <t>Camión Compactador 8 m3 - con alza contenedor</t>
  </si>
  <si>
    <t>Camión Compactador 10 m3 - con alza contenedor</t>
  </si>
  <si>
    <t>Camión Compactador 12 m3 - con alza contenedor</t>
  </si>
  <si>
    <t>Camión Compactador 15 m3 - con alza contenedor</t>
  </si>
  <si>
    <t>Camión Compactador 4 m3 - sin alza contenedor</t>
  </si>
  <si>
    <t>Camión Compactador 6 m3 sin alza contenedor</t>
  </si>
  <si>
    <t>Camión Compactador 8 m3 sin alza contenedor</t>
  </si>
  <si>
    <t xml:space="preserve">Camión Compactador 10 m3 sin alza contenedor </t>
  </si>
  <si>
    <t>Camión Compactador 12 m3 sin alza contenedor</t>
  </si>
  <si>
    <t>Camión Compactador 15 m3 sin alza contenedor</t>
  </si>
  <si>
    <t>Papeleras de 50 lts</t>
  </si>
  <si>
    <t>Coches de barrido de 240 litros.</t>
  </si>
  <si>
    <t>TIPO DE BARRIDO</t>
  </si>
  <si>
    <t>BARRIDO MIXTO ( MANUAL Y MECANIZADO)</t>
  </si>
  <si>
    <t>POBLACIÓN MAYOR A 10 MIL HABITANTES</t>
  </si>
  <si>
    <t>Faja</t>
  </si>
  <si>
    <t>Balanza electrónica no mayor a 1 tonelada</t>
  </si>
  <si>
    <t>Guantes de cuero pulido</t>
  </si>
  <si>
    <t>Botin de cuero punta acero</t>
  </si>
  <si>
    <t>Responsable de cotizaciones</t>
  </si>
  <si>
    <t>Ing. Electricista</t>
  </si>
  <si>
    <t>Responsable del estudio de mercado para residuos valorizables</t>
  </si>
  <si>
    <t>SUB - TOTAL</t>
  </si>
  <si>
    <t>COSTO DE GESTIÓN DE PROYECTO</t>
  </si>
  <si>
    <t>GESTIÓN DE PROYECTO</t>
  </si>
  <si>
    <t>PERSONAL DE DIRECCIÓN PARA LA GESTIÓN DE PROYECTO</t>
  </si>
  <si>
    <t>Licencia de funcionamiento</t>
  </si>
  <si>
    <t>Pago del estudio de vulnerabilidad y riesgos</t>
  </si>
  <si>
    <t>Factibilidad del servicio de agua y desague</t>
  </si>
  <si>
    <t>Ingeniero Civil.</t>
  </si>
  <si>
    <t>Especialista en Valorización.</t>
  </si>
  <si>
    <t>Contenedores superficiales</t>
  </si>
  <si>
    <t>Manta de nylon</t>
  </si>
  <si>
    <t>iii. Herrramientas e insumos</t>
  </si>
  <si>
    <t>ii. Herramientas e insumos</t>
  </si>
  <si>
    <t>Zacas de 1000 lts</t>
  </si>
  <si>
    <t>Contenedores Soterrados</t>
  </si>
  <si>
    <t>Camisaco con cintas reflectivas</t>
  </si>
  <si>
    <t>Pantalón de drill con cintas reflectivas</t>
  </si>
  <si>
    <t>Conos de seguridad color naranja fosforecente</t>
  </si>
  <si>
    <t>Camisaco con cinta reflectiva</t>
  </si>
  <si>
    <t>Pantalón con cinta reflectiva</t>
  </si>
  <si>
    <t>Pantalón de drill  con cinta reflectiva</t>
  </si>
  <si>
    <t>Pantalón de drill con cinta reflectiva</t>
  </si>
  <si>
    <t>Casco de seguridad</t>
  </si>
  <si>
    <t>Kit de herramientas (martillo, desarmador, comba, alicate)</t>
  </si>
  <si>
    <t>Filtros para mascarilla</t>
  </si>
  <si>
    <t>Recolección Total (t/día)</t>
  </si>
  <si>
    <t>VALORIZACIÓN DE RESIDUOS ORGÁNICOS</t>
  </si>
  <si>
    <t>VALORIZACIÓN DE RESIDUOS INORGÁNICOS</t>
  </si>
  <si>
    <t>MAQUINARIAS - SEMIMECANIZADO</t>
  </si>
  <si>
    <t>MAQUINARIAS - MECANIZADO</t>
  </si>
  <si>
    <t>Criba tambor</t>
  </si>
  <si>
    <t>MAQUINARIA</t>
  </si>
  <si>
    <t>MECANIZADA</t>
  </si>
  <si>
    <t>SEMIMECANIZADA</t>
  </si>
  <si>
    <t>Monta carga manual</t>
  </si>
  <si>
    <t>Recolección Total (t/día recolección)</t>
  </si>
  <si>
    <t>Recolección promedio por vehículo (t/día de recolección)</t>
  </si>
  <si>
    <t>días</t>
  </si>
  <si>
    <t>Demandad a cubrir al día</t>
  </si>
  <si>
    <t>Escobillón  de cerda</t>
  </si>
  <si>
    <t>N° de días a recolectar en la semana</t>
  </si>
  <si>
    <t>Ida y vuelta</t>
  </si>
  <si>
    <t>No mayor a 3 m</t>
  </si>
  <si>
    <t xml:space="preserve">Profundidad o altura máxima de la trinchera/plataforma </t>
  </si>
  <si>
    <t>CANTIDAD (T/DÍA)</t>
  </si>
  <si>
    <t>Cantidad de residuos sólidos inorgánicos aprovechables generados en fuentes no domiciliarias</t>
  </si>
  <si>
    <t>Cantidad de residuos sólidos orgánicos generados en mercados, ferias y/o similares (T/Día)</t>
  </si>
  <si>
    <t>Cantidad de residuos sólidos orgánicos generados en viviendas (T/Día)</t>
  </si>
  <si>
    <t>Mayor de 10 t/día</t>
  </si>
  <si>
    <t>Mayor de 2 - 10 t/día</t>
  </si>
  <si>
    <t>Mayor de 4 - 50 t/día</t>
  </si>
  <si>
    <t>Mayor de 50 t/día</t>
  </si>
  <si>
    <t>CANTIDAD TOTAL</t>
  </si>
  <si>
    <t>APLICACIÓN DE LA FICHA TÉCNICA ESTÁNDAR</t>
  </si>
  <si>
    <t>(*)La complejidad de la intervención no permitiría su estandarización debido al requerimiento de un mayor análisis y estudios especializados.</t>
  </si>
  <si>
    <t xml:space="preserve">
</t>
  </si>
  <si>
    <t>Adquisición de recipientes para el almacenamiento en vías urbanas y espacios públicos</t>
  </si>
  <si>
    <t>Adquisición e instalación de papeleras de 50 lts</t>
  </si>
  <si>
    <t>Adquisición de kit de seguridad (Camisaco, pantalón, polos,faja,gorro, poncho,lentes,guantes,mascarilla,botin,botas,mochilas).</t>
  </si>
  <si>
    <t>Adquisición de kit de seguridad (camisaco, pantalón,polos,gorro,casco,poncho,lentes,guantes,mascarilla,filtros,botin,fajas y chalecos).</t>
  </si>
  <si>
    <t>Adquisición de kit de seguridad (camisaco, pantalón, polos, casco, gorro, poncho, lentes, guantes, mascarillas, filtros y botín).</t>
  </si>
  <si>
    <t>Adecuada capacidad para la recolección y transporte</t>
  </si>
  <si>
    <t>Adecuada disposición final de los residuos sólidos</t>
  </si>
  <si>
    <t>Eficiente gestión técnica, administrativa, económica y financiera del servicio de limpieza pública</t>
  </si>
  <si>
    <t>NO APROVECHABLES</t>
  </si>
  <si>
    <t>HASTA 10 MIL HABITANTES</t>
  </si>
  <si>
    <t>Camión Compactador 4 m3 - con alza contenedor para no aprovechables</t>
  </si>
  <si>
    <t>Camión Compactador 4 m3 - sin alza contenedor para no aprovechables</t>
  </si>
  <si>
    <t>Camión Compactador 6 m3 - con alza contenedor para no aprovechables</t>
  </si>
  <si>
    <t>Camión Compactador 4 y 6 m3 sin alza contenedor para no aprovechables</t>
  </si>
  <si>
    <t>Camión Compactador 4 y 6 m3 con alza contenedor para no aprovechables</t>
  </si>
  <si>
    <t>Camión Baranda 4 m3 para no aprovechables</t>
  </si>
  <si>
    <t>Camión Baranda 8 m3 para no aprovechables</t>
  </si>
  <si>
    <t>Camión Baranda 4 y 8 m3 para no aprovechables</t>
  </si>
  <si>
    <t>Camión Compactador 4 m3 - sin alza contenedor y camión baranda de 4 m3 para no aprovechables</t>
  </si>
  <si>
    <t>Camión Compactador 4 m3 - sin alza contenedor y camión baranda de 8 m3 para no aprovechables</t>
  </si>
  <si>
    <t>Camión Compactador 6 m3 - sin alza contenedor y camión baranda de 4 m3 para no aprovechables</t>
  </si>
  <si>
    <t>Camión Compactador 6 m3 - sin alza contenedor y camión baranda de 8 m3 para no aprovechables</t>
  </si>
  <si>
    <t>Camión Compactador 4 m3 - con alza contenedor y camión baranda de 4 m3 para no aprovechables</t>
  </si>
  <si>
    <t>Camión Compactador 4 m3 - con alza contenedor y camión baranda de 8 m3 para no aprovechables</t>
  </si>
  <si>
    <t>Camión Compactador 6 m3 - con alza contenedor y camión baranda de 4 m3 para no aprovechables</t>
  </si>
  <si>
    <t>Camión Compactador 6 m3 - con alza contenedor y camión baranda de 8 m3 para no aprovechables</t>
  </si>
  <si>
    <t>MAYOR A 10 MIL HABITANTES</t>
  </si>
  <si>
    <t>Camión Compactador 6 m3 - sin alza contenedor para no aprovechables</t>
  </si>
  <si>
    <t>Camión Compactador 8 m3 - con alza contenedor para no aprovechables</t>
  </si>
  <si>
    <t>APROVECHABLES</t>
  </si>
  <si>
    <t>Camión Compactador 10 m3 - sin alza contenedor para no aprovechables</t>
  </si>
  <si>
    <t>Camión Compactador 10 m3 - con alza contenedor para no aprovechables</t>
  </si>
  <si>
    <t>Camión Compactador 12 m3 - con alza contenedor para no aprovechables</t>
  </si>
  <si>
    <t>Camión Compactador 12 m3 - sin alza contenedor para no aprovechables</t>
  </si>
  <si>
    <t>Camión Compactador 15 m3 - con alza contenedor para no aprovechables</t>
  </si>
  <si>
    <t>Camión Compactador 15 m3 sin alza contenedor para no aprovechables</t>
  </si>
  <si>
    <t>Camión Compactador 6 y 8 m3 sin alza contenedor para no aprovechables</t>
  </si>
  <si>
    <t>Camión Compactador 6 y 10 m3 sin alza contenedor para no aprovechables</t>
  </si>
  <si>
    <t>Camión Compactador 6 y 12 m3 sin alza contenedor para no aprovechables</t>
  </si>
  <si>
    <t>Camión Compactador 6 y 15 m3 sin alza contenedor para no aprovechables</t>
  </si>
  <si>
    <t>Camión Compactador 8 y 10 m3 sin alza contenedor para no aprovechables</t>
  </si>
  <si>
    <t>Camión Compactador 8 y 12 m3 sin alza contenedor para no aprovechables</t>
  </si>
  <si>
    <t>Camión Compactador 8 y 15 m3 sin alza contenedor para no aprovechables</t>
  </si>
  <si>
    <t>Camión Compactador 10 y 12 m3 sin alza contenedor para no aprovechables</t>
  </si>
  <si>
    <t>Camión Compactador 10 y 15 m3 sin alza contenedor para no aprovechables</t>
  </si>
  <si>
    <t>Camión Compactador 6, 8, y 10 m3 sin alza contenedor para no aprovechables</t>
  </si>
  <si>
    <t>Camión Compactador 6, 8, y 12 m3 sin alza contenedor para no aprovechables</t>
  </si>
  <si>
    <t>Camión Compactador 6, 8, y 15 m3 sin alza contenedor para no aprovechables</t>
  </si>
  <si>
    <t>Camión Compactador 6, 10, y 12 m3 sin alza contenedor para no aprovechables</t>
  </si>
  <si>
    <t>Camión Compactador 6, 10, y 15 m3 sin alza contenedor para no aprovechables</t>
  </si>
  <si>
    <t>Camión Compactador 6, 12, y 15 m3 sin alza contenedor para no aprovechables</t>
  </si>
  <si>
    <t>Camión Compactador 8, 10, y 12 m3 sin alza contenedor para no aprovechables</t>
  </si>
  <si>
    <t>Camión Compactador 8, 12, y 15 m3 sin alza contenedor para no aprovechables</t>
  </si>
  <si>
    <t>Camión Compactador 10, 12, y 15 m3 sin alza contenedor para no aprovechables</t>
  </si>
  <si>
    <t>Camión Compactador 6, 8, 10 y 12 m3 sin alza contenedor para no aprovechables</t>
  </si>
  <si>
    <t>Camión Compactador 6, 8, 10 y 15 m3 sin alza contenedor para no aprovechables</t>
  </si>
  <si>
    <t>Camión Compactador 8, 10, 12 y 15 m3 sin alza contenedor para no aprovechables</t>
  </si>
  <si>
    <t>Camión Compactador 6, 8, 10, 12 y 15 m3 sin alza contenedor para no aprovechables</t>
  </si>
  <si>
    <t>Tecnología</t>
  </si>
  <si>
    <t>Tamaño</t>
  </si>
  <si>
    <t>Descripción Producto /Acciones</t>
  </si>
  <si>
    <t>Minicargador - SEMIMECANIZADO</t>
  </si>
  <si>
    <t>Adquisición kit de herramientas y zacas.</t>
  </si>
  <si>
    <t>Adquisición de balanza electrónica, extintor, mesa de segregación, monta carga manual -  MANUAL (0 - 2 t/día)</t>
  </si>
  <si>
    <t>Adquisición de monta carga - SEMIMECANIZADO (&gt; 4 - 50 t/día).</t>
  </si>
  <si>
    <t>Adquisición de monta carga - MECANIZADO (&gt; 50 t/día)</t>
  </si>
  <si>
    <t>Adquisición de kit de herramientas (picos, lampas, carretilla, rastrillo y trinche) - MANUAL (&gt; 2 - 6 t/día)</t>
  </si>
  <si>
    <t>Adquisición de minicargador -  MANUAL (&gt; 2 - 6 t/día)</t>
  </si>
  <si>
    <t>Adquisición de minicargador - SEMIMECANIZADO (&gt; 6 - 20 t/día)</t>
  </si>
  <si>
    <t xml:space="preserve">Adquisición de kit de herramientas (picos, lampas, carretilla, rastrillo y trinche) - SEMIMECANIZADO </t>
  </si>
  <si>
    <t>Adquisición de kit de herramientas (picos, lampas, carretilla, rastrillo y trinche) - MECANIZADO</t>
  </si>
  <si>
    <t>Desarrollo y difusión de material material informativo y educativo para la población</t>
  </si>
  <si>
    <t>Intangible</t>
  </si>
  <si>
    <t>Elaboración de la organización o modelo de gestión institucional del servicio de limpieza pública que asegure la eficiencia del servicio.</t>
  </si>
  <si>
    <t>Elaboración e implementación de planes de ruta para los procesos de barrido, recolección y transporte.</t>
  </si>
  <si>
    <t>Formulación y/o actualización de normas y sanciones asociadas al Servicio de Limpieza Pública</t>
  </si>
  <si>
    <t>Formulación de Indicadores formatos de registro para cada uno de los procesos del servicio de limpieza pública</t>
  </si>
  <si>
    <t>Formulación de Indicadores y formatos de registro para cada uno de los procesos del servicio de limpieza pública</t>
  </si>
  <si>
    <t>T/día</t>
  </si>
  <si>
    <t>N° de equipos</t>
  </si>
  <si>
    <t>Kit de equipamiento</t>
  </si>
  <si>
    <t xml:space="preserve">Personal </t>
  </si>
  <si>
    <t xml:space="preserve">Equipos </t>
  </si>
  <si>
    <t>Cierre parcial de plataformas del relleno sanitario</t>
  </si>
  <si>
    <t xml:space="preserve">Insumos </t>
  </si>
  <si>
    <t>Reducción de la cantidad puntos críticos de acumulación de residuos sólidos (%)</t>
  </si>
  <si>
    <t xml:space="preserve">Resolución de aprobación del expediente técnico. Informes de valorizaciones, comprobantes de pago y facturas. Documentos de adquisiciones de vehículos, herramientas, equipos. Registro contable de la entidad ejecutora del proyecto. Informes de ejecución de campañas educativas. Liquidación técnico-financiera de las obras. Acta de recepción y transferencia de las obras a los beneficiarios. </t>
  </si>
  <si>
    <t xml:space="preserve">Los recursos son provistos de manera oportuna según cronograma de ejecución </t>
  </si>
  <si>
    <t>m2 de una infraestructura de valorización inorgánica</t>
  </si>
  <si>
    <t>RECURSOS ORDINARIOS</t>
  </si>
  <si>
    <t>RECURSOS DIRECTAMENTE RECAUDADOS</t>
  </si>
  <si>
    <t>DONACIONES Y TRANSFERENCIAS</t>
  </si>
  <si>
    <t>RECURSOS DETERMINADOS</t>
  </si>
  <si>
    <t>Vías Urbanas y espacios públicos con equipamiento para el almacenamiento de residuos sólidos (%)</t>
  </si>
  <si>
    <t>Personal municipal responsable de la operatividad del servicio capacitado (%)</t>
  </si>
  <si>
    <t>Vías Urbanas y espacios públicos libre de residuos sólidos (%)</t>
  </si>
  <si>
    <t>Alta</t>
  </si>
  <si>
    <t>&gt; a 5 años</t>
  </si>
  <si>
    <t>COSTOS PARCIALES</t>
  </si>
  <si>
    <t>BARRIDO MANUAL Y MECANIZADO (MIXTO)</t>
  </si>
  <si>
    <t>Requerimiento Total aunal por operario</t>
  </si>
  <si>
    <t>N° kits requeridos</t>
  </si>
  <si>
    <t>Requerimiento al Año 0</t>
  </si>
  <si>
    <t>Bolsas de 120 lts (millar)</t>
  </si>
  <si>
    <t>Millar</t>
  </si>
  <si>
    <t>documento</t>
  </si>
  <si>
    <t>KIT REQUERIDOS</t>
  </si>
  <si>
    <t>CANTIDAD PARCIAL</t>
  </si>
  <si>
    <t>VEHÍCULO CONVENCIONAL - HASTA 10 MIL HABITANTES</t>
  </si>
  <si>
    <t>VEHÍCULO NO CONVENCIONAL - HASTA 10 MIL HABITANTES</t>
  </si>
  <si>
    <t>VEHÍCULO NO CONVENCIONAL - MAYOR A 10 MIL HABITANTES</t>
  </si>
  <si>
    <t>VEHÍCULO CONVENCIONAL - MAYOR A 10 MIL HABITANTES</t>
  </si>
  <si>
    <t>ii. Maquinaria</t>
  </si>
  <si>
    <t>Minicargador sobre ruedas - SEMIMECANIZADO</t>
  </si>
  <si>
    <t>Minicargador sobre ruedas - MECANIZADO</t>
  </si>
  <si>
    <t>Volteadora mecánica - MECANIZADO</t>
  </si>
  <si>
    <t>Triciclo</t>
  </si>
  <si>
    <t xml:space="preserve">Faja transportadora </t>
  </si>
  <si>
    <t>iiI. Maquinaria</t>
  </si>
  <si>
    <t>iv. Herramientas</t>
  </si>
  <si>
    <t>Mesa de segregación</t>
  </si>
  <si>
    <t>Prensa hidraúlica (Capacidad de operación &gt; 2 - 4 t/día)</t>
  </si>
  <si>
    <t xml:space="preserve"> SEMIMECANIZADA</t>
  </si>
  <si>
    <t>Descripción (SEMIMECANIZADA - MECANIZADA)</t>
  </si>
  <si>
    <t>Meses</t>
  </si>
  <si>
    <t>Bimestres</t>
  </si>
  <si>
    <t>Trimestres</t>
  </si>
  <si>
    <t>Semestres</t>
  </si>
  <si>
    <t>Monta carga  (Solo para SEMIMECANIZADA O MECANIZADA)</t>
  </si>
  <si>
    <t>Requerimiento Total anual</t>
  </si>
  <si>
    <t>Requerimiento Total anual por operario</t>
  </si>
  <si>
    <t>iii. Herramientas</t>
  </si>
  <si>
    <t>iv.Mobiliario</t>
  </si>
  <si>
    <t>iii. Maquinaria</t>
  </si>
  <si>
    <t xml:space="preserve">Descripción </t>
  </si>
  <si>
    <t xml:space="preserve">RELLENO SANITARIO MECANIZADO </t>
  </si>
  <si>
    <t>v.Mobiliario</t>
  </si>
  <si>
    <t>EQUIPOS - MANUAL</t>
  </si>
  <si>
    <t>EQUIPOS - SEMIMECANIZADA</t>
  </si>
  <si>
    <t>EQUIPOS - MECANIZADA</t>
  </si>
  <si>
    <t>MAQUINARIA - MANUAL</t>
  </si>
  <si>
    <t>MAQUINARIA - SEMIMECANIZADA</t>
  </si>
  <si>
    <t>MAQUINARIA - MECANIZADA</t>
  </si>
  <si>
    <t>HERRAMIENTAS - MANUAL</t>
  </si>
  <si>
    <t>HERRAMIENTAS - SEMIMECANIZADA</t>
  </si>
  <si>
    <t>HERRAMIENTAS - MECANIZADA</t>
  </si>
  <si>
    <t>EQUIPOS DE PROTECCIÓN PERSONAL - MANUAL</t>
  </si>
  <si>
    <t>EQUIPOS DE PROTECCIÓN PERSONAL - SEMIMECANIZADA</t>
  </si>
  <si>
    <t>EQUIPOS DE PROTECCIÓN PERSONAL - MECANIZADA</t>
  </si>
  <si>
    <t>TOTAL - EQUIPOS</t>
  </si>
  <si>
    <t>TOTAL - MAQUINARIA</t>
  </si>
  <si>
    <t>TOTAL - HERRAMIENTAS</t>
  </si>
  <si>
    <t>TOTAL - EQUIPOS DE PROTECCIÓN PERSONAL</t>
  </si>
  <si>
    <t>N° de Vehículos</t>
  </si>
  <si>
    <t>Producto /Acciones</t>
  </si>
  <si>
    <t>Espacios Físicos</t>
  </si>
  <si>
    <t>N° de mobiliarios</t>
  </si>
  <si>
    <t>Requerimiento anual
(año 1 - año 3)</t>
  </si>
  <si>
    <t>Requerimiento anual 
(año 4 - año 6)</t>
  </si>
  <si>
    <t>Requerimiento anual 
(año 7 - año 9)</t>
  </si>
  <si>
    <t>Requerimiento anual 
al año 10</t>
  </si>
  <si>
    <t>m2 de una infraestructura de valorización orgánica</t>
  </si>
  <si>
    <t xml:space="preserve">equipos para la valorización de residuos inorgánicos </t>
  </si>
  <si>
    <t>m2 infraestructura de disposición final</t>
  </si>
  <si>
    <t xml:space="preserve">kit de herramientas para el relleno sanitario </t>
  </si>
  <si>
    <t xml:space="preserve">equipos  para el relleno sanitario </t>
  </si>
  <si>
    <t>maquinaria para el relleno sanitario</t>
  </si>
  <si>
    <t xml:space="preserve">kit de mobiliario </t>
  </si>
  <si>
    <t>____</t>
  </si>
  <si>
    <t>Pobladores sensibilizados en el Servicio de Limpieza Publica.</t>
  </si>
  <si>
    <t>Adquisición de extintor, bomba de lixiviados, generador eléctrico - MANUAL</t>
  </si>
  <si>
    <t>Adquisición de extintor, bomba de lixiviados, generador eléctrico - SEMICANIZADO (&gt; 6 - 20 t/día)</t>
  </si>
  <si>
    <t>Adquisición de extintor, bomba de lixiviados, generador eléctrico, balanza - SEMICANIZADO (&gt; 20 - 50 t/día)</t>
  </si>
  <si>
    <t>Adquisición de extintor, bomba de lixiviados, generador eléctrico, balanza - MECANIZADO ( &gt; 50 - 100 t/día)</t>
  </si>
  <si>
    <t>Adquisición de kit de mobiliario ( escritorios, archivador, pizarra, mesa, sillas y cocina)</t>
  </si>
  <si>
    <t>COSTO DE MANTENIMIENTO PARA ALMACENAMIENTO</t>
  </si>
  <si>
    <t>I. MANTENIMIENTO</t>
  </si>
  <si>
    <t>Costo Unitario (S/.)</t>
  </si>
  <si>
    <t>Costo a precios mercado (S/) (año 1 - año 3)</t>
  </si>
  <si>
    <t>Costo a precios mercado (S/) (año 4 - año 6)</t>
  </si>
  <si>
    <t>Costo a precios mercado (S/) (año 7 - año 9)</t>
  </si>
  <si>
    <t>Costo a precios mercado (S/) (año 10)</t>
  </si>
  <si>
    <t>i. Servicios</t>
  </si>
  <si>
    <t>Mantenimiento de papeleras (lavado y pintado)</t>
  </si>
  <si>
    <t>Servicio</t>
  </si>
  <si>
    <t>Mantenimiento de contenedor soterrado (lavado y pintado)</t>
  </si>
  <si>
    <t>Mantenimiento de contenedor superficial (lavado y pintado)</t>
  </si>
  <si>
    <t>COSTO DE OPERACIÓN Y MANTENIMIENTO PARA  BARRIDO</t>
  </si>
  <si>
    <t>I. OPERACIÓN</t>
  </si>
  <si>
    <t>Barrido Manual</t>
  </si>
  <si>
    <t>Barrenderos</t>
  </si>
  <si>
    <t>personal</t>
  </si>
  <si>
    <t>Chofer</t>
  </si>
  <si>
    <t>Conos de seguridad color naranja fosforescente</t>
  </si>
  <si>
    <t>Escobillón de cerda</t>
  </si>
  <si>
    <t>iii. Insumos</t>
  </si>
  <si>
    <t>Bolsas de Polietileno 120L</t>
  </si>
  <si>
    <t>Millares</t>
  </si>
  <si>
    <t>Camisaco con cinta reflexiva</t>
  </si>
  <si>
    <t>Pantalón de drill con cintas reflexivas</t>
  </si>
  <si>
    <t>v. Servicios</t>
  </si>
  <si>
    <t>Alimentación y viáticos</t>
  </si>
  <si>
    <t>II. MANTENIMIENTO</t>
  </si>
  <si>
    <t>i. Insumos</t>
  </si>
  <si>
    <t>ii. Servicios</t>
  </si>
  <si>
    <t>Lavados de  Coches de barrido</t>
  </si>
  <si>
    <t>Barrido Manual y Mecanico</t>
  </si>
  <si>
    <t>Punzón</t>
  </si>
  <si>
    <t>SOAT para (barredora mecánica)</t>
  </si>
  <si>
    <t>vi. Combustibles</t>
  </si>
  <si>
    <t>Petróleo para barredora mecánica</t>
  </si>
  <si>
    <t>Galones</t>
  </si>
  <si>
    <t>Lavado de  barredora mecánica</t>
  </si>
  <si>
    <t>COSTO DE OPERACIÓN Y MANTENIMIENTO PARA RECOLECCIÓN Y TRANSPORTE</t>
  </si>
  <si>
    <t>Operario</t>
  </si>
  <si>
    <t>ii. Equipos y/o herramientas</t>
  </si>
  <si>
    <t>iv.  Equipos de Protección personal ( EPPs ) ayudantes</t>
  </si>
  <si>
    <t>Pantalón con cinta reflexiva</t>
  </si>
  <si>
    <t>v. Equipos de Protección personal ( EPPs ) Choferes</t>
  </si>
  <si>
    <t>vi.  Insumos para vehículo</t>
  </si>
  <si>
    <t>Grasa amarilla (1kg/mes/vehículo)</t>
  </si>
  <si>
    <t>Filtro de petroleo ( 1 und x mes x vehículo)</t>
  </si>
  <si>
    <t>Filtro de aceite ( 1 und x mes x vehículo)</t>
  </si>
  <si>
    <t>vii. Servicios</t>
  </si>
  <si>
    <t>SOAT para vehículos compactadoras</t>
  </si>
  <si>
    <t>SOAT para vehículos barandas</t>
  </si>
  <si>
    <t>SOAT para ( Trimoviles)</t>
  </si>
  <si>
    <t>viii. Combustibles</t>
  </si>
  <si>
    <t>POBLACIÓN MAYOR  A 10 MIL HABITANTES</t>
  </si>
  <si>
    <t>vii Servicios</t>
  </si>
  <si>
    <t xml:space="preserve">ii. Servicios </t>
  </si>
  <si>
    <t>Lavado y Engrase de camiones</t>
  </si>
  <si>
    <t>Lavado y Engrase de vehículos menores</t>
  </si>
  <si>
    <t>Revisión técnica y otros</t>
  </si>
  <si>
    <t xml:space="preserve">iii. Equipos de Protección personal ( EPPs ) </t>
  </si>
  <si>
    <t>Camisaco con cinta refrexiva</t>
  </si>
  <si>
    <t>Chalecos con cinta reflexiva</t>
  </si>
  <si>
    <t>iv. Insumos</t>
  </si>
  <si>
    <t>Calibración de Balanzas</t>
  </si>
  <si>
    <t>Servicio de agua y desague</t>
  </si>
  <si>
    <t>servicio</t>
  </si>
  <si>
    <t>Servicio eléctrico</t>
  </si>
  <si>
    <t>vi. Servicios</t>
  </si>
  <si>
    <t>vii. Combustibles</t>
  </si>
  <si>
    <t>Lavado y Engrase de minicargador</t>
  </si>
  <si>
    <t>Escoba de paja</t>
  </si>
  <si>
    <t>Bolsas de rafia de 1 m3 (Zacas)</t>
  </si>
  <si>
    <t xml:space="preserve">vi.  Insumos </t>
  </si>
  <si>
    <t>Grasa amarilla (1kg/3 meses) prensa hidraulica</t>
  </si>
  <si>
    <t>Grasa amarilla (1kg/3 meses) montacarga manual</t>
  </si>
  <si>
    <t>Grasa amarilla (1kg/3 meses/ minicargador)</t>
  </si>
  <si>
    <t>Filtro de aire (primario y secundario) minicargador</t>
  </si>
  <si>
    <t>iii. Equipos de Protección personal ( EPPs ) Operarios de Relleno</t>
  </si>
  <si>
    <t xml:space="preserve">Poncho </t>
  </si>
  <si>
    <t>iv. Combustible</t>
  </si>
  <si>
    <t>Combustible para maquinarias</t>
  </si>
  <si>
    <t>Filtro de aceite ( 1 und x 6 meses x vehículo minicargador)</t>
  </si>
  <si>
    <t>Filtro hidráulico minicargador</t>
  </si>
  <si>
    <t>vii. Servicios (Monitoreos Ambientales)</t>
  </si>
  <si>
    <t>viii. Servicios (Medidas de mitigación ambiental)</t>
  </si>
  <si>
    <t>Sistema de control ambiental y sanitario</t>
  </si>
  <si>
    <t>Riego para minimizar las partículas suspendidas</t>
  </si>
  <si>
    <t xml:space="preserve">SOAT para vehículos </t>
  </si>
  <si>
    <t>COSTOS DE OPERACIÓN Y MANTENIMIENTO
 (S/.)</t>
  </si>
  <si>
    <t>TOTAL DE ETAPA FUNCIONAMIENTO</t>
  </si>
  <si>
    <t>Pintado y engrasado de lockers</t>
  </si>
  <si>
    <t>Choferes (barredora mecánica)</t>
  </si>
  <si>
    <t>Lavado de Lockers</t>
  </si>
  <si>
    <t>POBLACIÓN HASTA 10 MIL HABITANTES</t>
  </si>
  <si>
    <t xml:space="preserve">REINVERSIÓN PARA EL SERVICIO DE ALMACENAMIENTO </t>
  </si>
  <si>
    <t>Requerimiento 
(año 3)</t>
  </si>
  <si>
    <t>Requerimiento 
(año 6)</t>
  </si>
  <si>
    <t>Requerimiento
(año 9)</t>
  </si>
  <si>
    <t>Costo a precios mercado (S/) (año 3)</t>
  </si>
  <si>
    <t>Costo a precios mercado (S/) ( año 6)</t>
  </si>
  <si>
    <t>Costo a precios mercado (S/) (año 9)</t>
  </si>
  <si>
    <t>Adquisición de papeleras  de 50 lt con instalación</t>
  </si>
  <si>
    <t>Adquisición de Contenedores soterrados</t>
  </si>
  <si>
    <t>REINVERSIÓN PARA EL SERVICIO DE BARRIDO</t>
  </si>
  <si>
    <t xml:space="preserve">Adquisición de Coches de barrido </t>
  </si>
  <si>
    <t>REINVERSIÓN PARA EL SERVICIO DE RECOLECCIÓN</t>
  </si>
  <si>
    <t>REINVERSIÓN PARA LA VALORIZACIÓN DE LOS RESIDUOS SÓLIDOS</t>
  </si>
  <si>
    <t>Adquisición de bomba de lixiviado</t>
  </si>
  <si>
    <t>REINVERSIÓN PARA LA DISPOSICIÓN FINAL</t>
  </si>
  <si>
    <t>Disposición final</t>
  </si>
  <si>
    <t>Obra</t>
  </si>
  <si>
    <t>TIPO  DE INFRAESTRUCTURA</t>
  </si>
  <si>
    <t>Mayor de 6 - 50 t/día</t>
  </si>
  <si>
    <t xml:space="preserve">DESCRIPCION </t>
  </si>
  <si>
    <t>TOTAL EN INFRAESTRUCTURA</t>
  </si>
  <si>
    <t>Construccion de Infraestructuras</t>
  </si>
  <si>
    <t>ESTUDIOS BÁSICOS EN LOS PROYECTOS DE LIMPIEZA PÚBLICA</t>
  </si>
  <si>
    <t>Costo parcial (S/)</t>
  </si>
  <si>
    <t>Costo Total (S/)</t>
  </si>
  <si>
    <t>Recolección convencional</t>
  </si>
  <si>
    <t>Recolección NO convencional</t>
  </si>
  <si>
    <t>Otro</t>
  </si>
  <si>
    <t>RECOLECCION DE RESIDUOS SÓLIDOS APROVECHABLES</t>
  </si>
  <si>
    <t>Recolección no convencional</t>
  </si>
  <si>
    <t>REINVERSIÓN PARA LA GESTIÓN MUNICIPAL</t>
  </si>
  <si>
    <t>MEDIDAS DE MITIGACIÓN DE RIESGOS ANTE DESASTRES NATURALES</t>
  </si>
  <si>
    <t>03.03.06</t>
  </si>
  <si>
    <t>03.03.06.01</t>
  </si>
  <si>
    <t>03.03.06.02</t>
  </si>
  <si>
    <t>Construcción de celda o plataforma para relleno sanitario</t>
  </si>
  <si>
    <t>GESTIÓN</t>
  </si>
  <si>
    <t>TOTAL DE REINVERSIONES (S/.)</t>
  </si>
  <si>
    <t>RESUMEN DE LAS REINVERSIONES A PRECIOS DE MERCADO</t>
  </si>
  <si>
    <t>FLUJO DE LAS REINVERSIONES A PRECIOS SOCIALES</t>
  </si>
  <si>
    <t>RESUMEN DE LAS REINVERSIONES A PRECIOS SOCIALES</t>
  </si>
  <si>
    <t>FLUJO DE LAS REINVERSIONES A PRECIOS DE MERCADO</t>
  </si>
  <si>
    <t>REQUERIMIENTOS TÉCNICOS PARA LA FASE DE EJECUCIÓN</t>
  </si>
  <si>
    <t>Certificación ambiental</t>
  </si>
  <si>
    <t xml:space="preserve">Trámite ante la Dirección Desconcentrada de Cultura </t>
  </si>
  <si>
    <t>Saneamiento físico legal</t>
  </si>
  <si>
    <t>Especialista mecánico</t>
  </si>
  <si>
    <t>De contemplarse la adquisición de maquinarias pesadas deberá consignarse la contratación de un especialista en mecánica.</t>
  </si>
  <si>
    <t>Factibilidad de suministro eléctrico</t>
  </si>
  <si>
    <t>De contemplarse suministro eléctrico para el funcionamiento de los equipos eléctricos/electromecánicos deberá solicitarse ante el concesionario correspondiente la factibilidad de suministro eléctrico, elaborándose un estudio de factibilidad eléctrica.</t>
  </si>
  <si>
    <t>De existir un sistema de agua y desague existente a las infraestructuras proyectadas, deberá evaluarse la opción de solicitar la factibilidad del servicio de agua y desague, para el cual deberá elaborarse un estudio de factibilidad y ser presentado al concesionario.</t>
  </si>
  <si>
    <t>Informe sobre el mercado disponible para la transacción y utilización de compost y materiales reusables</t>
  </si>
  <si>
    <t>Este estudio permitirá conocer las posibilidades de utilización y/o venta de materiales que se obtengan de las plantas de aprovechamiento.</t>
  </si>
  <si>
    <t>Especialista Eléctrico</t>
  </si>
  <si>
    <t>De contemplarse la implementación de una estación eléctrica para el funcionamiento de equipos electromecánicos deberá consignarse la contratación de un especialista eléctrico.</t>
  </si>
  <si>
    <t>Especialista Electromecánico</t>
  </si>
  <si>
    <t>De contemplarse la implementación infraestructura metálica debe consignarse la contratación de un especialista en la parte electromecánica.</t>
  </si>
  <si>
    <t>Especialista en estudios geohidrológicos</t>
  </si>
  <si>
    <t>Debe elaborarse los estudios básicos para las infraestructuras proyectadas.</t>
  </si>
  <si>
    <t>PARCIALMENTE</t>
  </si>
  <si>
    <t>Reinversiones (Obra)</t>
  </si>
  <si>
    <t>CRITERIOS TÉCNICOS POR PROCESOS</t>
  </si>
  <si>
    <t>COSTO DE LIQUIDACIÓN DEL PROYECTO</t>
  </si>
  <si>
    <t>COSTO DE SUPERVISIÓN DEL PROYECTO</t>
  </si>
  <si>
    <t>PERSONAL DE DIRECCIÓN DE  LIQUIDACIÓN</t>
  </si>
  <si>
    <t>B. Almacenamiento en espacios públicos de alta afluencia peatonal (operativas)</t>
  </si>
  <si>
    <t xml:space="preserve">COSTO DE OPERACIÓN Y MANTENIMIENTO PARA DISPOSICIÓN FINAL </t>
  </si>
  <si>
    <t>v.  Insumos para vehículos</t>
  </si>
  <si>
    <t xml:space="preserve">Aceite de motor </t>
  </si>
  <si>
    <t xml:space="preserve">Aceite de caja </t>
  </si>
  <si>
    <t xml:space="preserve">Aceite de trasmisión </t>
  </si>
  <si>
    <t>Total de residuos inorgánicos generados (Tn/día)</t>
  </si>
  <si>
    <t>Total de residuos orgánicos generados (Tn/día)</t>
  </si>
  <si>
    <t>Supervisor</t>
  </si>
  <si>
    <t>Asistente</t>
  </si>
  <si>
    <t>ii. Combustible</t>
  </si>
  <si>
    <t>iii. Servicios</t>
  </si>
  <si>
    <t>PROBLEMA CENTRAL , CAUSAS Y EFECTOS</t>
  </si>
  <si>
    <t>PROBLEMA CENTRAL</t>
  </si>
  <si>
    <t>REQUERIMIENTOS TÉCNICOS PARA LA EJECUCIÓN</t>
  </si>
  <si>
    <t>EFECTO FINAL</t>
  </si>
  <si>
    <t>COOPERANTE</t>
  </si>
  <si>
    <t>OPONENTE</t>
  </si>
  <si>
    <t>PERJUDICADO</t>
  </si>
  <si>
    <t>BENEFICIARIO</t>
  </si>
  <si>
    <t>Proliferación de vectores y roedores.</t>
  </si>
  <si>
    <t>GENERACIÓN</t>
  </si>
  <si>
    <t>GESTIÓN MUNICIPAL</t>
  </si>
  <si>
    <t>SELECCIÓN DEL ÁREA DEL PROYECTO</t>
  </si>
  <si>
    <t>ESTUDIO DE CARACTERIZACIÓN</t>
  </si>
  <si>
    <t>ESTUDIO TOPOGRÁFICO</t>
  </si>
  <si>
    <t>ESTUDIO GEOFÍSICO</t>
  </si>
  <si>
    <t>ESTUDIO DE SUELOS</t>
  </si>
  <si>
    <t>CERTIFICACIÓN AMBIENTAL</t>
  </si>
  <si>
    <t>LICENCIA DE FUNCIONAMIENTO</t>
  </si>
  <si>
    <t xml:space="preserve">TRÁMITE ANTE LA DIRECCIÓN DESCONCENTRADA DE CULTURA </t>
  </si>
  <si>
    <t>FACTIBILIDAD DE SUMINISTRO ELÉCTRICO</t>
  </si>
  <si>
    <t>FACTIBILIDAD DEL SERVICIO DE AGUA Y DESAGUE</t>
  </si>
  <si>
    <t>INFORME SOBRE EL MERCADO DISPONIBLE PARA LA TRANSACCIÓN Y UTILIZACIÓN DE COMPOST Y MATERIALES REUSABLES</t>
  </si>
  <si>
    <t>ESTUDIOS BÁSICOS (ANÁLISIS AMBIENTAL, SONDAJE ELÉCTRICO VERTICAL, VULNERABILIDAD, GEOLÓGICO/GEOTÉCNICO, MECÁNICA DE SUELOS, TOPOGRAFÍA)</t>
  </si>
  <si>
    <t>PORCENTAJE DE POBLACIÓN QUE NO ACCEDE A UN ADECUADO SERVICIO DE LIMPIEZA PÚBLICA</t>
  </si>
  <si>
    <t xml:space="preserve">SERVICIO PÚBLICO CON BRECHA IDENTIFICADA Y PRIORIZADA: </t>
  </si>
  <si>
    <t>INDICADOR DE PRODUCTO ASOCIADO A LA BRECHA DEL SERVICIO:</t>
  </si>
  <si>
    <t>SI LA UNIDAD FORMULADORA ES UN GOBIERNO REGIONAL O SECTOR DETALLAR LO SIGUIENTE:</t>
  </si>
  <si>
    <t xml:space="preserve">Nº DE CONVENIO SUSCRITO CON EL GOBIERNO LOCAL COMPETENTE: </t>
  </si>
  <si>
    <t>INFORMACIÓN SOCIOECÓNOMICA E INDICADORES</t>
  </si>
  <si>
    <t>POBLACIÓN TOTAL (BENEFICIARIA DIRECTA)</t>
  </si>
  <si>
    <t>N° TOTAL DE VIVIENDAS (UNIDADES)</t>
  </si>
  <si>
    <t>DENSIDAD POBLACIONAL (HABITANTES / VIVIENDA)</t>
  </si>
  <si>
    <t>TASA DE CRECIMIENTO POBLACIONAL (%)</t>
  </si>
  <si>
    <t>INGRESO PROMEDIO (S/FAMILIA/MES)</t>
  </si>
  <si>
    <t>LIMPIEZA PÚBLICA</t>
  </si>
  <si>
    <t>SERVICIO DE SANEAMIENTO BÁSICO</t>
  </si>
  <si>
    <t>COSTO DEL SERVICIO DE AGUA POTABLE (SOLES / MES)</t>
  </si>
  <si>
    <t>COSTO DEL SERVICIO DE DESAGÜE O ALCANTARILLADO (SOLES / MES)</t>
  </si>
  <si>
    <t>COSTO DEL SERVICIO DE ENERGÍA (SOLES / MES)</t>
  </si>
  <si>
    <t>TARIFA POR EL SERVICIO DE LIMPIEZA PÚBLICA (SOLES/MES)</t>
  </si>
  <si>
    <t>PRINCIPALES CARACTERÍSTICAS DE LA GESTIÓN Y MANEJO DEL SERVICIO DE LIMPIEZA PÚBLICA</t>
  </si>
  <si>
    <t>GENERACIÓN PER CÁPITA (KG/HAB/DÍA) DOMICILIARIA</t>
  </si>
  <si>
    <t>GENERACIÓN DE RESIDUOS SÓLIDOS DOMICILIARIOS (T/DÍA)</t>
  </si>
  <si>
    <t>GENERACIÓN DE RESIDUOS SÓLIDOS NO DOMICILIARIOS (T/DÍA)</t>
  </si>
  <si>
    <t>GENERACIÓN TOTAL DE RESIDUOS SÓLIDOS MUNICIPALES (T/DÍA)</t>
  </si>
  <si>
    <t>CANTIDAD DE EQUIPAMIENTO (PAPELERAS) DISPUESTOS PARA EL ALMACENAMIENTO EN VÍAS URBANAS Y ESPACIOS PÚBLICOS  (ACTUAL)</t>
  </si>
  <si>
    <t xml:space="preserve">CANTIDAD DE RESIDUOS SOLIDOS ALMACENADOS (T/DÍA) VÍAS URBANAS Y ESPACIOS PÚBLICOS </t>
  </si>
  <si>
    <t>CANTIDAD DE RESIDUOS SÓLIDOS BARRIDOS (T/DÍA)</t>
  </si>
  <si>
    <t>RENDIMIENTO DE BARRIDO (KM/BARREDOR/DÍA)</t>
  </si>
  <si>
    <t>PORCENTAJE DE COBERTURA</t>
  </si>
  <si>
    <t>CANTIDAD DE RESIDUOS SÓLIDOS ORGÁNICOS QUE SE APROVECHAN (TN/DÍA)</t>
  </si>
  <si>
    <t>CANTIDAD DE RESIDUOS SÓLIDOS INORGÁNICOS QUE SE APROVECHAN (TN/DÍA)</t>
  </si>
  <si>
    <t>PORCENTAJE DE RESIDUOS ORGÁNICOS APROVECHADOS ACTUALMENTE</t>
  </si>
  <si>
    <t>PORCENTAJE DE RESIDUOS INORGÁNICOS APROVECHADOS ACTUALMENTE</t>
  </si>
  <si>
    <t>NÚMERO DE SITIOS ACTIVOS DONDE SE DISPONEN ACTUALMENTE LOS RESIDUOS SÓLIDOS</t>
  </si>
  <si>
    <t>ÁREA DEGRADADA</t>
  </si>
  <si>
    <t>NÚMERO DE SERVIDORES PÚBLICOS ENCARGADOS DE LA GESTIÓN DEL SERVICIO DE LIMPIEZA</t>
  </si>
  <si>
    <t>NÚMERO DE OPERARIOS DE TODO EL SERVICIO DE LIMPIEZA PÚBLICA</t>
  </si>
  <si>
    <t>NÚMERO ACTIVIDADES(*) DE EDUCACIÓN Y CIUDADANÍA AMBIENTAL EJECUTADAS ANUALMENTE POR EL MUNICIPIO</t>
  </si>
  <si>
    <t>NIVEL DE MOROSIDAD (%) EN EL PAGO DE LOS ARBITRIOS DEL SERVICIO DE LIMPIEZA PÚBLICA</t>
  </si>
  <si>
    <t>PAPELERAS  (T/DIA)</t>
  </si>
  <si>
    <t>CONTENEDORES</t>
  </si>
  <si>
    <t>SUPERFICIALES</t>
  </si>
  <si>
    <t>SOTERRADOS</t>
  </si>
  <si>
    <t>COCHES DE BARRIDO</t>
  </si>
  <si>
    <t>BARREDORA MECÁNICA</t>
  </si>
  <si>
    <t>PLANTA DE APROVECHAMIENTO ORGÁNICO (INFRAESTRUCTURA) (T/DIA)</t>
  </si>
  <si>
    <t>PLANTA DE APROVECHAMIENTO INORGÁNICO (INFRAESTRUCTURA) (T/DIA)</t>
  </si>
  <si>
    <t>RELLENO SANITARIO (T/DIA)</t>
  </si>
  <si>
    <t>INDICADORES DE LA SITUACIÓN ACTUAL</t>
  </si>
  <si>
    <t>POBLACIÓN ATENDIDA POR EL SERVICIO DE LIMPIEZA PÚBLICA</t>
  </si>
  <si>
    <t>TON/DÍA RECOLECTADA Y TRANSPORTADA</t>
  </si>
  <si>
    <t>TON/DÍA DISPUESTAS AL RELLENO SANITARIO</t>
  </si>
  <si>
    <t xml:space="preserve"> POBLACIÓN AFECTADA Y OBJETIVO</t>
  </si>
  <si>
    <t>OBJETIVO CENTRAL</t>
  </si>
  <si>
    <t>INDICADORES DE OBJETIVO</t>
  </si>
  <si>
    <t>3.2.2 ESTIMACIÓN DE LA BRECHA SERVICIOS</t>
  </si>
  <si>
    <t>3.5.1 COSTOS DE INVERSIÓN</t>
  </si>
  <si>
    <t>3.5.2 CRONOGRAMA DE EJECUCIÓN FINANCIERA</t>
  </si>
  <si>
    <t>FECHA PREVISTA DE INICIO DE EJECUCIÓN (MES/AÑO)</t>
  </si>
  <si>
    <t>REPOSICIÓN</t>
  </si>
  <si>
    <t>FECHA PREVISTA DE INICIO DE OPERACIONES (MES/AÑO)</t>
  </si>
  <si>
    <t>PRECIOS DE MERCADO</t>
  </si>
  <si>
    <t>COSTO O&amp;M SIN PROYECTO</t>
  </si>
  <si>
    <t>COSTOS POST INVERSIÓN</t>
  </si>
  <si>
    <t>TIPO</t>
  </si>
  <si>
    <t>COSTO / EFICACIA</t>
  </si>
  <si>
    <t>VALOR ACTUAL DE LOS COSTOS (VAC)</t>
  </si>
  <si>
    <t>DOCUMENTOS QUE SUSTENTAN LOS ACUERDOS INSTITUCIONALES U OTROS QUE GARANTIZAN EL FINANCIAMIENTO DE LOS GASTOS DE OPERACIÓN Y MANTENIMIENTO</t>
  </si>
  <si>
    <t>DOCUMENTO</t>
  </si>
  <si>
    <t>ENTIDAD / ORGANIZACIÓN</t>
  </si>
  <si>
    <t>COMPROMISO</t>
  </si>
  <si>
    <t>DURANTE LA EJECUCIÓN</t>
  </si>
  <si>
    <t>DURANTE EL FUNCIONAMIENTO</t>
  </si>
  <si>
    <t>2.7</t>
  </si>
  <si>
    <t>3.5.3 CRONOGRAMA DE EJECUCIÓN FÍSICA</t>
  </si>
  <si>
    <t>3.5.4 INVERSIÓN POR REPOSICIÓN Y REINVERSIONES</t>
  </si>
  <si>
    <t xml:space="preserve">3.5.5 COSTOS DE OPERACIÓN Y MANTENIMIENTO CON Y SIN PROYECTO </t>
  </si>
  <si>
    <t>3.5.6 FLUJO DE INVERSIONES</t>
  </si>
  <si>
    <t>3.7.1  ÁREA TÉCNICA Y RESPONSABLE A CARGO DE LA OPERACIÓN Y MANTENIMIENTO DEL PROYECTO</t>
  </si>
  <si>
    <t>3,7.2 ¿ES LA UNIDAD EJECUTORA DE INVERSIONES LA RESPONSABLE DE LA OPERACIÓN Y MANTENIMIENTO DEL PROYECTO DE INVERSIÓN CON CARGO A SU PRESUPUESTO INSTITUCIONAL?</t>
  </si>
  <si>
    <t>3.7.3  GESTIÓN DE RIESGO</t>
  </si>
  <si>
    <t>3.9</t>
  </si>
  <si>
    <t>3.10. MATRIZ DE MARCO LÓGICO</t>
  </si>
  <si>
    <t>Unidades de equipamiento</t>
  </si>
  <si>
    <t>informe</t>
  </si>
  <si>
    <t>Nota: Estado en la situación "malo" no se considera como oferta en el proyecto, estado en la situación "regular" y "bueno" se considera como oferta en el proyecto</t>
  </si>
  <si>
    <t>Distancia promedio recorrida por vehículo / por dia de recoleccíón (km)</t>
  </si>
  <si>
    <t>Distancia promedio recorrida por vehículo al relleno sanitario / por dia (km)</t>
  </si>
  <si>
    <t>Distancia total recorrida (km)</t>
  </si>
  <si>
    <t>(Nota: Distribuir el COSTO ESTIMADO DE LA INVERSIÓN en los periodos que correspondan)</t>
  </si>
  <si>
    <t>N° mobiliarios</t>
  </si>
  <si>
    <t xml:space="preserve">Camión Baranda </t>
  </si>
  <si>
    <t>B) ESTIMACION DE LA OFERTA OPTIMIZADA DEL SERVICIO DE LIMPIEZA PÚBLICA</t>
  </si>
  <si>
    <t>TECNOLOGÍA</t>
  </si>
  <si>
    <t>PRESUPUESTO ANUAL PROGRAMADO PARA LA OPERACIÓN Y MANTENIMIENTO DEL SERVICIO DE LIMPIEZA PÚBLICA (S/)</t>
  </si>
  <si>
    <t>COSTO ANUAL DE LA OPERACIÓN Y MANTENIMIENTO DEL SERVICIO DE LIMPIEZA PÚBLICA (S/)</t>
  </si>
  <si>
    <t>CANTIDAD DE RESIDUOS SÓLIDOS DISPUESTOS EN PUNTOS CRÍTICOS (TN/DIA)</t>
  </si>
  <si>
    <t>TASA DE DESCUENTO SOCIAL (%)</t>
  </si>
  <si>
    <t>OTROS</t>
  </si>
  <si>
    <t>Trimóvil</t>
  </si>
  <si>
    <t>Inadecuado equipamiento para el almacenamiento en vías urbanas y áreas públicas</t>
  </si>
  <si>
    <t>Inadecuado equipamiento para el barrido de vías urbanas y áreas públicas</t>
  </si>
  <si>
    <t>Inadecuado equipamiento para la recolección y transporte</t>
  </si>
  <si>
    <t>Inadecuados vehículos para la recolección y transporte de residuos sólidos no aprovechables</t>
  </si>
  <si>
    <t>Inadecuados vehículos para la recolección y transporte de residuos sólidos aprovechables</t>
  </si>
  <si>
    <t>Inadecuada infraestructura para aprovechamiento de residuos sólidos INORGÁNICOS</t>
  </si>
  <si>
    <t>Inadecuado equipamiento para el aprovechamiento de residuos sólidos INORGÁNICOS</t>
  </si>
  <si>
    <t>Inadecuada infraestructura para la disposición final de residuos sólidos</t>
  </si>
  <si>
    <t xml:space="preserve">Inadecuado equipamiento para la disposición final de residuos sólidos </t>
  </si>
  <si>
    <t>Inadecuada supervisión del Servicio de Limpieza Pública</t>
  </si>
  <si>
    <t>Inadecuada participación de la ciudadana para el manejo de residuos sólidos</t>
  </si>
  <si>
    <t>Inadecuado almacenamiento en vías urbanas y áreas públicas</t>
  </si>
  <si>
    <t>Inadecuado barrido de vías urbanas y áreas públicas</t>
  </si>
  <si>
    <t>Inadecuada valorización de los residuos sólidos</t>
  </si>
  <si>
    <t>Inadecuada educación y cultura ambiental de la población</t>
  </si>
  <si>
    <t>Adecuado almacenamiento en vías urbanas y áreas públicas</t>
  </si>
  <si>
    <t>Adecuado barrido de vías urbanas y áreas públicas</t>
  </si>
  <si>
    <t>Adquisición de equipos para el barrido manual</t>
  </si>
  <si>
    <t xml:space="preserve">Adquisición de equipos para el barrido manual y mecanizado </t>
  </si>
  <si>
    <t>Adquisición de herramientas e insumos para el barrido</t>
  </si>
  <si>
    <t>Adecuado equipamiento para la recolección y transporte</t>
  </si>
  <si>
    <t>Adquisición de herramientas para la recolección y transporte</t>
  </si>
  <si>
    <t>Adecuados vehículos para la recolección y transporte de residuos sólidos NO aprovechables</t>
  </si>
  <si>
    <t>Adecuados vehículos para la recolección y transporte de residuos sólidos aprovechables</t>
  </si>
  <si>
    <t>Adecuada valorización de los residuos sólidos</t>
  </si>
  <si>
    <t>Adecuada infraestructura para la valorización de residuos sólidos ORGÁNICOS</t>
  </si>
  <si>
    <t>Construcción de una infraestructura de valorización orgánica</t>
  </si>
  <si>
    <t>Adecuado equipamiento para la valorización de residuos solidos ORGÁNICOS</t>
  </si>
  <si>
    <t>Adecuada infraestructura para aprovechamiento de residuos sólidos INORGÁNICOS</t>
  </si>
  <si>
    <t>Construcción de una infraestructura de valorización inorgánica</t>
  </si>
  <si>
    <t>Adecuado equipamiento para el aprovechamiento de residuos sólidos INORGÁNICOS</t>
  </si>
  <si>
    <t xml:space="preserve">Adquisición de equipos para la valorización de residuos inorgánicos </t>
  </si>
  <si>
    <t>Adecuada infraestructura para la disposición final de residuos sólidos</t>
  </si>
  <si>
    <t>Construcción de infraestructura de disposición final</t>
  </si>
  <si>
    <t xml:space="preserve">Adecuado equipamiento para la disposición final de residuos sólidos </t>
  </si>
  <si>
    <t xml:space="preserve">Adquisición de herramientas para el relleno sanitario </t>
  </si>
  <si>
    <t xml:space="preserve">Adquisición de equipos  para el relleno sanitario </t>
  </si>
  <si>
    <t xml:space="preserve">Adquisición de mobiliario </t>
  </si>
  <si>
    <t>Adquisición de maquinaria para el relleno sanitario</t>
  </si>
  <si>
    <t>Suficientes capacidades del área encargada para brindar el Servicio de Limpieza Pública</t>
  </si>
  <si>
    <t>Formulación e implementación de instrumentos técnicos y operativos para la prestación del Servicio de Limpieza Pública</t>
  </si>
  <si>
    <t>Implementación de un programa de costeo del servicio</t>
  </si>
  <si>
    <t>Adecuada supervisión del Servicio de Limpieza Pública</t>
  </si>
  <si>
    <t>Adecuada educación y cultura ambiental de la población</t>
  </si>
  <si>
    <t>Adecuada participación de la ciudadana para el manejo de residuos sólidos</t>
  </si>
  <si>
    <t>Desarrollo de un programa de participación ciudadana para la mejora del manejo de los residuos sólidos a nivel local</t>
  </si>
  <si>
    <t>Desarrollo de un programa de participación escolar para la mejora del manejo de los residuos sólidos a nivel local</t>
  </si>
  <si>
    <t>Adquisición de coches de barrido de 240 lts y casilleros metálicos - BARRIDO MANUAL</t>
  </si>
  <si>
    <t>Adquisición de coches de barrido de 240 lts, casilleros metálicos, barredora mecanizada pequeña - BARRIDO MIXTO</t>
  </si>
  <si>
    <t>Adquisición de coches de barrido de 240 lts, casilleros metálicos, barredora mecanizada mediana - BARRIDO MIXTO</t>
  </si>
  <si>
    <t>Adquisición de coches de barrido de 240 lts, casilleros metálicos, barredora mecanizada grande -BARRIDO MIXTO</t>
  </si>
  <si>
    <t>Adecuados vehículos para la recolección y transporte de residuos sólidos no aprovechables</t>
  </si>
  <si>
    <t>Trimóvil y triciclo</t>
  </si>
  <si>
    <t>Adquisición de vehículos NO CONVENCIONALES para la recolección y transporte de residuos sólidos aprovechables</t>
  </si>
  <si>
    <t>Adquisición de vehículos CONVENCIONALES para la recolección y transporte de residuos sólidos NO aprovechables</t>
  </si>
  <si>
    <t>Construcción de una planta MANUAL de compostaje</t>
  </si>
  <si>
    <t>Construcción de una planta SEMIMECANIZADA de compostaje</t>
  </si>
  <si>
    <t>Construcción de una planta MECANIZADA de compostaje</t>
  </si>
  <si>
    <t>Adquisición de kit de aprovechamiento orgánico (trinche, carretillas,lampas,zarandas, costalillos)</t>
  </si>
  <si>
    <t>Construcción de un Centro de acopio MANUAL dentro del relleno</t>
  </si>
  <si>
    <t>Construcción de un Centro de acopio MANUAL fuera del relleno</t>
  </si>
  <si>
    <t>Construcción de un Centro de acopio SEMICANIZADO dentro del relleno</t>
  </si>
  <si>
    <t>Construcción de un Centro de acopio SEMICANIZADO fuera del relleno</t>
  </si>
  <si>
    <t>Construcción de un Centro de acopio MECANIZADO dentro del relleno</t>
  </si>
  <si>
    <t>Construcción de un Centro de acopio MECANIZADO fuera del relleno</t>
  </si>
  <si>
    <t>Adquisición de maquinaria para la valorización  de residuos inorgánicos</t>
  </si>
  <si>
    <t>Formación de promotores ambientales comunitarios para la prevención de la generación de puntos críticos y el aprovechamiento de residuos sólidos</t>
  </si>
  <si>
    <t>Realización de feria de Intercambio de experiencias demostrativas para el manejo de residuos sólidos en instituciones educativas.</t>
  </si>
  <si>
    <t>RECURSOS POR OPERACIONES OFICIALES DE CRÉDITO</t>
  </si>
  <si>
    <t>maquinaria para la valorización  de residuos inorgánicos</t>
  </si>
  <si>
    <t>kit de equipos de protección del personal de valorización de residuos inorgánico</t>
  </si>
  <si>
    <t>kit equipos de protección personal para el personal de la disposición final</t>
  </si>
  <si>
    <t>Personas capacitadas en la municipalidad para la prestación del Servicio de Limpieza Publica.</t>
  </si>
  <si>
    <t>Instrumentos técnicos, normativos y financieros formulados</t>
  </si>
  <si>
    <t>Presencia de recicladores desarrollando actividades de segregación en el botadero</t>
  </si>
  <si>
    <t>tonelada/día</t>
  </si>
  <si>
    <t>Tonelada/día</t>
  </si>
  <si>
    <t>Adquisición de kit de barrido MANUAL (conos de seguridad,escoba de paja, escobillón de cerda, escoba metálica, recogedor metálico, bolsas de 120 lts, punzón).</t>
  </si>
  <si>
    <t>Adquisición de kit de seguridad (Camisaco, pantalón, polo, gorro, poncho, guante, mascarilla, zapatillas, mochila y botas de jebe).</t>
  </si>
  <si>
    <t>Adquisición de kit de seguridad (camisaco, pantalón, polos,gorro, casco, poncho, lentes, guantes, mascarilla, filtros, botín, fajas y chalecos).</t>
  </si>
  <si>
    <t>Construcción del relleno sanitario SEMIMECANIZADO</t>
  </si>
  <si>
    <t>Adquisición de kit de herramientas (picos, lampas, carretilla, rastrillo y trinche y rodillo de compactación) -MANUAL (0 - 2 t/día)</t>
  </si>
  <si>
    <t>Elaboración de los manuales de operación y mantenimiento de los procesos de almacenamiento, barrido, recolección y transporte, valorización y disposición final de los residuos sólidos</t>
  </si>
  <si>
    <t>Desarrollo de material educativo e implementación de talleres de capacitación y asistencia técnica al personal administrativo, técnico y operativo vinculado al Servicio de Limpieza Publica.</t>
  </si>
  <si>
    <t>Desarrollo e Implementación de un sistema contable por centros de costos para control de presupuestos  y actividades del  servicio de  limpieza  pública.(Incluye capacitación en el sistema).</t>
  </si>
  <si>
    <t>Desarrollo e Implementación de un sistema de costeo del servicio (incluye estructura de costos, base de datos de contribuyentes y determinación de arbitrios y cobranza y capacitación en el sistema).</t>
  </si>
  <si>
    <t>Elaboración de carteles educativos y difusión en medios locales con mensajes orientados a afianzar los horarios de recolección, prevención de puntos críticos, consumo responsable y cultura de pago, considerando el contexto local y las campañas nacionales del Ministerio del Ambiente</t>
  </si>
  <si>
    <t>Unidad Física</t>
  </si>
  <si>
    <t>Ejecución Física</t>
  </si>
  <si>
    <t>0 - 2 t/día</t>
  </si>
  <si>
    <t>Población hasta 10 mil habitantes</t>
  </si>
  <si>
    <t>Volquete de 6 m3.   (Generación &gt; 50 - 100 t/día )</t>
  </si>
  <si>
    <t>Volquete de 8 m3.  (Generación  &gt; 100 - 200 t/día )</t>
  </si>
  <si>
    <t>Volquete de 12 m3.  (Generación  &gt;  200 t/día )</t>
  </si>
  <si>
    <t>Compactador con ruedas de acero y patas de cabra (16-24Tn) - (Generación  &gt; 50 - 200 t/día )</t>
  </si>
  <si>
    <t>Compactador con ruedas de acero y patas de cabra (25-36Tn) - (Generación  &gt; 200 t/día )</t>
  </si>
  <si>
    <t>Tractor sobre oruga D6 - (Generación  &gt; 50 - 200 t/día )</t>
  </si>
  <si>
    <t>Tractor sobre oruga D8 - (Generación  &gt; 200 t/día )</t>
  </si>
  <si>
    <t>Inadecuada infraestructura para la valorización de residuos sólidos ORGÁNICOS</t>
  </si>
  <si>
    <t>Inadecuado equipamiento para la valorización de residuos sólidos ORGÁNICOS</t>
  </si>
  <si>
    <t>Adecuado equipamiento para el almacenamiento en vías urbanas y áreas publicas</t>
  </si>
  <si>
    <t>Adecuado equipamiento para el barrido de vías urbanas y áreas públicas</t>
  </si>
  <si>
    <t>Adquisición de equipos de protección del personal de barrido</t>
  </si>
  <si>
    <t>Adquisición de equipos de protección del personal de recolección</t>
  </si>
  <si>
    <t xml:space="preserve">Adquisición de herramientas e insumos para la valorización de residuos orgánicos </t>
  </si>
  <si>
    <t>Adquisición de equipos para la valorización de residuos orgánicos</t>
  </si>
  <si>
    <t>Adquisición de equipos de protección para el personal de valorización de residuos orgánicos</t>
  </si>
  <si>
    <t>Adquisición de maquinaria para la valorización de residuos orgánicos</t>
  </si>
  <si>
    <t>Adquisición de herramientas e insumos para la valorización de residuos inorgánicos</t>
  </si>
  <si>
    <t>Adquisición de equipos de protección del personal de valorización de residuos inorgánico</t>
  </si>
  <si>
    <t>Adquisición de equipos de protección personal para el personal de la disposición final</t>
  </si>
  <si>
    <t>Mejoramiento de la Gestión Institucional del servicio de limpieza pública</t>
  </si>
  <si>
    <t>Desarrollo de un programa de capacitación y asistencia técnica para la prestación</t>
  </si>
  <si>
    <t>Adquisición de equipos para la supervisión y monitoreo del servicio de limpieza pública</t>
  </si>
  <si>
    <t>Adecuado equipamiento para el almacenamiento en vías urbanas y áreas públicas</t>
  </si>
  <si>
    <t>Adquisición de kit de barrido MIXTO (conos de seguridad,escoba de paja, escobillón de cerda, escoba metálica, recogedor metálico, bolsas de 120 lts).</t>
  </si>
  <si>
    <t>Adquisición de kit de recolección (Escobas, manta de nylon, pala cuchara, zapas, rastrillos, conos de seguridad, botiquín, extintor).</t>
  </si>
  <si>
    <t>Adquisición de vehículos CONVENCIONALES para la recolección y transporte de residuos solidos NO aprovechables</t>
  </si>
  <si>
    <t>Adecuada infraestructura para la valorización de residuos sólidos ORGANICOS</t>
  </si>
  <si>
    <t>Adecuado equipamiento para la valorización de residuos sólidos ORGÁNICOS</t>
  </si>
  <si>
    <t>Adquisición de minicargador y volteadora mecánica - MECANIZADO</t>
  </si>
  <si>
    <t>Adquisición de balanza electrónica, extintor, mesa de segregación, monta carga manual, prensa hidráulica - MANUAL (&gt; 2 - 4 t/día)</t>
  </si>
  <si>
    <t>Adquisición de balanza electrónica, extintor, faja transportadora, prensa hidráulica - SEMIMECANIZADO (&gt; 4 - 50 t/día).</t>
  </si>
  <si>
    <t>Adquisición de balanza electrónica, extintor, criba tambor, prensa hidráulica - MECANIZADA (&gt; 50 t/día)</t>
  </si>
  <si>
    <t>Construcción del relleno sanitario MANUAL</t>
  </si>
  <si>
    <t>Construcción del relleno sanitario MECANIZADO</t>
  </si>
  <si>
    <t>Adquisición de vehículo para la supervisión y monitoreo del servicio de limpieza Pública</t>
  </si>
  <si>
    <t>Adquisición de camioneta para el desarrollo de las actividades de Supervisión y monitoreo</t>
  </si>
  <si>
    <t>Elaboración de carteles educativos y difusión en medios locales con mensajes orientados a afianzar los horarios de recolección, prevención de puntos críticos, consumo responsable y cultura de pago, considerando el contexto local y las campañas nacionales del Ministerio del Ambiente.</t>
  </si>
  <si>
    <t>De existir presencia de acuíferos en los terrenos donde se construirá las infraestructuras, deberá elaborarse un estudio geohidrológico a fin de conocer la profundidad a la que se encuentra el agua subterránea. así como la dirección y velocidad del escurrimiento o flujo, el cual debe estar a cargo de un especialista en estudios geohidrológicos</t>
  </si>
  <si>
    <t>Estudios básicos (análisis ambiental, sondaje eléctrico vertical, vulnerabilidad, geológico/geotécnico, mecánica de suelos, topografía)</t>
  </si>
  <si>
    <t>Año de formulación</t>
  </si>
  <si>
    <t>Año de inversión</t>
  </si>
  <si>
    <t>ALMACENAMIENTO (t/día)</t>
  </si>
  <si>
    <t>BARRIDO (t/día)</t>
  </si>
  <si>
    <t>Distancia promedio recorrida por vehículo / por día de recolección (km)</t>
  </si>
  <si>
    <t>Distancia promedio recorrida por vehículo al relleno sanitario / por día (km)</t>
  </si>
  <si>
    <t>Cantidad de residuos a recolectar por día de recolección</t>
  </si>
  <si>
    <t>t/día de recolección</t>
  </si>
  <si>
    <t>Ayudantes vehículo compactador/baranda</t>
  </si>
  <si>
    <t>Requerimiento Total anual por vehículo</t>
  </si>
  <si>
    <t>Conos de Seguridad color naranja fosforescente</t>
  </si>
  <si>
    <t>iii. Equipos de protección del personal (EPPs)</t>
  </si>
  <si>
    <t xml:space="preserve">Botín de cuero </t>
  </si>
  <si>
    <t>Cantidad de residuos sólidos inorgánicos aprovechables generados en viviendas</t>
  </si>
  <si>
    <t>Porcentaje de valorización de residuos de orgánicos (%)</t>
  </si>
  <si>
    <t>Porcentaje de valorización de residuos de orgánicos</t>
  </si>
  <si>
    <t>Cantidad total de residuos orgánicos a valorizar  (T/Día)</t>
  </si>
  <si>
    <t>Cantidad total de residuos inorgánicos a valorizar</t>
  </si>
  <si>
    <t>0 - 4 t/día</t>
  </si>
  <si>
    <t>Operarios para la valorización de orgánicos</t>
  </si>
  <si>
    <t>Operarios para la valorización de inorgánicos</t>
  </si>
  <si>
    <t>Prensa hidráulica  (Capacidad de operación &gt; 2 - 4 t/día)</t>
  </si>
  <si>
    <t>Prensa hidráulica</t>
  </si>
  <si>
    <t>Costalillos de yute de 75 lts</t>
  </si>
  <si>
    <t>Mascarillas con filtros</t>
  </si>
  <si>
    <t>v. Equipos de protección del personal (EPPs)</t>
  </si>
  <si>
    <t>Cantidad total de residuos sólidos orgánicos generados  (T/Día)</t>
  </si>
  <si>
    <t>0 - 6 t/día</t>
  </si>
  <si>
    <t>Maquinista (Solo para generación de &gt; 2 - 6 t/día)</t>
  </si>
  <si>
    <t>Minicargador (Solo para generación de &gt; 2 - 6 t/día)</t>
  </si>
  <si>
    <t>Rodillo de compactación manual (Solo para generaciones de 0 - 2 t/día)</t>
  </si>
  <si>
    <t>Pizarra acrílica</t>
  </si>
  <si>
    <t>Botín de cuero punta acero</t>
  </si>
  <si>
    <t>Balanza (Solo para generación &gt; 20 - 50 t/día )</t>
  </si>
  <si>
    <t>vi. Equipos de protección del personal (EPPs)</t>
  </si>
  <si>
    <t>Elaboración y/o actualización de los instrumentos de gestión administrativa para el servicio de limpieza pública (ROF, estatutos, ordenanzas, acuerdos y otros que coadyuden el proceso).</t>
  </si>
  <si>
    <r>
      <t xml:space="preserve">Adquisición de vehículos CONVENCIONALES para la recolección y transporte de residuos sólidos NO </t>
    </r>
    <r>
      <rPr>
        <u/>
        <sz val="11"/>
        <rFont val="Calibri"/>
        <family val="2"/>
      </rPr>
      <t>aprovechables</t>
    </r>
  </si>
  <si>
    <r>
      <t xml:space="preserve">Adquisición de vehículos NO CONVENCIONALES para la recolección y transporte de residuos sólidos  </t>
    </r>
    <r>
      <rPr>
        <u/>
        <sz val="11"/>
        <rFont val="Calibri"/>
        <family val="2"/>
      </rPr>
      <t>NO aprovechables</t>
    </r>
  </si>
  <si>
    <r>
      <t xml:space="preserve">Adquisición de vehículos CONVENCIONALES para la recolección y transporte de residuos sólidos </t>
    </r>
    <r>
      <rPr>
        <u/>
        <sz val="11"/>
        <rFont val="Calibri"/>
        <family val="2"/>
      </rPr>
      <t>aprovechables</t>
    </r>
  </si>
  <si>
    <r>
      <t xml:space="preserve">Adquisición de vehículos NO CONVENCIONALES para la recolección y transporte de residuos sólidos  </t>
    </r>
    <r>
      <rPr>
        <u/>
        <sz val="11"/>
        <rFont val="Calibri"/>
        <family val="2"/>
      </rPr>
      <t>aprovechables</t>
    </r>
  </si>
  <si>
    <r>
      <t xml:space="preserve">Adquisición de vehículos NO CONVENCIONALES para la recolección y transporte de residuos solidos </t>
    </r>
    <r>
      <rPr>
        <u/>
        <sz val="11"/>
        <rFont val="Calibri"/>
        <family val="2"/>
      </rPr>
      <t>NO aprovechables</t>
    </r>
  </si>
  <si>
    <r>
      <t xml:space="preserve">Adquisición de vehículos CONVENCIONALES para la recolección y transporte de residuos solidos </t>
    </r>
    <r>
      <rPr>
        <u/>
        <sz val="11"/>
        <rFont val="Calibri"/>
        <family val="2"/>
      </rPr>
      <t>aprovechables</t>
    </r>
  </si>
  <si>
    <r>
      <t xml:space="preserve">Adquisición de vehículos NO CONVENCIONALES para la recolección y transporte de residuos solidos </t>
    </r>
    <r>
      <rPr>
        <u/>
        <sz val="11"/>
        <rFont val="Calibri"/>
        <family val="2"/>
      </rPr>
      <t>aprovechables</t>
    </r>
  </si>
  <si>
    <r>
      <t xml:space="preserve">Adquisición de minicargador, </t>
    </r>
    <r>
      <rPr>
        <u/>
        <sz val="11"/>
        <rFont val="Calibri"/>
        <family val="2"/>
      </rPr>
      <t>tractor sobre oruga D6</t>
    </r>
    <r>
      <rPr>
        <sz val="11"/>
        <rFont val="Calibri"/>
        <family val="2"/>
      </rPr>
      <t>, volquete de 6 m3 - MECANIZADO ( &gt; 50 - 100 t/día)</t>
    </r>
  </si>
  <si>
    <r>
      <t xml:space="preserve">Adquisición de  minicargador, </t>
    </r>
    <r>
      <rPr>
        <u/>
        <sz val="11"/>
        <rFont val="Calibri"/>
        <family val="2"/>
      </rPr>
      <t xml:space="preserve">compactador con ruedas de acero y patas de cabra (16-24Tn), </t>
    </r>
    <r>
      <rPr>
        <sz val="11"/>
        <rFont val="Calibri"/>
        <family val="2"/>
      </rPr>
      <t>volquete de 6 m3 - MECANIZADO ( &gt; 50 - 100 t/día)</t>
    </r>
  </si>
  <si>
    <r>
      <t xml:space="preserve">Adquisición de minicargador, </t>
    </r>
    <r>
      <rPr>
        <u/>
        <sz val="11"/>
        <rFont val="Calibri"/>
        <family val="2"/>
      </rPr>
      <t>tractor sobre oruga D6</t>
    </r>
    <r>
      <rPr>
        <sz val="11"/>
        <rFont val="Calibri"/>
        <family val="2"/>
      </rPr>
      <t>, volquete de 8 m3 - MECANIZADO ( &gt; 100 - 200 t/día)</t>
    </r>
  </si>
  <si>
    <r>
      <t xml:space="preserve">Adquisición de minicargador, </t>
    </r>
    <r>
      <rPr>
        <u/>
        <sz val="11"/>
        <rFont val="Calibri"/>
        <family val="2"/>
      </rPr>
      <t xml:space="preserve">compactador con ruedas de acero y patas de cabra (16-24Tn), </t>
    </r>
    <r>
      <rPr>
        <sz val="11"/>
        <rFont val="Calibri"/>
        <family val="2"/>
      </rPr>
      <t>volquete de 8 m3. - MECANIZADO ( &gt; 100 - 200 t/día)</t>
    </r>
  </si>
  <si>
    <r>
      <t xml:space="preserve">Adquisición de minicargador, </t>
    </r>
    <r>
      <rPr>
        <u/>
        <sz val="11"/>
        <rFont val="Calibri"/>
        <family val="2"/>
      </rPr>
      <t xml:space="preserve">compactador con ruedas de acero y patas de cabra (25-36 Tn), </t>
    </r>
    <r>
      <rPr>
        <sz val="11"/>
        <rFont val="Calibri"/>
        <family val="2"/>
      </rPr>
      <t>volquete de 12 m3 - MECANIZADO ( &gt; 200 t/día)</t>
    </r>
  </si>
  <si>
    <t/>
  </si>
  <si>
    <t>055: GESTIÓN INTEGRAL DE LA CALIDAD AMBIENTAL</t>
  </si>
  <si>
    <t xml:space="preserve">0124: GESTIÓN DE LOS RESIDUOS SÓLIDOS </t>
  </si>
  <si>
    <t>NÚMERO DE OPERARIOS DE BARRIDO (ACTUAL)</t>
  </si>
  <si>
    <t>CANTIDAD DE RESIDUOS SÓLIDOS RECOLECTADOS  (T/DÍA) ADECUADAMENTE OPERATIVOS</t>
  </si>
  <si>
    <t>CANTIDAD TOTAL DE RESIDUOS SÓLIDOS DISPUESTOS (TN/DÍA)</t>
  </si>
  <si>
    <t>CARACTERÍSTICAS DE LOS PRINCIPALES ACTIVOS DEL SERVICIO DE LIMPIEZA PÚBLICA</t>
  </si>
  <si>
    <t xml:space="preserve">VALORIZACIÓN </t>
  </si>
  <si>
    <t>CANTIDAD DE ÁREAS DEGRADADAS OPERATIVAS (EN USO) (M2)</t>
  </si>
  <si>
    <t>INTERESES</t>
  </si>
  <si>
    <t>FUENTE DE VERIFICACIÓN</t>
  </si>
  <si>
    <t>FORMULACIÓN Y EVALUACIÓN</t>
  </si>
  <si>
    <t xml:space="preserve">PERÍODO DE EJECUCIÓN: </t>
  </si>
  <si>
    <t>PERÍODO DE FUNCIONAMIENTO:</t>
  </si>
  <si>
    <t>PARÁMETROS Y SUPUESTOS</t>
  </si>
  <si>
    <t>Tasa de crecimiento de residuos sólidos</t>
  </si>
  <si>
    <t>Cantidad de residuos sólidos a almacenar</t>
  </si>
  <si>
    <t>Cantidad de residuos sólidos a barrer</t>
  </si>
  <si>
    <t>Cantidad de km de vías y espacios públicos principales asfaltados o pavimentados</t>
  </si>
  <si>
    <t>CONTRIBUCIÓN  DEL PROYECTO DE INVERSIÓN AL CIERRE DE BRECHAS O DÉFICIT DE LA OFERTA DE SERVICIOS PÚBLICOS</t>
  </si>
  <si>
    <t>ANÁLISIS TÉCNICO DE LA ALTERNATIVA DE SOLUCIÓN</t>
  </si>
  <si>
    <t>TIPO DE ÍTEM</t>
  </si>
  <si>
    <t>INDICADOR DE EFICACIA (TN)</t>
  </si>
  <si>
    <t>C/E (S/ TN)</t>
  </si>
  <si>
    <t>TARIFA ESTIMADA  POR EL SERVICIO DE LIMPIEZA PÚBLICA (S/VIV/MES)</t>
  </si>
  <si>
    <t>Residuos sólidos provenientes de generados domiciliarios y no domiciliarios recolectados (%)</t>
  </si>
  <si>
    <t>Residuos sólidos valorizados (%)</t>
  </si>
  <si>
    <t>Residuos sólidos dispuestos técnica, sanitaria y ambientalmente segura en un relleno sanitario(%)</t>
  </si>
  <si>
    <t>Población que participa de un adecuado manejo de los residuos sólidos (%)</t>
  </si>
  <si>
    <t>Vehículos CONVENCIONALES para la recolección y transporte de residuos sólidos NO aprovechables</t>
  </si>
  <si>
    <t>Vehículos NO CONVENCIONALES para la recolección y transporte de residuos solidos NO aprovechables</t>
  </si>
  <si>
    <t>Vehículos CONVENCIONALES para la recolección y transporte de residuos sólidos aprovechables</t>
  </si>
  <si>
    <t>Vehículos NO CONVENCIONALES para la recolección y transporte de residuos sólidos aprovechables</t>
  </si>
  <si>
    <t xml:space="preserve">Kit de herramientas e insumos para la valorización de residuos orgánicos </t>
  </si>
  <si>
    <t>Equipos para la valorización de residuos orgánicos</t>
  </si>
  <si>
    <t>Maquinaria para la valorización de residuos orgánicos</t>
  </si>
  <si>
    <t>Kit de equipos de protección para el personal de valorización de residuos orgánicos</t>
  </si>
  <si>
    <t>Kit de herramientas e insumos para la valorización de residuos inorgánicos</t>
  </si>
  <si>
    <t xml:space="preserve">Equipos para la valorización de residuos inorgánicos </t>
  </si>
  <si>
    <t>Maquinaria para la valorización  de residuos inorgánicos</t>
  </si>
  <si>
    <t>Kit de equipos de protección del personal de valorización de residuos inorgánico</t>
  </si>
  <si>
    <t xml:space="preserve">Kit de herramientas para el relleno sanitario </t>
  </si>
  <si>
    <t>Adquisición de vehículo para la supervisión y monitoreo del servicio de limpieza pública</t>
  </si>
  <si>
    <t xml:space="preserve">Mejoramiento del marco normativo local asociado al servicio de limpieza pública. </t>
  </si>
  <si>
    <t xml:space="preserve">Desarrollo de un programa de control y mejora del servicio de limpieza pública. </t>
  </si>
  <si>
    <t>Balanza, extintor, medidor de PH y termómetro.</t>
  </si>
  <si>
    <t>Adquisición de equipos de protección del personal de valorización de residuos inorgánicos.</t>
  </si>
  <si>
    <t>Adquisición de equipos para el relleno sanitario</t>
  </si>
  <si>
    <t>Suficientes capacidades del área encargada para brindar el servicio de limpieza pública</t>
  </si>
  <si>
    <t>Formulación e implementación de instrumentos técnicos y operativos para la prestación del servicio de limpieza pública</t>
  </si>
  <si>
    <t>Desarrollo de un programa de capacitación y asistencia técnica para la prestación del servicio de limpieza pública</t>
  </si>
  <si>
    <t>Implementación de un programa de costeo del servicio de limpieza pública</t>
  </si>
  <si>
    <t>Desarrollo e Implementación de un sistema contable por centros de costos para control de presupuestos  y actividades del  servicio de  limpieza  pública. (Incluye capacitación en el sistema).</t>
  </si>
  <si>
    <t>Adecuada supervisión del servicio de limpieza pública</t>
  </si>
  <si>
    <t>Adquisición de equipo de cómputo (incluye mobiliario) para la supervisión y monitoreo del Servicio de Limpieza Pública</t>
  </si>
  <si>
    <t xml:space="preserve">Adquisición de  software para la supervisión y monitoreo del servicio de limpieza pública. </t>
  </si>
  <si>
    <t>Adquisición de motocicleta para el desarrollo de las actividades de supervisión y monitoreo</t>
  </si>
  <si>
    <t>Adquisición de camioneta para el desarrollo de las actividades de supervisión y monitoreo</t>
  </si>
  <si>
    <t>Mejoramiento del marco normativo local asociado al servicio de limpieza pública</t>
  </si>
  <si>
    <t>Formulación y/o actualización de normas y sanciones asociadas al servicio de limpieza pública</t>
  </si>
  <si>
    <t>Desarrollo de un programa de control y mejora del servicio de limpieza pública</t>
  </si>
  <si>
    <t>Elaboración de KIT educativo (juegos didácticos y rotafolio) con fines de información y educación ambiental dirigidos a la población para la mejora de las prácticas del manejo de los residuos sólidos.</t>
  </si>
  <si>
    <t>Diseño e implementación de proyectos escolares ambientales integrados para el manejo de residuos sólidos considerando la estrategia pedagógica MARES (Manejo de residuos sólidos).</t>
  </si>
  <si>
    <t>Vehículo Trimóvil</t>
  </si>
  <si>
    <t>Vehículo tipo Trimóvil</t>
  </si>
  <si>
    <t>SUMINISTRO Y COLOCACIÓN DE GEOMEMBRANAS</t>
  </si>
  <si>
    <t>SUMINISTRO Y COLOCACIÓN DE ARCILLA</t>
  </si>
  <si>
    <t>Los proyectos que contemplen infraestructura de aprovechamiento y disposición final de residuos sólidos, deberán contar con la licencia de funcionamiento por la Municipalidad respectiva</t>
  </si>
  <si>
    <t>Los proyectos que contemplen infraestructura de aprovechamiento y disposición final de residuos sólidos, deberán hacer los trámites ante la Dirección Desconcentrada de Cultura para la opinión respectiva sobre la existencia de restos arqueológicos en el área del proyecto.</t>
  </si>
  <si>
    <t>Los proyectos que contemplen infraestructura de aprovechamiento y disposición final de residuos sólidos, deberán contar con el documento que garantice la libre disponibilidad de los terrenos.</t>
  </si>
  <si>
    <t>2. GENERACIÓN DE RESIDUOS SÓLIDOS MUNICIPALES</t>
  </si>
  <si>
    <t>GENERACIÓN DE RESIDUOS SÓLIDOS DOMICILIARIOS (GRS-D)</t>
  </si>
  <si>
    <t>GENERACIÓN TOTAL  (Tn/Día)</t>
  </si>
  <si>
    <t>GENERACIÓN RSM  (Tn/Día)</t>
  </si>
  <si>
    <t>CÁLCULO DE LA OFERTA Y DEMANDA</t>
  </si>
  <si>
    <t>ESTIMACIÓN DE LA DEMANDA Y OFERTA DEL SERVICIO DE LIMPIEZA PÚBLICA</t>
  </si>
  <si>
    <t>A) ESTIMACIÓN DE LA DEMANDA DEL SERVICIO DE LIMPIEZA PÚBLICA</t>
  </si>
  <si>
    <t>RESIDUOS SÓLIDOS DOMICILIARIOS</t>
  </si>
  <si>
    <t>RESIDUOS SÓLIDOS NO DOMICILIARIOS  (ESTABLECIMIENTO)</t>
  </si>
  <si>
    <t>DEMANDA DEL SERVICIO DE LIMPIEZA PÚBLICA</t>
  </si>
  <si>
    <t>RECOLECCIÓN (T/día)</t>
  </si>
  <si>
    <t>POBLACIÓN DEL ÁMBITO DE ESTUDIO</t>
  </si>
  <si>
    <t>GENERACIÓN PER CÁPITA DE RR.SS</t>
  </si>
  <si>
    <t>RESIDUOS SÓLIDOS DOMICILIARIOS
(t/día)</t>
  </si>
  <si>
    <t>RESIDUOS SÓLIDOS NO DOMICILIARIOS
(t/día)</t>
  </si>
  <si>
    <t>RESIDUOS SÓLIDOS MUNICIPALES
(t/día)</t>
  </si>
  <si>
    <t>RESIDUOS SÓLIDOS MUNICIPALES
(t/año)</t>
  </si>
  <si>
    <t>ÁREA LIBRE</t>
  </si>
  <si>
    <t>ÁREA TOTAL</t>
  </si>
  <si>
    <t>Vías expresas o evitamiento</t>
  </si>
  <si>
    <t>Vías principales sin capa de cobertura</t>
  </si>
  <si>
    <t>iv. Equipos de protección personal (EEPs)</t>
  </si>
  <si>
    <t>Recoleccion de residuos sólidos NO APROVECHABLES</t>
  </si>
  <si>
    <t>Cantidad de residuos a recolectar por dia de recolección</t>
  </si>
  <si>
    <t>Recolección de residuos sólidos APROVECHABLES</t>
  </si>
  <si>
    <t>Cantidad de  residuos sólidos aprovechables (t/día)</t>
  </si>
  <si>
    <t>Porcentaje de residuos sólidos a recolectar</t>
  </si>
  <si>
    <t>Recolección de residuos sólidos NO APROVECHABLES</t>
  </si>
  <si>
    <t>Cantidad de Residuos Sólidos aprovechables (t/día)</t>
  </si>
  <si>
    <t>Cantidad de residuos sólidos generados</t>
  </si>
  <si>
    <t xml:space="preserve">Certificación ambiental </t>
  </si>
  <si>
    <t>Pago de trámite a SERNANP</t>
  </si>
  <si>
    <t>EXPEDIENTE TÉCNICO DE LA OBRA, ELABORACIÓN DE ESPECIFICACIONES TÉCNICAS DEL EQUIPAMIENTO Y TÉRMINOS DE REFERENCIA DE LOS SERVICIOS</t>
  </si>
  <si>
    <t>Lic. Comunicación o sociología</t>
  </si>
  <si>
    <t>Ing. responsable en elaboración de Especificaciones técnicas y términos de referencia.</t>
  </si>
  <si>
    <t>Ing. Electromecánico</t>
  </si>
  <si>
    <t>Ing. Mecánico</t>
  </si>
  <si>
    <t>Ing. Hidrogeólogo o afines</t>
  </si>
  <si>
    <t>PERSONAL DE DIRECCIÓN PARA EL ESTUDIO AMBIENTAL</t>
  </si>
  <si>
    <t>Biólogo</t>
  </si>
  <si>
    <t>Asistente técnico</t>
  </si>
  <si>
    <t>Análisis Ambiental (aire , agua y suelo), laboratorio acreditado ante INACAL</t>
  </si>
  <si>
    <t>Estudio de Sondaje Eléctrico Vertical (SEV)</t>
  </si>
  <si>
    <t>Estudio Geológico - Geotécnico</t>
  </si>
  <si>
    <t>Análisis de Mecánica de Suelos</t>
  </si>
  <si>
    <t>Documento correspondiente para la autorización ante la Direccion Regional de Cultura para las infraestructuras contempladas (Informe, planos, otros)</t>
  </si>
  <si>
    <t>Ing. Especialista en Residuos Sólidos</t>
  </si>
  <si>
    <t>Ing. Especialista en Residuos Sólidos.</t>
  </si>
  <si>
    <t>Especialista en Topografía.</t>
  </si>
  <si>
    <t>Asistente Técnico.</t>
  </si>
  <si>
    <t>RECOLECCIÓN DE RESIDUOS SÓLIDOS NO APROVECHABLES</t>
  </si>
  <si>
    <t>Construcción de planta de valorizacion orgánico</t>
  </si>
  <si>
    <t>Construcción de planta de valorizacion inorgánico</t>
  </si>
  <si>
    <t>Construcción de relleno sanitario</t>
  </si>
  <si>
    <t>RECOLECCIÓN DE RESIDUOS SÓLIDOS APROVECHABLES</t>
  </si>
  <si>
    <t>CONSTRUCCIÓN DE UNA PLANTA DE VALORACIÓN DE RESIDUOS SÓLIDOS ORGÁNICOS-COMPOSTAJE</t>
  </si>
  <si>
    <t>CONSTRUCCIÓN DE INFRAESTRUCTURA DE VALORIZACIÓN DE RESIDUOS ORGÁNICOS</t>
  </si>
  <si>
    <t xml:space="preserve">         NIVELACIÓN, TRAZADO Y REPLANTEO C/EQUIPO</t>
  </si>
  <si>
    <t xml:space="preserve">         EXCAVACIÓN NO CLASIFICADA </t>
  </si>
  <si>
    <t xml:space="preserve">         EXCAVACIÓN DE ZANJAS PARA ZAPATA</t>
  </si>
  <si>
    <t xml:space="preserve">         REFINE, NIVELACIÓN Y COMPACTACIÓN DE TERRENO C/EQUIPO</t>
  </si>
  <si>
    <t xml:space="preserve">         ELIMINACIÓN DE MAT. EXCEDENTE CARG. C/CARGADOR 125 HP/ VOLQUETE 15 M3, Dprom=500 M</t>
  </si>
  <si>
    <t xml:space="preserve">      PAVIMENTO RÍGIDO</t>
  </si>
  <si>
    <t xml:space="preserve">         ENCOFRADO Y DESENCOFRADO EN PAVIMENTO RÍGIDO E= 0.15 M</t>
  </si>
  <si>
    <t xml:space="preserve">         CONCRETO EN PAVIMENTO RÍGIDO E=0.15 M F'C=210 KG/CM2</t>
  </si>
  <si>
    <t xml:space="preserve">         JUNTAS DE DILATACIÓN CON ASFALTO E= 1"</t>
  </si>
  <si>
    <t xml:space="preserve">            NIVELACIÓN, TRAZADO Y REPLANTEO C/EQUIPO</t>
  </si>
  <si>
    <t xml:space="preserve">            EXCAVACIÓN DE ZANJAS PARA CANALETA</t>
  </si>
  <si>
    <t xml:space="preserve">            REFINE, NIVELACIÓN Y COMPACTACIÓN DE TERRENO C/EQUIPO</t>
  </si>
  <si>
    <t xml:space="preserve">            ELIMINACIÓN MAT. EXCEDENTE CARG. C/CARGADOR 125 HP/ VOLQUETE 10 M3  </t>
  </si>
  <si>
    <t xml:space="preserve">         REVOQUES Y ENLÚCIDOS</t>
  </si>
  <si>
    <t xml:space="preserve">            REJILLA METÁLICA P/CANALETA 18.50 M x 0.50 M</t>
  </si>
  <si>
    <t xml:space="preserve">      ESTRUCTURAS METÁLICAS</t>
  </si>
  <si>
    <t xml:space="preserve">         COLUMNAS METÁLICAS 0.30 M x 0.30 M </t>
  </si>
  <si>
    <t xml:space="preserve">         VIGAS METÁLICAS 0.20 M x 0.30 M </t>
  </si>
  <si>
    <t xml:space="preserve">      TUBERIA DE CONEXIÓN A POZA DE LIXIVIADOS</t>
  </si>
  <si>
    <t xml:space="preserve">            TRAZO, NIVELACIÓN Y REPLANTEO</t>
  </si>
  <si>
    <t xml:space="preserve">            EXCAVACIÓN MANUAL DE ZANJAS PARA TUBERÍA DN=110 MM HASTA H=1.00 M T/ROCOSO</t>
  </si>
  <si>
    <t xml:space="preserve">            REFINE Y NIVELACIÓN ZANJA EN T/ROCOSO</t>
  </si>
  <si>
    <t xml:space="preserve">            ELIMINACIÓN DE MATERIAL EXCEDENTE EN T.ROCOSO</t>
  </si>
  <si>
    <t xml:space="preserve">         SUMINISTRO E INSTALACIÓN DE TUBERIAS</t>
  </si>
  <si>
    <t xml:space="preserve">            SUMINISTRO E INSTALACION DE TUBERÍA PVC NORMA ISO 4435 DN=110mm S-25</t>
  </si>
  <si>
    <t xml:space="preserve">         PRUEBA HIDRÁULICA</t>
  </si>
  <si>
    <t xml:space="preserve">            PRUEBA HDRÁULICA DE TUBERÍA PVC DE DESAGUE</t>
  </si>
  <si>
    <t xml:space="preserve">            EXCAVACIÓN NO CLASIFICADA </t>
  </si>
  <si>
    <t xml:space="preserve">         INSTALACIONES ELÉCTRICAS</t>
  </si>
  <si>
    <t xml:space="preserve">      INSTALACIONES ELÉCTRICAS INTERIORES </t>
  </si>
  <si>
    <t xml:space="preserve">         TABLERO DE DISTRIBUCIÓN</t>
  </si>
  <si>
    <t xml:space="preserve">         SUMIN. E INSTALACIÓN DE ELECTROBOMBA SUMERGIBLE</t>
  </si>
  <si>
    <t xml:space="preserve">      CUBIERTA ESTRUCTURA METÁLICA (PUERTA  Y TECHO)</t>
  </si>
  <si>
    <t xml:space="preserve">      CARPINTERIA METÁLICA </t>
  </si>
  <si>
    <t xml:space="preserve">         PUERTA METÁLICA CORREDIZA 4.5 M x 3.00 M</t>
  </si>
  <si>
    <t xml:space="preserve">         PUERTA METÁLICA CORREDIZA 4.5 M x 3.70 M</t>
  </si>
  <si>
    <t xml:space="preserve">         MALLA OLÍMPICA 2" X 2"</t>
  </si>
  <si>
    <t>VIGUETA TIPO Z Z25X90X1/8" PL: 1.5X6M</t>
  </si>
  <si>
    <t>TUERCA TIJERAL COLUMNAS P/PERNO DE 5/8" DE DIÁMETRO</t>
  </si>
  <si>
    <t>ARANDELA TEJERAL-COLUMNAS P/PERNO DE 5/8" DE DIÁMETRO</t>
  </si>
  <si>
    <t>PERNO Z TIJERAL DE 1/2" DE DIÁMETRO</t>
  </si>
  <si>
    <t>TUERCA Z TIJERAL P/PERNO DE 1/2" DE DIÁMETRO</t>
  </si>
  <si>
    <t>ARANDELA Z TIJERALES P/PERNO DE 1/2" DE DIÁMETRO</t>
  </si>
  <si>
    <t>PERNO COLUMNA ARRIOSTRE DE 1/2" DE DIÁMETRO</t>
  </si>
  <si>
    <t>TUERCA COLUMNA ARRIOSTRE P/PERNO DE 1/2" DE DIÁMETRO</t>
  </si>
  <si>
    <t>ARANDELA COLUMNA ARRIOSTRE P/PERNO DE 1/2" DE DIÁMETRO</t>
  </si>
  <si>
    <t>ANCLAJE DE 5/8" ZAPATA COLUMNA DE 1/2" DE DIÁMETRO</t>
  </si>
  <si>
    <t>TUERCA ZAPATA COLUMNA P/PERNO DE 1/2" DE DIÁMETRO</t>
  </si>
  <si>
    <t xml:space="preserve">   CASETA ADICIONAL P/GUARDIANIA Y/O DEPÓSITO</t>
  </si>
  <si>
    <t xml:space="preserve">   MOVILIZACIÓN Y DESMOVILIZACIÓN DE MAQUINARIAS PARA LA OBRA</t>
  </si>
  <si>
    <t xml:space="preserve">   CARTEL DE IDENTIFICACIÓN DE LA OBRA 3.60 X 2.40 M</t>
  </si>
  <si>
    <t xml:space="preserve">   LIMPIEZA Y DESFORESTACIÓN</t>
  </si>
  <si>
    <t xml:space="preserve">      ALBAÑILERÍA </t>
  </si>
  <si>
    <t xml:space="preserve">            EXCAVACIÓN MANUAL DE ZANJAS PARA TUBERIA DN=110 MM HASTA H=1.00 M T/ROCOSO</t>
  </si>
  <si>
    <t xml:space="preserve">         SUMINISTRO E INSTALACIÓN DE TUBERÍAS</t>
  </si>
  <si>
    <t xml:space="preserve">            SUMINISTRO E INSTALACIÓN DE TUBERÍA PVC NORMA ISO 4435 DN=110mm S-25</t>
  </si>
  <si>
    <t xml:space="preserve">            PINTURA LÁTEX EN MUROS </t>
  </si>
  <si>
    <t xml:space="preserve">            ELECTROBOMBA CENTRÍFUGA DE 1 HP</t>
  </si>
  <si>
    <t>INVERSIÓN  PARA LA PLANTA VALORACIÓN DE RESIDUOS SÓLIDOS ORGÁNICOS MANUAL FUERA DE RELLENO</t>
  </si>
  <si>
    <t>Ítem</t>
  </si>
  <si>
    <t xml:space="preserve">Imagenes Satelitales </t>
  </si>
  <si>
    <t>TOTAL BARIIRO MANUAL (S/.)</t>
  </si>
  <si>
    <t>TOTAL BARRIDO MANUAL Y MECANIZADO (S/.)</t>
  </si>
  <si>
    <t>SUB TOTAL BARRIDO MANUAL</t>
  </si>
  <si>
    <t>SUB TOTAL BARRIDO MIXTO</t>
  </si>
  <si>
    <t>Estudio topográfico y estudio de mecánica de suelos y geofísico del área del relleno sanitario</t>
  </si>
  <si>
    <t>CARACTERÍSTICAS ECONÓMICAS</t>
  </si>
  <si>
    <t>CANTIDAD DE EQUIPAMIENTO (CONTENEDORES) DISPUESTOS PARA EL ALMACENAMIENTO EN VÍAS URBANAS Y ESPACIOS PÚBLICOS (ACTUAL)</t>
  </si>
  <si>
    <t>CANTIDAD TOTAL DE VÍAS URBANAS Y ESPACIOS PÚBLICOS DE ALTO TRÁNSITO PEATONAL  (KM LINEAL)</t>
  </si>
  <si>
    <t>CANTIDAD TOTAL DE  VÍAS Y ESPACIOS PÚBLICOS DE ALTO TRÁNSITO PEATONAL O VEHICULAR BARRIDOS (KM LINEAL)</t>
  </si>
  <si>
    <t>ÁREA TOTAL OCUPADA POR RESIDUOS SÓLIDOS (M2)</t>
  </si>
  <si>
    <t>VEHÍCULOS PARA LA RECOLECCION DE RESIDUOS SÓLIDOS (T/DIA)</t>
  </si>
  <si>
    <t>Insuficientes capacidades del área encargada para brindar el Servicio de Limpieza Pública</t>
  </si>
  <si>
    <t>Año de formulación (Año base)</t>
  </si>
  <si>
    <t>Año del estudio de caracterización</t>
  </si>
  <si>
    <t>Cantidad de km barridos en vías urbanas y espacios públicos</t>
  </si>
  <si>
    <t>Densidad suelta de residuos sólidos (kg/m3)</t>
  </si>
  <si>
    <t>Instituciones (públicas y privadas) (t/día)</t>
  </si>
  <si>
    <t>A. Almacenamiento en vías urbanas de alto tránsito peatonal (operativas)</t>
  </si>
  <si>
    <t>B. Cantidad de espacios públicos de alta afluencia peatonal que requieren ser barridas</t>
  </si>
  <si>
    <t>B. Cantidad de espacios públicos de alta afluencia peatonal - CON SERVICIO DE BARRIDO</t>
  </si>
  <si>
    <t>Vías y espacios públicos SIN capa superpuesta de alto tránsito peatonal o afluencia de personas</t>
  </si>
  <si>
    <t>A. Barrido en vías urbanas de alto tránsito peatonal que requieren papeleo</t>
  </si>
  <si>
    <t>B. Barrido en espacios públicos de alta afluencia peatonal que requieren papeleo</t>
  </si>
  <si>
    <t>Antigüedad del vehículo (Años)</t>
  </si>
  <si>
    <t>Prensa compactadora hidráulica</t>
  </si>
  <si>
    <t>Montacarga hidráulica motorizada</t>
  </si>
  <si>
    <t>Montacarga hidráulica manual</t>
  </si>
  <si>
    <t>GENERACIÓN DE RESIDUOS SÓLIDOS MUNICIPALES (GRS-M)</t>
  </si>
  <si>
    <t>Trámite de transferencia de vehículos o maquinaria pesada, SOAT y transporte al área del proyecto</t>
  </si>
  <si>
    <t>Trámites para la autorización de la Dirección Regional de Cultura para las infraestructuras contempladas</t>
  </si>
  <si>
    <t>Trámite de formalización de la actividad de valorización de residuos sólidos</t>
  </si>
  <si>
    <t>PERSONAL DE DIRECCIÓN PARA ELABORACIÓN DEL EXPEDIENTE TÉCNICO</t>
  </si>
  <si>
    <t>Ing. especialista en Residuos Sólidos</t>
  </si>
  <si>
    <t>Ing. Especilista en mecánica o electromecánico</t>
  </si>
  <si>
    <t>Ing. Sanitario y/o ambiental responsable de verificación en campo del cumplimiento de la ejecución del expediente tecnico de obra.</t>
  </si>
  <si>
    <t>INVERSIÓN  PARA LA PLANTA VALORACIÓN DE RESIDUOS SÓLIDOS ORGÁNICOS MANUAL DENTRO DE RELLENO</t>
  </si>
  <si>
    <t>CONSTRUCCIÓN DE INFRAESTRUCTURA DE  REAPROVECHAMIENTO DE RESIDUOS INORGÁNICOS - PERÍMETRO, PAVIMENTO, ELÉCTRICO</t>
  </si>
  <si>
    <t xml:space="preserve">         EXCAVACIÓN DE ZANJAS PARA CIMIENTOS CORRIDOS </t>
  </si>
  <si>
    <t>CONSTRUCCIÓN DE UN CENTRO DE REAPROVECHAMIENTO DE RESIDUOS SÓLIDOS INORGÁNICOS</t>
  </si>
  <si>
    <t xml:space="preserve">         CIMIENTO CORRIDO, CONCRETO CICLÓPEO FC=140KG/CM2 + 30 % P.G.</t>
  </si>
  <si>
    <t xml:space="preserve">      OBRAS DE CONCRETO ARMADO-PERÍMETRO</t>
  </si>
  <si>
    <t xml:space="preserve">      ALBAÑILERIA - PERÍMETRO</t>
  </si>
  <si>
    <t>PERNO TIJERAL COLUMNAS 5/8" DIÁMETRO</t>
  </si>
  <si>
    <t>ARANDELA Z TIJERALES P/PERNO DE 1/2" DE DIÁMTERO</t>
  </si>
  <si>
    <t xml:space="preserve">         PINTURA LÁTEX EN COLUMNAS</t>
  </si>
  <si>
    <t xml:space="preserve">         PINTURA LÁTEX EN VIGAS</t>
  </si>
  <si>
    <t xml:space="preserve">         TABLERO GENERAL TG-01 TRIFÁSICO 15 POLOS PARA EMPOTRAR, EQUIPADO</t>
  </si>
  <si>
    <t xml:space="preserve">         POZO DE PROTECCIÓN PUESTA A TIERRA ESTABILIZADO 5 OHM</t>
  </si>
  <si>
    <t xml:space="preserve">         EXCAVACIÓN DE ZANJAS PARA CIMIENTOS CORRIDOS</t>
  </si>
  <si>
    <t xml:space="preserve">         REFINE, NIVELACIÓN Y COMPACTACION  DE TERRENO</t>
  </si>
  <si>
    <t xml:space="preserve">         ELIMINACIÓN LATERAL DE MATERIAL EXCEDENTE</t>
  </si>
  <si>
    <t xml:space="preserve">         CIMIENTO CORRIDO, CONCRETO CICLÓPEO  FC=140KG/CM2   + 30 % PM.</t>
  </si>
  <si>
    <t xml:space="preserve">      ZÓCALOS Y CONTRAZÓCALOS</t>
  </si>
  <si>
    <t xml:space="preserve">         ZÓCALO DE CEMENTO PULIDO CON MORTERO 1:5 DE 2Cm x 0.20 m.</t>
  </si>
  <si>
    <t xml:space="preserve">      CARPINTERÍA METÁLICA</t>
  </si>
  <si>
    <t xml:space="preserve">      ALBAÑILERÍA - PERÍMETRO</t>
  </si>
  <si>
    <t xml:space="preserve">      CARPINTERÍA METÁLICA </t>
  </si>
  <si>
    <t xml:space="preserve">         REFINE, NIVELACIÓN Y COMPACTACIÓN  DE TERRENO</t>
  </si>
  <si>
    <t xml:space="preserve">      ALBAÑILERÍA</t>
  </si>
  <si>
    <t xml:space="preserve">         PISO DE CERÁMICO COLOR DE 30X30 CM.</t>
  </si>
  <si>
    <t xml:space="preserve">         CONTRAZÓCALO DE CEMENTO PULIDO CON  MORTERO 1:5 DE H= 0.30 m</t>
  </si>
  <si>
    <t xml:space="preserve">      CARPINTERÍA DE MADERA</t>
  </si>
  <si>
    <t xml:space="preserve">         PINTURA LÁTEX LAVABLE EN INTERIORES 2 MANOS</t>
  </si>
  <si>
    <t xml:space="preserve">         PINTURA ESMALTE EN CARPINTERIA METÁLICA</t>
  </si>
  <si>
    <t xml:space="preserve">         PINTURA BARNÍZ EN CARPINTERIA DE MADERA 2 MANOS</t>
  </si>
  <si>
    <t xml:space="preserve">         URINARIO CORRIDO DE ALBAÑILERÍA</t>
  </si>
  <si>
    <t xml:space="preserve">         PAPELERA DE LOSA Y BARRA PLÁSTICA, COLOR BLANCO</t>
  </si>
  <si>
    <t xml:space="preserve">         SALIDA DE VENTILACIÓN DE 2"</t>
  </si>
  <si>
    <t xml:space="preserve">         TUBERÍA DE PVC SAL 4" PARA DESAGUE</t>
  </si>
  <si>
    <t xml:space="preserve">         SUMIDERO DE BRONCE 2", PROVISIÓN Y COLOCACIÓN</t>
  </si>
  <si>
    <t xml:space="preserve">         SUMIDERO BRONCE DE 3", PROVISIÓN Y COLOCACIÓN</t>
  </si>
  <si>
    <t xml:space="preserve">         SALIDA DE AGUA FRÍA CON TUBERÍA  PVC DE 1/2"</t>
  </si>
  <si>
    <t xml:space="preserve">         RED DE DISTRIBUCIÓN TUBERÍA DE 3/4" PVC-SAP</t>
  </si>
  <si>
    <t xml:space="preserve">         RED DE DISTRIBUCIÓN TUBERÍA DE  1" PVC-SAP</t>
  </si>
  <si>
    <t xml:space="preserve">         RED DE DISTRIBUCIÓN TUBERÍA DE 1/2" PVC-SAP</t>
  </si>
  <si>
    <t xml:space="preserve">         RED DE DISTRIBUCIÓN TUBERÍA 1 1/4" PVC -SAP</t>
  </si>
  <si>
    <t xml:space="preserve">         VÁLVULA DE COMPUERTA DE BRONCE DE 3/4"</t>
  </si>
  <si>
    <t xml:space="preserve">         VÁLVULA DE COMPUERTA DE BRONCE DE 1"</t>
  </si>
  <si>
    <t xml:space="preserve">         VÁLVULA DE COMPUERTA DE BRONCE DE 1/2"</t>
  </si>
  <si>
    <t xml:space="preserve">      INSTALACIONES ELÉCTRICAS INTERIORES</t>
  </si>
  <si>
    <t xml:space="preserve">         CONTRAZÓCALO DE CEMENTO PULIDO CON MORTERO 1:5</t>
  </si>
  <si>
    <t xml:space="preserve">      CERRAJERÍA</t>
  </si>
  <si>
    <t xml:space="preserve">         PINTURA LÁTEX EN MUROS INTERIORES Y EXTERIORES, 2 MANOS</t>
  </si>
  <si>
    <t xml:space="preserve">      INSTALACIONES ELÉCTRICAS </t>
  </si>
  <si>
    <t xml:space="preserve">         CONTRAZÓCALO DE CEMENTO PULIDO CON MORTERO 1:5 H=0.30M</t>
  </si>
  <si>
    <t xml:space="preserve">         PINTURA LÁTEX LAVABLE EN COLUMNAS Y VIGAS</t>
  </si>
  <si>
    <t xml:space="preserve">         PINTURA ESMALTE EN CARPINTERÍA METÁLICA</t>
  </si>
  <si>
    <t xml:space="preserve">         PINTURA BARNIZ EN CARPINTERÍA DE MADERA 2 MANOS</t>
  </si>
  <si>
    <t xml:space="preserve">         PINTURA LÁTEX EN ZÓCALOS (H = 0.20 M) 2 MANOS</t>
  </si>
  <si>
    <t xml:space="preserve">         PINTURA LÁEX EN MUROS INTERIORES Y EXTERIORES, 2 MANOS</t>
  </si>
  <si>
    <t xml:space="preserve">         LIMPIEZA Y NIVELACIÓN DE TERRENO NATURAL</t>
  </si>
  <si>
    <t xml:space="preserve">         ZÓCALO DE CERÁMICO COLOR DE 30 x 30 CM MUROS</t>
  </si>
  <si>
    <t xml:space="preserve">         PINTURA LÁTEX LAVABLE EN MUROS INTERIORES , 2 MANOS</t>
  </si>
  <si>
    <t xml:space="preserve">         CAJA DE REGISTRO DE DESAGUE 12" X 24" DE ALBAÑILERÍA</t>
  </si>
  <si>
    <t xml:space="preserve">         VÁLVULA COMPUERTA DE BRONCE INCLUYE CANASTILLA Y BRAZO DE DUCHA</t>
  </si>
  <si>
    <t xml:space="preserve">CONSTRUCCIÓN DE UN RELLENO SANITARIO </t>
  </si>
  <si>
    <t>CONSTRUCCIÓN DE CASETA  ADMINISTRATIVA</t>
  </si>
  <si>
    <t xml:space="preserve">      CONTRAZÓCALOS</t>
  </si>
  <si>
    <t xml:space="preserve">         CONTRAZÓCALO DE CEMENTO PULIDO H = 0.25 m</t>
  </si>
  <si>
    <t xml:space="preserve">      ZÓCALOS</t>
  </si>
  <si>
    <t xml:space="preserve">         ZÓCALO DE CEMENTO PULIDO H=1.80m</t>
  </si>
  <si>
    <t xml:space="preserve">      CARPINTERÍA ALUMINIO</t>
  </si>
  <si>
    <t xml:space="preserve">         CERRADURA DE PERILLA CON BOTÓN</t>
  </si>
  <si>
    <t xml:space="preserve">         INODORO SIFÓN JET NACIONAL COLOR BLANCO</t>
  </si>
  <si>
    <t xml:space="preserve">      GRIFERÍA</t>
  </si>
  <si>
    <t xml:space="preserve">         GRIFERÍA PARA LAVATORIO NACIONAL LÍNEA ECONÓMICA</t>
  </si>
  <si>
    <t xml:space="preserve">         GRIFERÍA PARA DUCHA NACIONAL LÍNEA ECONÓMICA</t>
  </si>
  <si>
    <t xml:space="preserve">         TRAZO, NIVELACIÓN Y REPLANTEO</t>
  </si>
  <si>
    <t xml:space="preserve">            EXCAVACIÓN MANUAL</t>
  </si>
  <si>
    <t xml:space="preserve">            EXCAVACIÓN PARA CIMIENTOS CORRIDOS, CISTERNA, TANQUE SÉPTICO Y POZO PERCOLADOR</t>
  </si>
  <si>
    <t xml:space="preserve">            ELIMINACIÓN DE MATERIAL EXCEDENTE ACARREADO d=10KM</t>
  </si>
  <si>
    <t xml:space="preserve">         CONCRETO f'c=100 kg/cm2 EN BASE DE TANQUE CISTERNA Y TANQUE SÉPTICO Y POZO PERCOLADOR</t>
  </si>
  <si>
    <t xml:space="preserve">         CONCRETO CIPLÓPEO f'c=140 kg/cm2 +30% PM POZO DE PERCOLACIÓN</t>
  </si>
  <si>
    <t xml:space="preserve">         EMPEDRADO BASE POZO PERCOLACIÓN</t>
  </si>
  <si>
    <t xml:space="preserve">            SALIDAS DE VENTILACIÓN</t>
  </si>
  <si>
    <t xml:space="preserve">         REDES DE DISTRIBUCIÓN DE DESAGUE</t>
  </si>
  <si>
    <t xml:space="preserve">            TUBERÍA DE PVC SAP 2" DESAGUE</t>
  </si>
  <si>
    <t xml:space="preserve">            TUBERÍA DE PVC SAP 4" DESAGUE</t>
  </si>
  <si>
    <t xml:space="preserve">            SUMIDERO DE BRONCE 2" PROVISION Y COLOCACIÓN</t>
  </si>
  <si>
    <t xml:space="preserve">            REGISTRO DE BRONCE 4" PROVISION Y COLOCACIÓN</t>
  </si>
  <si>
    <t xml:space="preserve">            SOMBRERO VENTILACIÓN PVC DE 2"</t>
  </si>
  <si>
    <t xml:space="preserve">      SISTEMA DE AGUA FRÍA</t>
  </si>
  <si>
    <t xml:space="preserve">         SALIDA DE AGUA FRÍA</t>
  </si>
  <si>
    <t xml:space="preserve">            SALIDA DE AGUA FRÍA 1/2"</t>
  </si>
  <si>
    <t xml:space="preserve">         REDES DE DISTRIBUCIÓN DE AGUA FRÍA</t>
  </si>
  <si>
    <t xml:space="preserve">         ACCESORIOS DE REDES DE AGUA FRÍA</t>
  </si>
  <si>
    <t xml:space="preserve">         LLAVES Y VÁLVULAS</t>
  </si>
  <si>
    <t xml:space="preserve">            VÁLVULA ESFÉRICA PESADA 3/4"</t>
  </si>
  <si>
    <t xml:space="preserve">            VALVULA ESFÉRICA PESADA 1/2"</t>
  </si>
  <si>
    <t xml:space="preserve">         VÁLVULAS DE AGUA FRÍA</t>
  </si>
  <si>
    <t xml:space="preserve">            VÁLVULA CHECK PESADA 3/4"</t>
  </si>
  <si>
    <t xml:space="preserve">            TUBERÍA DE PVC SAL 4"</t>
  </si>
  <si>
    <t xml:space="preserve">         SUMINISTRO E INSTALACIÓN DE BOMBA 1/2 HP</t>
  </si>
  <si>
    <t xml:space="preserve">         SUMINISTRO E INSTALACIÓN DE TANQUE ELEVADO 1200 LT(INC. ACCESORIOS)</t>
  </si>
  <si>
    <t xml:space="preserve">         SUMINISTRO E INSTALACIÓN DE CISTERNA 1350 LT(INC. ACCESORIOS)</t>
  </si>
  <si>
    <t xml:space="preserve">   INSTALACIONES ELÉCTRICAS</t>
  </si>
  <si>
    <t xml:space="preserve">      SALIDAS ELÉCTRICAS</t>
  </si>
  <si>
    <t xml:space="preserve">         TABLERO ELÉCTRICO DE 04 POLOS</t>
  </si>
  <si>
    <t xml:space="preserve">          TABLERO ELÉCTRICO DE 08 POLOS</t>
  </si>
  <si>
    <t xml:space="preserve">          INTERRUPTOR TERMOMAGNÉTICO TIPO TORNILLO MONF. 10 AMP.</t>
  </si>
  <si>
    <t xml:space="preserve">          INTERRUPTOR TERMOMAGNÉTICO TIPO TORNILLO MONF. 15 AMP.</t>
  </si>
  <si>
    <t xml:space="preserve">          INTERRUPTOR TERMOMAGNÉTICO TIPO TORNILLO MONF. 16 AMP.</t>
  </si>
  <si>
    <t xml:space="preserve">         INTERRUPTOR TERMOMAGNÉTICO TIPO TORNILLO MONF. 20 AMP.</t>
  </si>
  <si>
    <t xml:space="preserve">      CANALIZACIÓN Y TUBERÍAS</t>
  </si>
  <si>
    <t xml:space="preserve">         TUBERÍA DE PVC SAP (ELÉCTRICAS) D=20MM</t>
  </si>
  <si>
    <t xml:space="preserve">         SISTEMA FOTOVOLTAICO C/2 PANELES SOLARES 120wp+1 BATÉRIA DE 12V Y 300 a-H, INCLUYE TABLERO MANUAL</t>
  </si>
  <si>
    <t>CONSTRUCCIÓN DE VÍA DE ACCESO</t>
  </si>
  <si>
    <t xml:space="preserve">   VÍA DE ACCESO INTERIOR</t>
  </si>
  <si>
    <t xml:space="preserve">         TRAZO Y REPLANTEO EN VÍAS</t>
  </si>
  <si>
    <t xml:space="preserve">         NIVELACIÓN Y COMPACTACIÓN DE SUBRASANTE</t>
  </si>
  <si>
    <t xml:space="preserve">         CONFORMACIÓN DE CUNETAS EN TERRENO NORMAL</t>
  </si>
  <si>
    <t xml:space="preserve">   CONSTRUCCIÓN DE LA RASANTE</t>
  </si>
  <si>
    <t xml:space="preserve">         LIMPIEZA Y DESFORESTACIÓN</t>
  </si>
  <si>
    <t xml:space="preserve">   CONSTRUCCIÓN DE TRINCHERA</t>
  </si>
  <si>
    <t xml:space="preserve">         EXCAVACIÓN DE MATERIAL SUELTO</t>
  </si>
  <si>
    <t xml:space="preserve">         ELIMINACIÓN DE EXCEDENTES C/VOLQ. 10 M3 D=5 KM</t>
  </si>
  <si>
    <t xml:space="preserve">         REFINE Y NIVELACIÓN EN TERRENO NORMAL</t>
  </si>
  <si>
    <t xml:space="preserve">         EXCAVACIÓN DE DRENES</t>
  </si>
  <si>
    <t xml:space="preserve">         SUMINISTRO Y COLOCACIÓN DE GEOMEMBRANAS</t>
  </si>
  <si>
    <t xml:space="preserve">         PROTECCIÓN DE GEOMEMBRANA CON GEOTEXTIL NO TEJIDO</t>
  </si>
  <si>
    <t xml:space="preserve">         PROVISIÓN E INSTALACIÓN TUBERÍA  D=6"</t>
  </si>
  <si>
    <t xml:space="preserve">   CONSTRUCCIÓN DE POZA PARA LIXIVIADOS</t>
  </si>
  <si>
    <t xml:space="preserve">         EXCAVACIÓN</t>
  </si>
  <si>
    <t xml:space="preserve">         NIVELACIÓN Y COMPACTACIÓN MANUAL FONDO DE POZA</t>
  </si>
  <si>
    <t>SISTEMA DE SUCCIÓN Y DESCARGA DE LIXIVIADOS</t>
  </si>
  <si>
    <t>SUMINISTRO E INSTALACIÓN DE TUBERÍA PARA LA SUCCIÓN DE LIXIVIADOS (En función del tipo de bomba de lixiviados)</t>
  </si>
  <si>
    <t>SUMINISTRO E INSTALACIÓN DE TUBERÍA PARA LA DESCARGA DE LIXIVIADOS (En función del tipo de bomba de lixiviados)</t>
  </si>
  <si>
    <t xml:space="preserve">   CONSTRUCCIÓN DE CANAL PLUVIAL</t>
  </si>
  <si>
    <t xml:space="preserve">         TRAZO, NIVELACIÓN Y REPLANTEO EN CANALES</t>
  </si>
  <si>
    <t xml:space="preserve">         EXCAVACIÓN DE CAJA DE CANAL EN TIERRA ( A MANO)</t>
  </si>
  <si>
    <t xml:space="preserve">   CONSTRUCCIÓN DE CERCOS PERIMÉTRICOS</t>
  </si>
  <si>
    <t xml:space="preserve">         EXCAVACIÓN DE ZAPATAS</t>
  </si>
  <si>
    <t xml:space="preserve">      CERCO PERIMÉTRICO</t>
  </si>
  <si>
    <t xml:space="preserve">         PUERTA EN CERCO PERIMÉTRICO</t>
  </si>
  <si>
    <t xml:space="preserve">         CERCO CON ÁRBOLES NATIVOS DE LA ZONA</t>
  </si>
  <si>
    <t xml:space="preserve">   CONSTRUCCIÓN DE POZO DE MONITOREO</t>
  </si>
  <si>
    <t xml:space="preserve">         EXCAVACIÓN DE POZO</t>
  </si>
  <si>
    <t xml:space="preserve">      TUBERÍAS</t>
  </si>
  <si>
    <t xml:space="preserve">         SUMINISTRO Y COLOCACIÓN DE TUBERÍA PVC SAP D=6"</t>
  </si>
  <si>
    <t xml:space="preserve">   CONSTRUCCIÓN DE CHIMENEA</t>
  </si>
  <si>
    <t xml:space="preserve">   IMPACTO AMBIENTAL - ACONDICIONAMIENTO DEL ÁREA INTERVENIDA PARA CAMPAMENTOS</t>
  </si>
  <si>
    <t xml:space="preserve">      ACONDICIONAMIENTO DEL ÁREA OCUPADA POR PATIO DE MAQUINARIAS</t>
  </si>
  <si>
    <t xml:space="preserve">   CASETA ADICIONAL P/GUARDIANÍA Y/O DEPÓSITO</t>
  </si>
  <si>
    <t>Población mayor a 10 mil habitantes</t>
  </si>
  <si>
    <t>Demanda a cubrir al día</t>
  </si>
  <si>
    <t>Requerimiento a lo largo del Horizonte de Evaluación</t>
  </si>
  <si>
    <t>Descripción (Requerimiento en vías urbanas y áreas públicas)</t>
  </si>
  <si>
    <t>Rendimiento óptimo para el barrido manual</t>
  </si>
  <si>
    <t>RECOLECCIÓN</t>
  </si>
  <si>
    <t>Recogedor metálico</t>
  </si>
  <si>
    <t>Póliza de seguros para vehículos compactador</t>
  </si>
  <si>
    <t>Póliza de seguros para vehículos camión baranda</t>
  </si>
  <si>
    <t>Petróleo para camión CONVENCIONAL - NO APROVECHABLE</t>
  </si>
  <si>
    <t>Petróleo para Vehículo NO CONVENCIONAL - NO APROVECHABLE</t>
  </si>
  <si>
    <t>Petróleo para camión CONVENCIONAL - APROVECHABLE</t>
  </si>
  <si>
    <t>Petróleo para camión NO CONVENCIONAL - APROVECHABLE</t>
  </si>
  <si>
    <t xml:space="preserve">COSTO DE OPERACIÓN Y MANTENIMIENTO PARA VALORIZACIÓN DE RESIDUOS SÓLIDOS ORGÁNICOS </t>
  </si>
  <si>
    <t xml:space="preserve">COSTO DE OPERACIÓN Y MANTENIMIENTO PARA VALORIZACIÓN DE RESIDUOS SÓLIDOS INORGÁNICOS </t>
  </si>
  <si>
    <t>Recojedor metálico</t>
  </si>
  <si>
    <t>Prensa Hidráulica</t>
  </si>
  <si>
    <t>Combustible para generador eléctrico (Galones)</t>
  </si>
  <si>
    <t>Filtro de petróleo ( 1 und x mes x vehículo)</t>
  </si>
  <si>
    <t xml:space="preserve">Póliza de seguros para vehículos </t>
  </si>
  <si>
    <t>Análisis de Agua</t>
  </si>
  <si>
    <t>Análisis de Aire</t>
  </si>
  <si>
    <t>Análisis de Suelo</t>
  </si>
  <si>
    <t>Dotación de agua en cisterna para minimización de polvo</t>
  </si>
  <si>
    <t>COSTO DE OPERACIÓN PARA GESTIÓN</t>
  </si>
  <si>
    <t>Combustible vehículo</t>
  </si>
  <si>
    <t>A.  INVERSIÓN</t>
  </si>
  <si>
    <t>VACM Costos de Inversión (S/.)</t>
  </si>
  <si>
    <t>B.  POST INVERSIÓN</t>
  </si>
  <si>
    <t>CÁLCULO DE LA TARIFA</t>
  </si>
  <si>
    <t>A. Almacenamiento en vías urbanas de alto tránsito peatonal</t>
  </si>
  <si>
    <t>Cantidad de residuos sólidos barridos (tn)</t>
  </si>
  <si>
    <t>Vías y espacios públicos con capa superpuesta ( asfalto, concreto, adoquines, otros) de alto tránsito peatonal o afluencia de personas</t>
  </si>
  <si>
    <t>A. Cantidad de vías urbanas de alto tránsito peatonal  - CON SERVICIO DE BARRIDO</t>
  </si>
  <si>
    <t>A. Cantidad de vías urbanas de alto tránsito peatonal que requieren ser barridas</t>
  </si>
  <si>
    <t>Termómetro</t>
  </si>
  <si>
    <t>PROFUNDIDAD DE EXCAVACIÓN PARA TRINCHERA O ALTURA DE PLATAFORMA</t>
  </si>
  <si>
    <t>DEMANDA - OFERTA DE DISPOSICIÓN FINAL</t>
  </si>
  <si>
    <t>Saneamiento físico legal del terreno para las infraestructuras contempladas</t>
  </si>
  <si>
    <t>Lic. Comunicación o sociologo</t>
  </si>
  <si>
    <t>CARACTERÍSTICAS POBLACIONALES</t>
  </si>
  <si>
    <t xml:space="preserve">PARA EL LLENADO DE LA INFORMACIÓN se requiere contar con el estudio de caracterización y el estado actual del servicio </t>
  </si>
  <si>
    <t>ALTERNATIVA ÚNICA</t>
  </si>
  <si>
    <t>Los proyectos que se encuentran en el marco del SEIA, requieren tener su clasificación y elaborar el instrumento de gestión ambiental por la empresa consultora  para presentarlo a la Municipalidad Provincial o Gobierno Regional o SENACE, según corresponda; los cuales podrán aprobar o desaprobar dicho instrumento en los periodos establecidos.
En caso no se encuentren sujetos al SEIA deberan elaborar el instrumento correspondiente y presentarlo a la autoridad competente.</t>
  </si>
  <si>
    <t>Ayudantes vehículo trimóvil/triciclo</t>
  </si>
  <si>
    <t>Choferes vehículo trimóvil/triciclo</t>
  </si>
  <si>
    <t>FECHA DE REGISTRO:</t>
  </si>
  <si>
    <t xml:space="preserve">FICHA TÉCNICA DE PROYECTOS DE INVERSIÓN ESTÁNDAR Y/O SIMPLIFICADOS - SERVICIO DE LIMPIEZA PÚBLICA </t>
  </si>
  <si>
    <t>(Aplicada a proyectos de inversión estándar y montos de inversión menor o igual a 15 000 UIT)</t>
  </si>
  <si>
    <t>(Recomendable trabajar la ficha a partir de la versión de Microsoft Office Profesional 2010 de 32 byts)</t>
  </si>
  <si>
    <t>1.-</t>
  </si>
  <si>
    <t>2.-</t>
  </si>
  <si>
    <t>3.-</t>
  </si>
  <si>
    <t>4.-</t>
  </si>
  <si>
    <t>Estructura de los costos de inversión (desagregado por componente: almacenamiento, barrido, recolección y transporte, valorización, disposición final, gestión municipal y Educación y cultura ambiental, además de los costos de gestión del proyecto, costo de elaboración del estudio definitivo que comprende expediente técnico de obra, especificaciones técnicas para el equipamiento y términos de referencia para los servicios debiendo incluirse el costo por el estudio ambiental, costo de supervisión del estudio definitivo y costo de supervisión de la obra y liquidación).</t>
  </si>
  <si>
    <t>5.-</t>
  </si>
  <si>
    <t>Documento(s) de saneamiento físico legal del(os) terreno(s) para las infraestructuras proyectadas.</t>
  </si>
  <si>
    <t>6.-</t>
  </si>
  <si>
    <t>Diseño de rutas de recolección.</t>
  </si>
  <si>
    <t>7.-</t>
  </si>
  <si>
    <t>8.-</t>
  </si>
  <si>
    <t>Estudio de caracterización de residuos sólidos municipales.</t>
  </si>
  <si>
    <t>9.-</t>
  </si>
  <si>
    <t>Cotizaciones de los principales equipos (vehículos, maquinarias, equipos almacenamiento, equipos barrido).</t>
  </si>
  <si>
    <t>10.-</t>
  </si>
  <si>
    <t xml:space="preserve">Planos i) Perimétrico, ii) distribución iii) plano de ubicación del proyecto y vías existentes, iv) perfiles longitudinales y transversales v) diseño de Infraestructura vi) sistemas de gestión y manejo de lixiviados y gases vii) Sistema de gestión de aguas pluviales y viii) memoria descriptiva de diseño de las infraestructuras. </t>
  </si>
  <si>
    <t>Responsable de la Unidad Formuladora</t>
  </si>
  <si>
    <t>Estudio Definitivo (*)</t>
  </si>
  <si>
    <t xml:space="preserve">Supervisión del Estudio Definitivo </t>
  </si>
  <si>
    <t>COSTO DE INVERSION TOTAL S/</t>
  </si>
  <si>
    <t>(Nota: Distribuir las UNIDADES DE EQUIPAMIENTO en los períodos que correspondan)</t>
  </si>
  <si>
    <r>
      <rPr>
        <b/>
        <sz val="10"/>
        <rFont val="Arial Narrow"/>
        <family val="2"/>
      </rPr>
      <t xml:space="preserve">(*) </t>
    </r>
    <r>
      <rPr>
        <sz val="10"/>
        <rFont val="Arial Narrow"/>
        <family val="2"/>
      </rPr>
      <t xml:space="preserve">Estudio definitivo (Expediente Técnico para la obra el cual deberá considerar los estudios necesarios según los criterios técnicos que le apliquen, Especificaciones Técnicas para equipamiento y TdR para servicios);      </t>
    </r>
    <r>
      <rPr>
        <b/>
        <sz val="10"/>
        <rFont val="Arial Narrow"/>
        <family val="2"/>
      </rPr>
      <t xml:space="preserve"> (**)</t>
    </r>
    <r>
      <rPr>
        <sz val="10"/>
        <rFont val="Arial Narrow"/>
        <family val="2"/>
      </rPr>
      <t xml:space="preserve"> Liquidación del Proyecto (Obra/equipamiento/servicios). </t>
    </r>
  </si>
  <si>
    <t xml:space="preserve">Estudio Definitivo </t>
  </si>
  <si>
    <t>COSTO UNITARIO
S/</t>
  </si>
  <si>
    <t>GASTOS GENERALES (   % CD )</t>
  </si>
  <si>
    <t>UTILIDAD (    % CD )</t>
  </si>
  <si>
    <t>GASTOS GENERALES (     % CD )</t>
  </si>
  <si>
    <t>UTILIDAD (     % CD )</t>
  </si>
  <si>
    <t>TOTAL (S/)</t>
  </si>
  <si>
    <t>Supervisión de ejecución del Proyecto</t>
  </si>
  <si>
    <t>Liquidación del proyecto</t>
  </si>
  <si>
    <t>Supervisión de ejecución de Proyecto</t>
  </si>
  <si>
    <t>Liquidación del proyecto (**)</t>
  </si>
  <si>
    <t>2018</t>
  </si>
  <si>
    <t>OCURRENCIA</t>
  </si>
  <si>
    <t>AFECTACIÓN</t>
  </si>
  <si>
    <t>Área total (m2)</t>
  </si>
  <si>
    <t>COSTO UNITARIO
(S/ )</t>
  </si>
  <si>
    <t>INFORMACIÓN BÁSICA PARA LA FICHA TÉCNICA</t>
  </si>
  <si>
    <t>REQUERIMIENTOS</t>
  </si>
  <si>
    <t>COSTOS PARCIALES S/</t>
  </si>
  <si>
    <t>COSTOS DE EQUIPAMIENTO Y CONSULTORÍAS</t>
  </si>
  <si>
    <t>COSTO UNITARIO S/</t>
  </si>
  <si>
    <t>PRESUPUESTO - VALORIZACIÓN INORGÁNICA</t>
  </si>
  <si>
    <t>PRESUPUESTO - VALORIZACIÓN ORGÁNICA</t>
  </si>
  <si>
    <t>PRESUPUESTO - RELLENO SANITARIO</t>
  </si>
  <si>
    <t>Precio (S/)</t>
  </si>
  <si>
    <t>Parcial (S/)</t>
  </si>
  <si>
    <t>COSTO</t>
  </si>
  <si>
    <t>UNITARIO (S/)</t>
  </si>
  <si>
    <t>COSTO S/</t>
  </si>
  <si>
    <t>Costo Unitario (S/)</t>
  </si>
  <si>
    <t>COSTOS DE OPERACIÓN Y MANTENIMIENTO</t>
  </si>
  <si>
    <t>REINVERSIONES</t>
  </si>
  <si>
    <t>Total (S/)</t>
  </si>
  <si>
    <t>METODOLOGÍA COSTO EFICACIA</t>
  </si>
  <si>
    <t>Indicador de Eficacia</t>
  </si>
  <si>
    <t>Indicador de eficacia</t>
  </si>
  <si>
    <t>Costo Eficacia - CE (S/ton.)</t>
  </si>
  <si>
    <t>Costo eficacia - CE (S/ton.)</t>
  </si>
  <si>
    <t>CE = Costo Eficacia</t>
  </si>
  <si>
    <t>IE = Indice Eficacia</t>
  </si>
  <si>
    <t>Costos según alternativa (S/)</t>
  </si>
  <si>
    <t>Costo a precio de mercado 
(S/)</t>
  </si>
  <si>
    <t>N DE PERíODOS</t>
  </si>
  <si>
    <t xml:space="preserve">equipos para el relleno sanitario </t>
  </si>
  <si>
    <t xml:space="preserve">              ACCIONES</t>
  </si>
  <si>
    <t xml:space="preserve">         COBERTURA  PLANCHAS GRAN ONDA (INCLUYE ACCESORIOS DE FIJACIÓ)</t>
  </si>
  <si>
    <t xml:space="preserve">         COBERTURA  PLANCHAS TRANSLUCIDAS (INCLUYE ACCESORIOS DE FIJACIÓN)</t>
  </si>
  <si>
    <t xml:space="preserve">         PINTURA LÁTEX LAVABLE EN INTERIORES 2 MANOS </t>
  </si>
  <si>
    <t>O</t>
  </si>
  <si>
    <t>COSTO DE ELABORACIÓN DEL ESTUDIOS DEFINITIVO (EXPDIENTE TÉCNICO DE LA OBRA, ESPECIFICACIONES TÉCNICAS DEL EQUIPAMIENTO Y TDR DE LOS SERVICIOS) Y ESTUDIO AMBIENTAL</t>
  </si>
  <si>
    <t>COSTO DE SUPERVISIÓN DEL ESTUDIO DEFINITIVO</t>
  </si>
  <si>
    <t>SUPERVISIÓN DE ESTUDIO DEFINITIVO (EXPEDIENTE TÉCNICO, ESPECIFICACIONES Y TDR)</t>
  </si>
  <si>
    <t xml:space="preserve">PERSONAL DE DIRECCIÓN PARA SUPERVISIÓN </t>
  </si>
  <si>
    <t>PERSONAL DE DIRECCIÓN DE SUPERVISIÓN DE EJECUCIÓN DE OBRA, EQUIPAMIENTO Y SERVICIOS</t>
  </si>
  <si>
    <t>PRESUPUESTO - ESTUDIO DEFINITIVO (EXPEDIENTE TÉCNICO, ESPECIFICACIONES TÉCNICAS, TÉRMINOS DE REFERENCIA Y OTROS)</t>
  </si>
  <si>
    <t>Vías arteriales (avenidas)</t>
  </si>
  <si>
    <t xml:space="preserve">Vías colectoras </t>
  </si>
  <si>
    <t>UCAYALI</t>
  </si>
  <si>
    <t>CORONEL PORTILLO</t>
  </si>
  <si>
    <t>CALLERÍA</t>
  </si>
  <si>
    <t>SAN JUAN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</si>
</sst>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64" formatCode="_(* #,##0.00_);_(* \(#,##0.00\);_(* &quot;-&quot;??_);_(@_)"/>
    <numFmt numFmtId="165" formatCode="&quot;€&quot;#,##0.00_);[Red]\(&quot;€&quot;#,##0.00\)"/>
    <numFmt numFmtId="166" formatCode="_(&quot;€&quot;* #,##0.00_);_(&quot;€&quot;* \(#,##0.00\);_(&quot;€&quot;* &quot;-&quot;??_);_(@_)"/>
    <numFmt numFmtId="167" formatCode="&quot;$&quot;#,##0.00;[Red]\-&quot;$&quot;#,##0.00"/>
    <numFmt numFmtId="168" formatCode="_(* #,##0_);_(* \(#,##0\);_(* &quot;-&quot;_);_(@_)"/>
    <numFmt numFmtId="169" formatCode="#,##0.000"/>
    <numFmt numFmtId="170" formatCode="0.000"/>
    <numFmt numFmtId="171" formatCode="0.0000"/>
    <numFmt numFmtId="172" formatCode="#,##0.0"/>
    <numFmt numFmtId="173" formatCode="0.0"/>
    <numFmt numFmtId="174" formatCode="_ * #,##0_ ;_ * \-#,##0_ ;_ * &quot;-&quot;??_ ;_ @_ "/>
    <numFmt numFmtId="175" formatCode="_(* #,##0_);_(* \(#,##0\);_(* &quot;-&quot;??_);_(@_)"/>
    <numFmt numFmtId="176" formatCode="#,##0.00_ ;\-#,##0.00\ "/>
    <numFmt numFmtId="177" formatCode="0.0%"/>
    <numFmt numFmtId="178" formatCode="_-* #,##0_-;\-* #,##0_-;_-* &quot;-&quot;??_-;_-@_-"/>
    <numFmt numFmtId="179" formatCode="&quot;S/.&quot;\ #,##0.00"/>
    <numFmt numFmtId="180" formatCode="#,##0_ ;\-#,##0\ "/>
    <numFmt numFmtId="181" formatCode="0.00;[Red]0.00"/>
    <numFmt numFmtId="182" formatCode="&quot;S/.&quot;\ #,##0"/>
    <numFmt numFmtId="183" formatCode="&quot;S/&quot;#,##0.00"/>
    <numFmt numFmtId="184" formatCode="0\ &quot;AÑOS&quot;"/>
    <numFmt numFmtId="185" formatCode="0\ &quot;MESES&quot;"/>
    <numFmt numFmtId="186" formatCode="0.0\ &quot;AÑOS&quot;"/>
    <numFmt numFmtId="187" formatCode="#,##0.0;\-#,##0.0"/>
    <numFmt numFmtId="188" formatCode="&quot;S/.&quot;\ #,##0.000"/>
    <numFmt numFmtId="189" formatCode="#,##0.000;\-#,##0.000"/>
    <numFmt numFmtId="190" formatCode="#,##0.0000"/>
    <numFmt numFmtId="191" formatCode="&quot;S/.&quot;\ #,##0.000000"/>
  </numFmts>
  <fonts count="83">
    <font>
      <sz val="11"/>
      <color theme="1"/>
      <name val="Calibri"/>
      <family val="2"/>
      <scheme val="minor"/>
    </font>
    <font>
      <sz val="11"/>
      <color indexed="8"/>
      <name val="Calibri"/>
      <family val="2"/>
    </font>
    <font>
      <sz val="11"/>
      <color indexed="8"/>
      <name val="Calibri"/>
      <family val="2"/>
    </font>
    <font>
      <sz val="11"/>
      <color indexed="8"/>
      <name val="Calibri"/>
      <family val="2"/>
    </font>
    <font>
      <sz val="11"/>
      <color indexed="8"/>
      <name val="Calibri"/>
      <family val="2"/>
    </font>
    <font>
      <sz val="10"/>
      <name val="Arial"/>
      <family val="2"/>
    </font>
    <font>
      <sz val="10"/>
      <color indexed="8"/>
      <name val="MS Sans Serif"/>
      <family val="2"/>
    </font>
    <font>
      <sz val="8"/>
      <name val="Arial"/>
      <family val="2"/>
    </font>
    <font>
      <sz val="8"/>
      <name val="Arial"/>
      <family val="2"/>
    </font>
    <font>
      <sz val="10"/>
      <name val="Arial"/>
      <family val="2"/>
    </font>
    <font>
      <sz val="11"/>
      <color indexed="8"/>
      <name val="Calibri"/>
      <family val="2"/>
    </font>
    <font>
      <b/>
      <sz val="11"/>
      <color indexed="8"/>
      <name val="Calibri"/>
      <family val="2"/>
    </font>
    <font>
      <sz val="8"/>
      <name val="Arial"/>
      <family val="2"/>
    </font>
    <font>
      <sz val="11"/>
      <color indexed="8"/>
      <name val="Calibri"/>
      <family val="2"/>
    </font>
    <font>
      <b/>
      <sz val="18"/>
      <name val="Helv"/>
    </font>
    <font>
      <b/>
      <sz val="12"/>
      <name val="Helv"/>
    </font>
    <font>
      <sz val="11"/>
      <color indexed="9"/>
      <name val="Calibri"/>
      <family val="2"/>
    </font>
    <font>
      <sz val="10"/>
      <name val="Arial"/>
      <family val="2"/>
    </font>
    <font>
      <sz val="11"/>
      <name val="ＭＳ Ｐゴシック"/>
      <family val="3"/>
      <charset val="128"/>
    </font>
    <font>
      <sz val="10"/>
      <name val="Arial"/>
      <family val="2"/>
    </font>
    <font>
      <b/>
      <sz val="18"/>
      <color indexed="62"/>
      <name val="Cambria"/>
      <family val="2"/>
    </font>
    <font>
      <u/>
      <sz val="6"/>
      <color indexed="12"/>
      <name val="Arial"/>
      <family val="2"/>
    </font>
    <font>
      <sz val="10"/>
      <name val="Arial"/>
      <family val="2"/>
    </font>
    <font>
      <sz val="8"/>
      <name val="Arial"/>
      <family val="2"/>
    </font>
    <font>
      <sz val="9"/>
      <color indexed="81"/>
      <name val="Tahoma"/>
      <family val="2"/>
    </font>
    <font>
      <b/>
      <sz val="9"/>
      <color indexed="81"/>
      <name val="Tahoma"/>
      <family val="2"/>
    </font>
    <font>
      <sz val="10"/>
      <name val="Arial"/>
      <family val="2"/>
    </font>
    <font>
      <sz val="10"/>
      <name val="Arial Narrow"/>
      <family val="2"/>
    </font>
    <font>
      <b/>
      <sz val="8"/>
      <name val="Arial"/>
      <family val="2"/>
    </font>
    <font>
      <b/>
      <sz val="10"/>
      <name val="Arial Narrow"/>
      <family val="2"/>
    </font>
    <font>
      <b/>
      <sz val="9"/>
      <name val="Arial Narrow"/>
      <family val="2"/>
    </font>
    <font>
      <sz val="9"/>
      <name val="Arial Narrow"/>
      <family val="2"/>
    </font>
    <font>
      <sz val="11"/>
      <color theme="1"/>
      <name val="Calibri"/>
      <family val="2"/>
      <scheme val="minor"/>
    </font>
    <font>
      <u/>
      <sz val="11"/>
      <color theme="10"/>
      <name val="Calibri"/>
      <family val="2"/>
      <scheme val="minor"/>
    </font>
    <font>
      <sz val="11"/>
      <color rgb="FF000000"/>
      <name val="Calibri"/>
      <family val="2"/>
    </font>
    <font>
      <sz val="9"/>
      <color theme="1"/>
      <name val="Calibri"/>
      <family val="2"/>
      <scheme val="minor"/>
    </font>
    <font>
      <sz val="10"/>
      <name val="Calibri"/>
      <family val="2"/>
      <scheme val="minor"/>
    </font>
    <font>
      <b/>
      <sz val="10"/>
      <name val="Calibri"/>
      <family val="2"/>
      <scheme val="minor"/>
    </font>
    <font>
      <b/>
      <sz val="9"/>
      <name val="Calibri"/>
      <family val="2"/>
      <scheme val="minor"/>
    </font>
    <font>
      <sz val="9"/>
      <name val="Calibri"/>
      <family val="2"/>
      <scheme val="minor"/>
    </font>
    <font>
      <sz val="8"/>
      <name val="Calibri"/>
      <family val="2"/>
      <scheme val="minor"/>
    </font>
    <font>
      <b/>
      <u/>
      <sz val="9"/>
      <name val="Calibri"/>
      <family val="2"/>
      <scheme val="minor"/>
    </font>
    <font>
      <b/>
      <sz val="8"/>
      <name val="Calibri"/>
      <family val="2"/>
      <scheme val="minor"/>
    </font>
    <font>
      <sz val="11"/>
      <name val="Calibri"/>
      <family val="2"/>
      <scheme val="minor"/>
    </font>
    <font>
      <b/>
      <sz val="11"/>
      <name val="Calibri"/>
      <family val="2"/>
      <scheme val="minor"/>
    </font>
    <font>
      <b/>
      <u/>
      <sz val="11"/>
      <name val="Calibri"/>
      <family val="2"/>
      <scheme val="minor"/>
    </font>
    <font>
      <b/>
      <sz val="12"/>
      <color theme="1"/>
      <name val="Calibri"/>
      <family val="2"/>
      <scheme val="minor"/>
    </font>
    <font>
      <sz val="14"/>
      <color theme="1"/>
      <name val="Calibri"/>
      <family val="2"/>
      <scheme val="minor"/>
    </font>
    <font>
      <sz val="18"/>
      <color theme="1"/>
      <name val="Calibri"/>
      <family val="2"/>
      <scheme val="minor"/>
    </font>
    <font>
      <sz val="20"/>
      <color theme="1"/>
      <name val="Calibri"/>
      <family val="2"/>
      <scheme val="minor"/>
    </font>
    <font>
      <sz val="20"/>
      <color rgb="FF000000"/>
      <name val="Calibri"/>
      <family val="2"/>
      <scheme val="minor"/>
    </font>
    <font>
      <b/>
      <sz val="9"/>
      <color theme="1"/>
      <name val="Calibri"/>
      <family val="2"/>
      <scheme val="minor"/>
    </font>
    <font>
      <b/>
      <sz val="11"/>
      <color rgb="FF000000"/>
      <name val="Calibri"/>
      <family val="2"/>
      <scheme val="minor"/>
    </font>
    <font>
      <sz val="11"/>
      <color rgb="FF000000"/>
      <name val="Calibri"/>
      <family val="2"/>
      <scheme val="minor"/>
    </font>
    <font>
      <b/>
      <sz val="26"/>
      <color theme="1"/>
      <name val="Calibri"/>
      <family val="2"/>
      <scheme val="minor"/>
    </font>
    <font>
      <sz val="12"/>
      <name val="Calibri"/>
      <family val="2"/>
      <scheme val="minor"/>
    </font>
    <font>
      <b/>
      <sz val="12"/>
      <name val="Calibri"/>
      <family val="2"/>
      <scheme val="minor"/>
    </font>
    <font>
      <b/>
      <u/>
      <sz val="12"/>
      <name val="Calibri"/>
      <family val="2"/>
      <scheme val="minor"/>
    </font>
    <font>
      <sz val="12"/>
      <color rgb="FFFF0000"/>
      <name val="Calibri"/>
      <family val="2"/>
      <scheme val="minor"/>
    </font>
    <font>
      <b/>
      <sz val="12"/>
      <color rgb="FF2F2F2F"/>
      <name val="Calibri"/>
      <family val="2"/>
      <scheme val="minor"/>
    </font>
    <font>
      <u/>
      <sz val="12"/>
      <name val="Calibri"/>
      <family val="2"/>
      <scheme val="minor"/>
    </font>
    <font>
      <b/>
      <sz val="12"/>
      <color rgb="FFFF0000"/>
      <name val="Calibri"/>
      <family val="2"/>
      <scheme val="minor"/>
    </font>
    <font>
      <b/>
      <sz val="16"/>
      <name val="Calibri"/>
      <family val="2"/>
      <scheme val="minor"/>
    </font>
    <font>
      <sz val="14"/>
      <name val="Calibri"/>
      <family val="2"/>
      <scheme val="minor"/>
    </font>
    <font>
      <sz val="10.5"/>
      <name val="Calibri"/>
      <family val="2"/>
      <scheme val="minor"/>
    </font>
    <font>
      <b/>
      <sz val="14"/>
      <name val="Calibri"/>
      <family val="2"/>
      <scheme val="minor"/>
    </font>
    <font>
      <b/>
      <sz val="8"/>
      <color theme="1"/>
      <name val="Calibri"/>
      <family val="2"/>
      <scheme val="minor"/>
    </font>
    <font>
      <b/>
      <sz val="12"/>
      <color rgb="FF0000FF"/>
      <name val="Calibri"/>
      <family val="2"/>
    </font>
    <font>
      <b/>
      <sz val="10"/>
      <color rgb="FF0000FF"/>
      <name val="Calibri"/>
      <family val="2"/>
    </font>
    <font>
      <u/>
      <sz val="11"/>
      <name val="Calibri"/>
      <family val="2"/>
    </font>
    <font>
      <sz val="11"/>
      <name val="Calibri"/>
      <family val="2"/>
    </font>
    <font>
      <sz val="9"/>
      <color rgb="FFC00000"/>
      <name val="Calibri"/>
      <family val="2"/>
      <scheme val="minor"/>
    </font>
    <font>
      <sz val="7"/>
      <name val="Calibri"/>
      <family val="2"/>
      <scheme val="minor"/>
    </font>
    <font>
      <b/>
      <sz val="11"/>
      <color rgb="FFFFFF00"/>
      <name val="Calibri"/>
      <family val="2"/>
      <scheme val="minor"/>
    </font>
    <font>
      <sz val="12"/>
      <color theme="1"/>
      <name val="Calibri"/>
      <family val="2"/>
      <scheme val="minor"/>
    </font>
    <font>
      <sz val="8"/>
      <color rgb="FFFFFF00"/>
      <name val="Calibri"/>
      <family val="2"/>
      <scheme val="minor"/>
    </font>
    <font>
      <sz val="12"/>
      <color theme="0"/>
      <name val="Calibri"/>
      <family val="2"/>
      <scheme val="minor"/>
    </font>
    <font>
      <b/>
      <sz val="16"/>
      <color rgb="FF000000"/>
      <name val="Calibri"/>
      <family val="2"/>
      <scheme val="minor"/>
    </font>
    <font>
      <b/>
      <sz val="13"/>
      <name val="Calibri"/>
      <family val="2"/>
      <scheme val="minor"/>
    </font>
    <font>
      <b/>
      <sz val="15"/>
      <name val="Calibri"/>
      <family val="2"/>
      <scheme val="minor"/>
    </font>
    <font>
      <b/>
      <u/>
      <sz val="10"/>
      <name val="Calibri"/>
      <family val="2"/>
      <scheme val="minor"/>
    </font>
    <font>
      <i/>
      <sz val="10"/>
      <name val="Calibri"/>
      <family val="2"/>
      <scheme val="minor"/>
    </font>
    <font>
      <b/>
      <sz val="17"/>
      <name val="Calibri"/>
      <family val="2"/>
      <scheme val="minor"/>
    </font>
  </fonts>
  <fills count="29">
    <fill>
      <patternFill patternType="none"/>
    </fill>
    <fill>
      <patternFill patternType="gray125"/>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6"/>
        <bgColor indexed="64"/>
      </patternFill>
    </fill>
    <fill>
      <patternFill patternType="solid">
        <fgColor rgb="FFD9D9D9"/>
        <bgColor indexed="64"/>
      </patternFill>
    </fill>
    <fill>
      <patternFill patternType="solid">
        <fgColor rgb="FFFFFFFF"/>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F0000"/>
        <bgColor indexed="64"/>
      </patternFill>
    </fill>
    <fill>
      <patternFill patternType="solid">
        <fgColor theme="8" tint="0.79998168889431442"/>
        <bgColor indexed="64"/>
      </patternFill>
    </fill>
    <fill>
      <patternFill patternType="solid">
        <fgColor theme="3"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49"/>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8" tint="-0.24994659260841701"/>
      </left>
      <right style="thin">
        <color theme="8" tint="-0.24994659260841701"/>
      </right>
      <top style="thin">
        <color theme="8" tint="-0.24994659260841701"/>
      </top>
      <bottom style="thin">
        <color theme="8" tint="-0.24994659260841701"/>
      </bottom>
      <diagonal/>
    </border>
  </borders>
  <cellStyleXfs count="131">
    <xf numFmtId="0" fontId="0" fillId="0" borderId="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1" fillId="2" borderId="0" applyNumberFormat="0" applyBorder="0" applyAlignment="0" applyProtection="0"/>
    <xf numFmtId="0" fontId="11" fillId="3" borderId="0" applyNumberFormat="0" applyBorder="0" applyAlignment="0" applyProtection="0"/>
    <xf numFmtId="0" fontId="11" fillId="4"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6"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6" fillId="9" borderId="0" applyNumberFormat="0" applyBorder="0" applyAlignment="0" applyProtection="0"/>
    <xf numFmtId="0" fontId="1" fillId="7" borderId="0" applyNumberFormat="0" applyBorder="0" applyAlignment="0" applyProtection="0"/>
    <xf numFmtId="0" fontId="1" fillId="10" borderId="0" applyNumberFormat="0" applyBorder="0" applyAlignment="0" applyProtection="0"/>
    <xf numFmtId="0" fontId="16"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6" fillId="8" borderId="0" applyNumberFormat="0" applyBorder="0" applyAlignment="0" applyProtection="0"/>
    <xf numFmtId="0" fontId="1" fillId="11" borderId="0" applyNumberFormat="0" applyBorder="0" applyAlignment="0" applyProtection="0"/>
    <xf numFmtId="0" fontId="1" fillId="5" borderId="0" applyNumberFormat="0" applyBorder="0" applyAlignment="0" applyProtection="0"/>
    <xf numFmtId="0" fontId="16" fillId="6" borderId="0" applyNumberFormat="0" applyBorder="0" applyAlignment="0" applyProtection="0"/>
    <xf numFmtId="0" fontId="1" fillId="7" borderId="0" applyNumberFormat="0" applyBorder="0" applyAlignment="0" applyProtection="0"/>
    <xf numFmtId="0" fontId="1" fillId="12" borderId="0" applyNumberFormat="0" applyBorder="0" applyAlignment="0" applyProtection="0"/>
    <xf numFmtId="0" fontId="16" fillId="12" borderId="0" applyNumberFormat="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14" fillId="0" borderId="0"/>
    <xf numFmtId="0" fontId="15" fillId="0" borderId="0"/>
    <xf numFmtId="0" fontId="33" fillId="0" borderId="0" applyNumberFormat="0" applyFill="0" applyBorder="0" applyAlignment="0" applyProtection="0"/>
    <xf numFmtId="0" fontId="21" fillId="0" borderId="0" applyNumberFormat="0" applyFill="0" applyBorder="0" applyAlignment="0" applyProtection="0">
      <alignment vertical="top"/>
      <protection locked="0"/>
    </xf>
    <xf numFmtId="164" fontId="4" fillId="0" borderId="0" applyFont="0" applyFill="0" applyBorder="0" applyAlignment="0" applyProtection="0"/>
    <xf numFmtId="168" fontId="1" fillId="0" borderId="0" applyFont="0" applyFill="0" applyBorder="0" applyAlignment="0" applyProtection="0"/>
    <xf numFmtId="180"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70" fontId="5" fillId="0" borderId="0" applyFont="0" applyFill="0" applyBorder="0" applyAlignment="0" applyProtection="0"/>
    <xf numFmtId="170" fontId="5" fillId="0" borderId="0" applyFont="0" applyFill="0" applyBorder="0" applyAlignment="0" applyProtection="0"/>
    <xf numFmtId="164" fontId="4" fillId="0" borderId="0" applyFont="0" applyFill="0" applyBorder="0" applyAlignment="0" applyProtection="0"/>
    <xf numFmtId="0" fontId="5" fillId="0" borderId="0" applyFont="0" applyFill="0" applyBorder="0" applyAlignment="0" applyProtection="0"/>
    <xf numFmtId="164" fontId="5" fillId="0" borderId="0" applyFont="0" applyFill="0" applyBorder="0" applyAlignment="0" applyProtection="0"/>
    <xf numFmtId="164" fontId="4" fillId="0" borderId="0" applyFont="0" applyFill="0" applyBorder="0" applyAlignment="0" applyProtection="0"/>
    <xf numFmtId="167" fontId="4" fillId="0" borderId="0" applyFont="0" applyFill="0" applyBorder="0" applyAlignment="0" applyProtection="0"/>
    <xf numFmtId="164" fontId="10" fillId="0" borderId="0" applyFont="0" applyFill="0" applyBorder="0" applyAlignment="0" applyProtection="0"/>
    <xf numFmtId="164" fontId="2" fillId="0" borderId="0" applyFont="0" applyFill="0" applyBorder="0" applyAlignment="0" applyProtection="0"/>
    <xf numFmtId="164" fontId="1" fillId="0" borderId="0" applyFont="0" applyFill="0" applyBorder="0" applyAlignment="0" applyProtection="0"/>
    <xf numFmtId="164" fontId="13" fillId="0" borderId="0" applyFont="0" applyFill="0" applyBorder="0" applyAlignment="0" applyProtection="0"/>
    <xf numFmtId="164" fontId="5"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32" fillId="0" borderId="0" applyFont="0" applyFill="0" applyBorder="0" applyAlignment="0" applyProtection="0"/>
    <xf numFmtId="174" fontId="32" fillId="0" borderId="0" applyFont="0" applyFill="0" applyBorder="0" applyAlignment="0" applyProtection="0"/>
    <xf numFmtId="174" fontId="1" fillId="0" borderId="0" applyFont="0" applyFill="0" applyBorder="0" applyAlignment="0" applyProtection="0"/>
    <xf numFmtId="164" fontId="1" fillId="0" borderId="0" applyFont="0" applyFill="0" applyBorder="0" applyAlignment="0" applyProtection="0"/>
    <xf numFmtId="0" fontId="32" fillId="0" borderId="0"/>
    <xf numFmtId="0" fontId="1" fillId="0" borderId="0"/>
    <xf numFmtId="0" fontId="32" fillId="0" borderId="0"/>
    <xf numFmtId="0" fontId="32" fillId="0" borderId="0"/>
    <xf numFmtId="0" fontId="32" fillId="0" borderId="0"/>
    <xf numFmtId="0" fontId="5" fillId="0" borderId="0"/>
    <xf numFmtId="0" fontId="32" fillId="0" borderId="0"/>
    <xf numFmtId="0" fontId="32" fillId="0" borderId="0"/>
    <xf numFmtId="0" fontId="32" fillId="0" borderId="0"/>
    <xf numFmtId="0" fontId="32" fillId="0" borderId="0"/>
    <xf numFmtId="0" fontId="32" fillId="0" borderId="0"/>
    <xf numFmtId="0" fontId="32" fillId="0" borderId="0"/>
    <xf numFmtId="0" fontId="3" fillId="0" borderId="0"/>
    <xf numFmtId="0" fontId="2" fillId="0" borderId="0"/>
    <xf numFmtId="0" fontId="1" fillId="0" borderId="0"/>
    <xf numFmtId="0" fontId="1" fillId="0" borderId="0" applyNumberFormat="0" applyFont="0" applyBorder="0" applyProtection="0"/>
    <xf numFmtId="0" fontId="7" fillId="0" borderId="0">
      <alignment vertical="center"/>
    </xf>
    <xf numFmtId="0" fontId="32" fillId="0" borderId="0"/>
    <xf numFmtId="0" fontId="5" fillId="0" borderId="0"/>
    <xf numFmtId="0" fontId="1" fillId="0" borderId="0" applyNumberFormat="0" applyFont="0" applyBorder="0" applyProtection="0"/>
    <xf numFmtId="0" fontId="32" fillId="0" borderId="0"/>
    <xf numFmtId="0" fontId="32" fillId="0" borderId="0"/>
    <xf numFmtId="0" fontId="32" fillId="0" borderId="0"/>
    <xf numFmtId="0" fontId="17" fillId="0" borderId="0"/>
    <xf numFmtId="0" fontId="5" fillId="0" borderId="0"/>
    <xf numFmtId="0" fontId="7" fillId="0" borderId="0">
      <alignment vertical="center"/>
    </xf>
    <xf numFmtId="0" fontId="5" fillId="0" borderId="0"/>
    <xf numFmtId="0" fontId="19" fillId="0" borderId="0"/>
    <xf numFmtId="0" fontId="5" fillId="0" borderId="0"/>
    <xf numFmtId="0" fontId="22" fillId="0" borderId="0"/>
    <xf numFmtId="0" fontId="23" fillId="0" borderId="0">
      <alignment vertical="center"/>
    </xf>
    <xf numFmtId="0" fontId="7" fillId="0" borderId="0">
      <alignment vertical="center"/>
    </xf>
    <xf numFmtId="0" fontId="26" fillId="0" borderId="0"/>
    <xf numFmtId="0" fontId="5" fillId="0" borderId="0"/>
    <xf numFmtId="0" fontId="7" fillId="0" borderId="0">
      <alignment vertical="center"/>
    </xf>
    <xf numFmtId="0" fontId="32" fillId="0" borderId="0"/>
    <xf numFmtId="0" fontId="34" fillId="0" borderId="0"/>
    <xf numFmtId="0" fontId="8" fillId="0" borderId="0">
      <alignment vertical="center"/>
    </xf>
    <xf numFmtId="0" fontId="7" fillId="0" borderId="0">
      <alignment vertical="center"/>
    </xf>
    <xf numFmtId="0" fontId="32" fillId="0" borderId="0"/>
    <xf numFmtId="0" fontId="32" fillId="0" borderId="0"/>
    <xf numFmtId="0" fontId="5" fillId="0" borderId="0"/>
    <xf numFmtId="0" fontId="1" fillId="0" borderId="0" applyNumberFormat="0" applyFont="0" applyBorder="0" applyProtection="0"/>
    <xf numFmtId="0" fontId="9" fillId="0" borderId="0"/>
    <xf numFmtId="0" fontId="5" fillId="0" borderId="0"/>
    <xf numFmtId="0" fontId="5" fillId="0" borderId="0"/>
    <xf numFmtId="0" fontId="32" fillId="0" borderId="0"/>
    <xf numFmtId="0" fontId="12" fillId="0" borderId="0">
      <alignment vertical="center"/>
    </xf>
    <xf numFmtId="0" fontId="5" fillId="0" borderId="0"/>
    <xf numFmtId="0" fontId="5" fillId="0" borderId="0"/>
    <xf numFmtId="0" fontId="32" fillId="0" borderId="0"/>
    <xf numFmtId="0" fontId="32" fillId="0" borderId="0"/>
    <xf numFmtId="0" fontId="5" fillId="0" borderId="0"/>
    <xf numFmtId="0" fontId="32" fillId="0" borderId="0"/>
    <xf numFmtId="0" fontId="32" fillId="0" borderId="0"/>
    <xf numFmtId="0" fontId="6" fillId="0" borderId="0"/>
    <xf numFmtId="9" fontId="5" fillId="0" borderId="0" applyFont="0" applyFill="0" applyBorder="0" applyAlignment="0" applyProtection="0"/>
    <xf numFmtId="9" fontId="5" fillId="0" borderId="0" applyFont="0" applyFill="0" applyBorder="0" applyAlignment="0" applyProtection="0"/>
    <xf numFmtId="9" fontId="2" fillId="0" borderId="0" applyFont="0" applyFill="0" applyBorder="0" applyAlignment="0" applyProtection="0"/>
    <xf numFmtId="9" fontId="10" fillId="0" borderId="0" applyFont="0" applyFill="0" applyBorder="0" applyAlignment="0" applyProtection="0"/>
    <xf numFmtId="9" fontId="32"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5" fillId="0" borderId="0" applyFont="0" applyFill="0" applyBorder="0" applyAlignment="0" applyProtection="0"/>
    <xf numFmtId="9" fontId="9"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32" fillId="0" borderId="0" applyFont="0" applyFill="0" applyBorder="0" applyAlignment="0" applyProtection="0"/>
    <xf numFmtId="9" fontId="2" fillId="0" borderId="0" applyFont="0" applyFill="0" applyBorder="0" applyAlignment="0" applyProtection="0"/>
    <xf numFmtId="9" fontId="5" fillId="0" borderId="0" applyFont="0" applyFill="0" applyBorder="0" applyAlignment="0" applyProtection="0"/>
    <xf numFmtId="9" fontId="17"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0" fontId="20" fillId="0" borderId="0" applyNumberFormat="0" applyFill="0" applyBorder="0" applyAlignment="0" applyProtection="0"/>
    <xf numFmtId="38" fontId="18" fillId="0" borderId="0" applyFont="0" applyFill="0" applyBorder="0" applyAlignment="0" applyProtection="0">
      <alignment vertical="center"/>
    </xf>
    <xf numFmtId="0" fontId="5" fillId="0" borderId="0"/>
  </cellStyleXfs>
  <cellXfs count="1985">
    <xf numFmtId="0" fontId="0" fillId="0" borderId="0" xfId="0"/>
    <xf numFmtId="0" fontId="36" fillId="0" borderId="0" xfId="0" applyFont="1"/>
    <xf numFmtId="0" fontId="36" fillId="0" borderId="0" xfId="0" applyFont="1" applyAlignment="1">
      <alignment horizontal="center" vertical="center"/>
    </xf>
    <xf numFmtId="0" fontId="36" fillId="0" borderId="0" xfId="0" applyFont="1" applyFill="1"/>
    <xf numFmtId="2" fontId="36" fillId="0" borderId="0" xfId="0" applyNumberFormat="1" applyFont="1" applyFill="1" applyBorder="1" applyAlignment="1">
      <alignment horizontal="center" vertical="center" wrapText="1"/>
    </xf>
    <xf numFmtId="0" fontId="38" fillId="0" borderId="1" xfId="0" applyFont="1" applyFill="1" applyBorder="1" applyAlignment="1">
      <alignment horizontal="center" vertical="center"/>
    </xf>
    <xf numFmtId="0" fontId="39" fillId="0" borderId="1" xfId="0" applyFont="1" applyFill="1" applyBorder="1" applyAlignment="1">
      <alignment horizontal="center" vertical="center"/>
    </xf>
    <xf numFmtId="0" fontId="39" fillId="0" borderId="1" xfId="0" applyFont="1" applyFill="1" applyBorder="1" applyAlignment="1">
      <alignment vertical="center" wrapText="1"/>
    </xf>
    <xf numFmtId="0" fontId="39" fillId="0" borderId="1" xfId="0" applyFont="1" applyFill="1" applyBorder="1" applyAlignment="1">
      <alignment horizontal="left" vertical="center"/>
    </xf>
    <xf numFmtId="0" fontId="39" fillId="0" borderId="0" xfId="0" applyFont="1" applyFill="1" applyBorder="1" applyAlignment="1">
      <alignment horizontal="center" vertical="center" wrapText="1"/>
    </xf>
    <xf numFmtId="2" fontId="37" fillId="0" borderId="0" xfId="0" applyNumberFormat="1" applyFont="1" applyFill="1" applyBorder="1" applyAlignment="1">
      <alignment horizontal="center" vertical="center" wrapText="1"/>
    </xf>
    <xf numFmtId="182" fontId="36" fillId="0" borderId="1" xfId="0" applyNumberFormat="1" applyFont="1" applyFill="1" applyBorder="1" applyAlignment="1">
      <alignment horizontal="center" vertical="center" wrapText="1"/>
    </xf>
    <xf numFmtId="0" fontId="41" fillId="0" borderId="0" xfId="0" applyFont="1" applyFill="1" applyAlignment="1">
      <alignment horizontal="left" vertical="center"/>
    </xf>
    <xf numFmtId="0" fontId="41" fillId="0" borderId="0" xfId="0" applyFont="1" applyFill="1" applyAlignment="1">
      <alignment horizontal="center" vertical="center"/>
    </xf>
    <xf numFmtId="179" fontId="41" fillId="0" borderId="0" xfId="0" applyNumberFormat="1" applyFont="1" applyFill="1" applyAlignment="1">
      <alignment horizontal="center" vertical="center"/>
    </xf>
    <xf numFmtId="0" fontId="39" fillId="0" borderId="0" xfId="0" applyFont="1"/>
    <xf numFmtId="0" fontId="39" fillId="0" borderId="0" xfId="0" applyFont="1" applyFill="1" applyAlignment="1">
      <alignment horizontal="center" vertical="center"/>
    </xf>
    <xf numFmtId="0" fontId="39" fillId="0" borderId="0" xfId="0" applyFont="1" applyFill="1"/>
    <xf numFmtId="0" fontId="36" fillId="0" borderId="1" xfId="0" applyFont="1" applyBorder="1"/>
    <xf numFmtId="0" fontId="43" fillId="0" borderId="0" xfId="0" applyFont="1" applyBorder="1" applyAlignment="1" applyProtection="1">
      <alignment vertical="center"/>
      <protection locked="0"/>
    </xf>
    <xf numFmtId="0" fontId="43" fillId="0" borderId="0" xfId="0" applyFont="1" applyFill="1" applyBorder="1" applyAlignment="1" applyProtection="1">
      <alignment vertical="center"/>
      <protection locked="0"/>
    </xf>
    <xf numFmtId="0" fontId="43" fillId="0" borderId="0" xfId="0" applyFont="1" applyFill="1" applyBorder="1" applyAlignment="1" applyProtection="1">
      <alignment vertical="center" wrapText="1"/>
      <protection locked="0"/>
    </xf>
    <xf numFmtId="0" fontId="43" fillId="0" borderId="0" xfId="0" applyFont="1" applyFill="1" applyBorder="1" applyAlignment="1" applyProtection="1">
      <alignment vertical="center" wrapText="1"/>
    </xf>
    <xf numFmtId="0" fontId="43" fillId="0" borderId="0" xfId="0" applyFont="1" applyFill="1" applyBorder="1" applyAlignment="1" applyProtection="1">
      <alignment vertical="center"/>
    </xf>
    <xf numFmtId="0" fontId="43" fillId="14" borderId="0" xfId="0" applyFont="1" applyFill="1" applyBorder="1" applyAlignment="1" applyProtection="1">
      <alignment vertical="center"/>
    </xf>
    <xf numFmtId="0" fontId="43" fillId="14" borderId="0" xfId="0" applyFont="1" applyFill="1" applyBorder="1" applyAlignment="1" applyProtection="1">
      <alignment vertical="center"/>
      <protection locked="0"/>
    </xf>
    <xf numFmtId="0" fontId="43" fillId="14" borderId="0" xfId="0" applyFont="1" applyFill="1" applyBorder="1" applyAlignment="1" applyProtection="1">
      <alignment vertical="center" wrapText="1"/>
      <protection locked="0"/>
    </xf>
    <xf numFmtId="0" fontId="43" fillId="14" borderId="0" xfId="0" applyFont="1" applyFill="1" applyBorder="1" applyAlignment="1" applyProtection="1">
      <alignment vertical="center" wrapText="1"/>
    </xf>
    <xf numFmtId="49" fontId="44" fillId="14" borderId="0" xfId="0" applyNumberFormat="1" applyFont="1" applyFill="1" applyBorder="1" applyAlignment="1" applyProtection="1">
      <alignment horizontal="right" vertical="center"/>
    </xf>
    <xf numFmtId="0" fontId="44" fillId="14" borderId="0" xfId="0" applyFont="1" applyFill="1" applyBorder="1" applyAlignment="1" applyProtection="1">
      <alignment vertical="center"/>
    </xf>
    <xf numFmtId="49" fontId="43" fillId="14" borderId="0" xfId="0" applyNumberFormat="1" applyFont="1" applyFill="1" applyBorder="1" applyAlignment="1" applyProtection="1">
      <alignment horizontal="right" vertical="center"/>
      <protection locked="0"/>
    </xf>
    <xf numFmtId="0" fontId="43" fillId="14" borderId="0" xfId="0" applyFont="1" applyFill="1" applyBorder="1" applyAlignment="1" applyProtection="1">
      <alignment horizontal="left" vertical="center" wrapText="1"/>
      <protection locked="0"/>
    </xf>
    <xf numFmtId="0" fontId="38" fillId="15" borderId="1" xfId="0" applyFont="1" applyFill="1" applyBorder="1" applyAlignment="1">
      <alignment horizontal="center" vertical="center" wrapText="1"/>
    </xf>
    <xf numFmtId="0" fontId="43" fillId="0" borderId="0" xfId="0" applyFont="1" applyAlignment="1" applyProtection="1">
      <alignment vertical="center"/>
      <protection locked="0"/>
    </xf>
    <xf numFmtId="49" fontId="44" fillId="0" borderId="0" xfId="0" applyNumberFormat="1" applyFont="1" applyFill="1" applyBorder="1" applyAlignment="1" applyProtection="1">
      <alignment horizontal="right" vertical="center"/>
      <protection locked="0"/>
    </xf>
    <xf numFmtId="0" fontId="45" fillId="0" borderId="0" xfId="0" applyFont="1" applyFill="1" applyBorder="1" applyAlignment="1" applyProtection="1">
      <alignment vertical="center"/>
      <protection locked="0"/>
    </xf>
    <xf numFmtId="0" fontId="43" fillId="0" borderId="0" xfId="0" applyFont="1" applyFill="1" applyAlignment="1" applyProtection="1">
      <alignment vertical="center"/>
      <protection locked="0"/>
    </xf>
    <xf numFmtId="9" fontId="43" fillId="0" borderId="0" xfId="114" applyFont="1" applyFill="1" applyBorder="1" applyAlignment="1" applyProtection="1">
      <alignment horizontal="center" vertical="center"/>
    </xf>
    <xf numFmtId="0" fontId="43" fillId="0" borderId="0" xfId="0" applyFont="1" applyFill="1" applyBorder="1" applyAlignment="1" applyProtection="1">
      <alignment horizontal="left" vertical="center"/>
      <protection locked="0"/>
    </xf>
    <xf numFmtId="0" fontId="44" fillId="0" borderId="0" xfId="0" applyFont="1" applyFill="1" applyBorder="1" applyAlignment="1" applyProtection="1">
      <alignment horizontal="center" vertical="center"/>
      <protection locked="0"/>
    </xf>
    <xf numFmtId="0" fontId="44" fillId="0" borderId="0" xfId="0" applyFont="1" applyFill="1" applyBorder="1" applyAlignment="1" applyProtection="1">
      <alignment horizontal="center" vertical="center" wrapText="1"/>
    </xf>
    <xf numFmtId="0" fontId="44" fillId="0" borderId="0" xfId="0" applyFont="1" applyFill="1" applyBorder="1" applyAlignment="1" applyProtection="1">
      <alignment vertical="center" textRotation="88" wrapText="1"/>
      <protection locked="0"/>
    </xf>
    <xf numFmtId="4" fontId="43" fillId="0" borderId="0" xfId="0" applyNumberFormat="1" applyFont="1" applyFill="1" applyBorder="1" applyAlignment="1" applyProtection="1">
      <alignment horizontal="center" vertical="center"/>
    </xf>
    <xf numFmtId="0" fontId="44" fillId="0" borderId="0" xfId="0" applyFont="1" applyFill="1" applyBorder="1" applyAlignment="1" applyProtection="1">
      <alignment vertical="center" wrapText="1"/>
      <protection locked="0"/>
    </xf>
    <xf numFmtId="0" fontId="44" fillId="0" borderId="0" xfId="0" applyFont="1" applyFill="1" applyBorder="1" applyAlignment="1" applyProtection="1">
      <alignment horizontal="left" vertical="center"/>
      <protection locked="0"/>
    </xf>
    <xf numFmtId="0" fontId="43" fillId="0" borderId="0" xfId="0" applyFont="1" applyFill="1" applyBorder="1" applyAlignment="1" applyProtection="1">
      <alignment horizontal="center" vertical="center" wrapText="1"/>
    </xf>
    <xf numFmtId="0" fontId="43" fillId="0" borderId="0" xfId="0" applyFont="1" applyBorder="1" applyAlignment="1" applyProtection="1">
      <alignment horizontal="left" vertical="center" wrapText="1"/>
    </xf>
    <xf numFmtId="0" fontId="43" fillId="0" borderId="0" xfId="0" applyFont="1" applyBorder="1" applyAlignment="1" applyProtection="1">
      <alignment horizontal="center" vertical="center" wrapText="1"/>
    </xf>
    <xf numFmtId="0" fontId="43" fillId="0" borderId="0" xfId="0" applyFont="1" applyFill="1" applyBorder="1" applyAlignment="1" applyProtection="1">
      <alignment horizontal="left" vertical="center" wrapText="1"/>
    </xf>
    <xf numFmtId="4" fontId="44" fillId="0" borderId="0" xfId="0" applyNumberFormat="1" applyFont="1" applyFill="1" applyBorder="1" applyAlignment="1" applyProtection="1">
      <alignment horizontal="center" vertical="center"/>
      <protection locked="0"/>
    </xf>
    <xf numFmtId="2" fontId="43" fillId="0" borderId="0" xfId="0" applyNumberFormat="1" applyFont="1" applyFill="1" applyBorder="1" applyAlignment="1" applyProtection="1">
      <alignment horizontal="center" vertical="center" wrapText="1"/>
    </xf>
    <xf numFmtId="0" fontId="44" fillId="0" borderId="0" xfId="0" applyFont="1" applyFill="1" applyBorder="1" applyAlignment="1" applyProtection="1">
      <alignment vertical="center"/>
      <protection locked="0"/>
    </xf>
    <xf numFmtId="0" fontId="44" fillId="0" borderId="0" xfId="0" applyFont="1" applyFill="1" applyBorder="1" applyAlignment="1" applyProtection="1">
      <alignment vertical="center" wrapText="1"/>
    </xf>
    <xf numFmtId="2" fontId="43" fillId="0" borderId="0" xfId="0" applyNumberFormat="1" applyFont="1" applyFill="1" applyBorder="1" applyAlignment="1" applyProtection="1">
      <alignment vertical="center" wrapText="1"/>
    </xf>
    <xf numFmtId="0" fontId="44" fillId="0" borderId="0" xfId="0" applyFont="1" applyAlignment="1" applyProtection="1">
      <alignment vertical="center"/>
      <protection locked="0"/>
    </xf>
    <xf numFmtId="0" fontId="44" fillId="0" borderId="0" xfId="0" applyFont="1" applyAlignment="1" applyProtection="1">
      <alignment horizontal="left" vertical="center"/>
      <protection locked="0"/>
    </xf>
    <xf numFmtId="170" fontId="43" fillId="0" borderId="0" xfId="0" applyNumberFormat="1" applyFont="1" applyFill="1" applyBorder="1" applyAlignment="1" applyProtection="1">
      <alignment vertical="center" wrapText="1"/>
    </xf>
    <xf numFmtId="1" fontId="43" fillId="0" borderId="0" xfId="0" applyNumberFormat="1" applyFont="1" applyFill="1" applyBorder="1" applyAlignment="1" applyProtection="1">
      <alignment vertical="center" wrapText="1"/>
    </xf>
    <xf numFmtId="10" fontId="43" fillId="0" borderId="0" xfId="0" applyNumberFormat="1" applyFont="1" applyFill="1" applyBorder="1" applyAlignment="1" applyProtection="1">
      <alignment vertical="center"/>
      <protection locked="0"/>
    </xf>
    <xf numFmtId="1" fontId="44" fillId="0" borderId="0" xfId="0" applyNumberFormat="1" applyFont="1" applyFill="1" applyBorder="1" applyAlignment="1" applyProtection="1">
      <alignment vertical="center" wrapText="1"/>
      <protection locked="0"/>
    </xf>
    <xf numFmtId="0" fontId="39" fillId="0" borderId="0" xfId="56" applyFont="1" applyFill="1" applyAlignment="1">
      <alignment horizontal="center" vertical="center"/>
    </xf>
    <xf numFmtId="0" fontId="35" fillId="0" borderId="0" xfId="0" applyFont="1" applyAlignment="1">
      <alignment horizontal="center" vertical="center"/>
    </xf>
    <xf numFmtId="0" fontId="38" fillId="0" borderId="0" xfId="0" applyFont="1" applyBorder="1" applyAlignment="1">
      <alignment horizontal="center" vertical="center" wrapText="1"/>
    </xf>
    <xf numFmtId="0" fontId="39" fillId="0" borderId="1" xfId="0" applyFont="1" applyBorder="1" applyAlignment="1">
      <alignment horizontal="left" vertical="center" wrapText="1"/>
    </xf>
    <xf numFmtId="0" fontId="39" fillId="0" borderId="0" xfId="0" applyFont="1" applyBorder="1" applyAlignment="1">
      <alignment horizontal="center" vertical="center" wrapText="1"/>
    </xf>
    <xf numFmtId="0" fontId="39" fillId="0" borderId="0" xfId="0" applyFont="1" applyFill="1" applyBorder="1" applyAlignment="1">
      <alignment vertical="center"/>
    </xf>
    <xf numFmtId="0" fontId="39" fillId="0" borderId="1" xfId="0" applyFont="1" applyFill="1" applyBorder="1" applyAlignment="1">
      <alignment vertical="center" wrapText="1"/>
    </xf>
    <xf numFmtId="0" fontId="39" fillId="0" borderId="0" xfId="0" applyFont="1" applyFill="1" applyBorder="1" applyAlignment="1">
      <alignment vertical="center" wrapText="1"/>
    </xf>
    <xf numFmtId="0" fontId="39" fillId="0" borderId="0" xfId="0" applyFont="1" applyAlignment="1">
      <alignment horizontal="center" vertical="center" wrapText="1"/>
    </xf>
    <xf numFmtId="0" fontId="39" fillId="0" borderId="1" xfId="0" applyFont="1" applyFill="1" applyBorder="1" applyAlignment="1">
      <alignment horizontal="center" vertical="center" wrapText="1"/>
    </xf>
    <xf numFmtId="0" fontId="38" fillId="0" borderId="0" xfId="0" applyFont="1" applyFill="1" applyBorder="1" applyAlignment="1">
      <alignment horizontal="center" vertical="center"/>
    </xf>
    <xf numFmtId="0" fontId="37" fillId="15" borderId="1" xfId="0" applyFont="1" applyFill="1" applyBorder="1" applyAlignment="1" applyProtection="1">
      <alignment vertical="center"/>
      <protection locked="0"/>
    </xf>
    <xf numFmtId="0" fontId="37" fillId="15" borderId="1" xfId="0" applyFont="1" applyFill="1" applyBorder="1" applyAlignment="1" applyProtection="1">
      <alignment horizontal="center" vertical="center" wrapText="1"/>
      <protection locked="0"/>
    </xf>
    <xf numFmtId="4" fontId="37" fillId="15" borderId="1" xfId="0" applyNumberFormat="1" applyFont="1" applyFill="1" applyBorder="1" applyAlignment="1" applyProtection="1">
      <alignment horizontal="center" vertical="center" wrapText="1"/>
      <protection locked="0"/>
    </xf>
    <xf numFmtId="0" fontId="37" fillId="16" borderId="1" xfId="0" applyFont="1" applyFill="1" applyBorder="1" applyAlignment="1" applyProtection="1">
      <alignment vertical="center"/>
      <protection locked="0"/>
    </xf>
    <xf numFmtId="0" fontId="37" fillId="16" borderId="1" xfId="0" applyFont="1" applyFill="1" applyBorder="1" applyAlignment="1" applyProtection="1">
      <alignment horizontal="center" vertical="center" wrapText="1"/>
      <protection locked="0"/>
    </xf>
    <xf numFmtId="4" fontId="37" fillId="16" borderId="1" xfId="0" applyNumberFormat="1" applyFont="1" applyFill="1" applyBorder="1" applyAlignment="1" applyProtection="1">
      <alignment horizontal="center" vertical="center" wrapText="1"/>
      <protection locked="0"/>
    </xf>
    <xf numFmtId="172" fontId="37" fillId="16" borderId="1" xfId="0" applyNumberFormat="1" applyFont="1" applyFill="1" applyBorder="1" applyAlignment="1" applyProtection="1">
      <alignment horizontal="center" vertical="center"/>
      <protection locked="0"/>
    </xf>
    <xf numFmtId="0" fontId="36" fillId="0" borderId="1" xfId="0" applyFont="1" applyBorder="1" applyAlignment="1" applyProtection="1">
      <alignment vertical="center"/>
      <protection locked="0"/>
    </xf>
    <xf numFmtId="0" fontId="36" fillId="0" borderId="1" xfId="0" applyFont="1" applyBorder="1" applyAlignment="1" applyProtection="1">
      <alignment horizontal="center" vertical="center" wrapText="1"/>
      <protection locked="0"/>
    </xf>
    <xf numFmtId="0" fontId="36" fillId="0" borderId="1" xfId="0" applyFont="1" applyFill="1" applyBorder="1" applyAlignment="1" applyProtection="1">
      <alignment vertical="center"/>
      <protection locked="0"/>
    </xf>
    <xf numFmtId="0" fontId="37" fillId="0" borderId="1" xfId="0" applyFont="1" applyBorder="1" applyAlignment="1" applyProtection="1">
      <alignment vertical="center"/>
      <protection locked="0"/>
    </xf>
    <xf numFmtId="0" fontId="37" fillId="0" borderId="1" xfId="0" applyFont="1" applyBorder="1" applyAlignment="1" applyProtection="1">
      <alignment horizontal="center" vertical="center" wrapText="1"/>
      <protection locked="0"/>
    </xf>
    <xf numFmtId="4" fontId="37" fillId="0" borderId="1" xfId="0" applyNumberFormat="1" applyFont="1" applyBorder="1" applyAlignment="1" applyProtection="1">
      <alignment horizontal="center" vertical="center" wrapText="1"/>
      <protection locked="0"/>
    </xf>
    <xf numFmtId="0" fontId="37" fillId="0" borderId="1" xfId="0" applyFont="1" applyFill="1" applyBorder="1" applyAlignment="1" applyProtection="1">
      <alignment vertical="center"/>
      <protection locked="0"/>
    </xf>
    <xf numFmtId="0" fontId="37" fillId="0" borderId="1" xfId="0" applyFont="1" applyFill="1" applyBorder="1" applyAlignment="1" applyProtection="1">
      <alignment horizontal="center" vertical="center" wrapText="1"/>
      <protection locked="0"/>
    </xf>
    <xf numFmtId="4" fontId="37" fillId="0" borderId="1" xfId="0" applyNumberFormat="1" applyFont="1" applyFill="1" applyBorder="1" applyAlignment="1" applyProtection="1">
      <alignment horizontal="center" vertical="center" wrapText="1"/>
      <protection locked="0"/>
    </xf>
    <xf numFmtId="0" fontId="36" fillId="0" borderId="1" xfId="0" applyFont="1" applyFill="1" applyBorder="1" applyAlignment="1" applyProtection="1">
      <alignment horizontal="center" vertical="center" wrapText="1"/>
      <protection locked="0"/>
    </xf>
    <xf numFmtId="0" fontId="36" fillId="0" borderId="0" xfId="0" applyFont="1" applyAlignment="1">
      <alignment horizontal="center" vertical="center" wrapText="1"/>
    </xf>
    <xf numFmtId="4" fontId="36" fillId="0" borderId="0" xfId="0" applyNumberFormat="1" applyFont="1" applyAlignment="1">
      <alignment horizontal="center" vertical="center" wrapText="1"/>
    </xf>
    <xf numFmtId="4" fontId="37" fillId="0" borderId="0" xfId="0" applyNumberFormat="1" applyFont="1" applyFill="1" applyBorder="1" applyAlignment="1">
      <alignment horizontal="center" vertical="center" wrapText="1"/>
    </xf>
    <xf numFmtId="4" fontId="36" fillId="0" borderId="0" xfId="0" applyNumberFormat="1" applyFont="1" applyFill="1" applyBorder="1" applyAlignment="1">
      <alignment horizontal="center" vertical="center" wrapText="1"/>
    </xf>
    <xf numFmtId="0" fontId="37" fillId="0" borderId="7" xfId="0" applyFont="1" applyBorder="1" applyAlignment="1"/>
    <xf numFmtId="182" fontId="37" fillId="0" borderId="1" xfId="0" applyNumberFormat="1" applyFont="1" applyFill="1" applyBorder="1" applyAlignment="1">
      <alignment horizontal="center" vertical="center" wrapText="1"/>
    </xf>
    <xf numFmtId="4" fontId="36" fillId="0" borderId="0" xfId="0" applyNumberFormat="1" applyFont="1" applyFill="1" applyAlignment="1">
      <alignment horizontal="center" vertical="center"/>
    </xf>
    <xf numFmtId="182" fontId="36" fillId="0" borderId="1" xfId="0" applyNumberFormat="1" applyFont="1" applyFill="1" applyBorder="1" applyAlignment="1" applyProtection="1">
      <alignment horizontal="center" vertical="center" wrapText="1"/>
      <protection locked="0"/>
    </xf>
    <xf numFmtId="0" fontId="37" fillId="0" borderId="0" xfId="0" applyFont="1" applyFill="1" applyBorder="1" applyAlignment="1" applyProtection="1">
      <alignment horizontal="center" vertical="center" wrapText="1"/>
    </xf>
    <xf numFmtId="0" fontId="0" fillId="0" borderId="0" xfId="0" applyAlignment="1">
      <alignment wrapText="1"/>
    </xf>
    <xf numFmtId="179" fontId="37" fillId="0" borderId="0" xfId="0" applyNumberFormat="1" applyFont="1" applyFill="1" applyBorder="1" applyAlignment="1">
      <alignment horizontal="center" vertical="center" wrapText="1"/>
    </xf>
    <xf numFmtId="0" fontId="28" fillId="0" borderId="1" xfId="70" applyFont="1" applyFill="1" applyBorder="1" applyAlignment="1" applyProtection="1">
      <alignment vertical="center" wrapText="1"/>
      <protection locked="0"/>
    </xf>
    <xf numFmtId="0" fontId="28" fillId="0" borderId="1" xfId="70" applyFont="1" applyFill="1" applyBorder="1" applyAlignment="1" applyProtection="1">
      <alignment horizontal="center" vertical="center" wrapText="1"/>
      <protection locked="0"/>
    </xf>
    <xf numFmtId="4" fontId="28" fillId="0" borderId="1" xfId="70" applyNumberFormat="1" applyFont="1" applyFill="1" applyBorder="1" applyAlignment="1" applyProtection="1">
      <alignment vertical="center" wrapText="1"/>
      <protection locked="0"/>
    </xf>
    <xf numFmtId="4" fontId="28" fillId="0" borderId="0" xfId="70" applyNumberFormat="1" applyFont="1" applyFill="1" applyBorder="1" applyAlignment="1" applyProtection="1">
      <alignment vertical="center" wrapText="1"/>
      <protection locked="0"/>
    </xf>
    <xf numFmtId="0" fontId="7" fillId="0" borderId="1" xfId="70" applyFont="1" applyFill="1" applyBorder="1" applyAlignment="1" applyProtection="1">
      <alignment vertical="center" wrapText="1"/>
      <protection locked="0"/>
    </xf>
    <xf numFmtId="0" fontId="7" fillId="0" borderId="1" xfId="70" applyFont="1" applyFill="1" applyBorder="1" applyAlignment="1" applyProtection="1">
      <alignment horizontal="center" vertical="center" wrapText="1"/>
      <protection locked="0"/>
    </xf>
    <xf numFmtId="4" fontId="7" fillId="0" borderId="0" xfId="70" applyNumberFormat="1" applyFont="1" applyFill="1" applyBorder="1" applyAlignment="1" applyProtection="1">
      <alignment vertical="center" wrapText="1"/>
      <protection locked="0"/>
    </xf>
    <xf numFmtId="0" fontId="28" fillId="0" borderId="1" xfId="70" applyFont="1" applyFill="1" applyBorder="1" applyAlignment="1" applyProtection="1">
      <alignment horizontal="left" vertical="center" wrapText="1"/>
      <protection locked="0"/>
    </xf>
    <xf numFmtId="0" fontId="28" fillId="0" borderId="1" xfId="0" applyFont="1" applyFill="1" applyBorder="1" applyAlignment="1" applyProtection="1">
      <alignment horizontal="left" vertical="center" wrapText="1"/>
      <protection locked="0"/>
    </xf>
    <xf numFmtId="0" fontId="28" fillId="0" borderId="1" xfId="0" applyFont="1" applyFill="1" applyBorder="1" applyAlignment="1" applyProtection="1">
      <alignment vertical="center" wrapText="1"/>
      <protection locked="0"/>
    </xf>
    <xf numFmtId="0" fontId="28" fillId="0" borderId="1" xfId="0" applyFont="1" applyFill="1" applyBorder="1" applyAlignment="1" applyProtection="1">
      <alignment horizontal="center" vertical="center" wrapText="1"/>
      <protection locked="0"/>
    </xf>
    <xf numFmtId="4" fontId="29" fillId="0" borderId="0" xfId="88" applyNumberFormat="1" applyFont="1" applyFill="1" applyBorder="1" applyAlignment="1" applyProtection="1">
      <alignment vertical="center" wrapText="1"/>
      <protection locked="0"/>
    </xf>
    <xf numFmtId="0" fontId="7" fillId="0" borderId="1" xfId="0" applyFont="1" applyBorder="1" applyAlignment="1" applyProtection="1">
      <alignment horizontal="left" vertical="center" wrapText="1"/>
      <protection locked="0"/>
    </xf>
    <xf numFmtId="0" fontId="7" fillId="0" borderId="1" xfId="0" applyFont="1" applyBorder="1" applyAlignment="1" applyProtection="1">
      <alignment vertical="center" wrapText="1"/>
      <protection locked="0"/>
    </xf>
    <xf numFmtId="0" fontId="7" fillId="0" borderId="1" xfId="88" applyFont="1" applyFill="1" applyBorder="1" applyAlignment="1" applyProtection="1">
      <alignment horizontal="center" vertical="center" wrapText="1"/>
      <protection locked="0"/>
    </xf>
    <xf numFmtId="4" fontId="7" fillId="17" borderId="1" xfId="0" applyNumberFormat="1" applyFont="1" applyFill="1" applyBorder="1" applyAlignment="1" applyProtection="1">
      <alignment horizontal="right" vertical="center" wrapText="1"/>
      <protection locked="0"/>
    </xf>
    <xf numFmtId="4" fontId="27" fillId="0" borderId="0" xfId="88" applyNumberFormat="1" applyFont="1" applyFill="1" applyBorder="1" applyAlignment="1" applyProtection="1">
      <alignment vertical="center" wrapText="1"/>
      <protection locked="0"/>
    </xf>
    <xf numFmtId="4" fontId="28" fillId="18" borderId="1" xfId="0" applyNumberFormat="1" applyFont="1" applyFill="1" applyBorder="1" applyAlignment="1">
      <alignment horizontal="center" vertical="center" wrapText="1"/>
    </xf>
    <xf numFmtId="2" fontId="28" fillId="0" borderId="0" xfId="0" applyNumberFormat="1" applyFont="1" applyFill="1" applyBorder="1" applyAlignment="1">
      <alignment horizontal="center" vertical="center" wrapText="1"/>
    </xf>
    <xf numFmtId="4" fontId="28" fillId="0" borderId="0" xfId="0" applyNumberFormat="1" applyFont="1" applyFill="1" applyBorder="1" applyAlignment="1">
      <alignment horizontal="center" vertical="center" wrapText="1"/>
    </xf>
    <xf numFmtId="0" fontId="36" fillId="0" borderId="0" xfId="0" applyFont="1" applyAlignment="1">
      <alignment wrapText="1"/>
    </xf>
    <xf numFmtId="0" fontId="7" fillId="0" borderId="1" xfId="0" applyFont="1" applyBorder="1" applyAlignment="1">
      <alignment wrapText="1"/>
    </xf>
    <xf numFmtId="2" fontId="7" fillId="0" borderId="0" xfId="0" applyNumberFormat="1" applyFont="1" applyFill="1" applyBorder="1" applyAlignment="1">
      <alignment horizontal="center" vertical="center" wrapText="1"/>
    </xf>
    <xf numFmtId="4" fontId="7" fillId="0" borderId="0" xfId="0" applyNumberFormat="1" applyFont="1" applyFill="1" applyBorder="1" applyAlignment="1">
      <alignment horizontal="center" vertical="center" wrapText="1"/>
    </xf>
    <xf numFmtId="0" fontId="7" fillId="0" borderId="0" xfId="0" applyFont="1" applyAlignment="1">
      <alignment wrapText="1"/>
    </xf>
    <xf numFmtId="0" fontId="7" fillId="0" borderId="0" xfId="0" applyFont="1" applyAlignment="1">
      <alignment horizontal="center" vertical="center" wrapText="1"/>
    </xf>
    <xf numFmtId="2" fontId="7" fillId="0" borderId="0" xfId="0" applyNumberFormat="1" applyFont="1" applyAlignment="1">
      <alignment horizontal="center" vertical="center" wrapText="1"/>
    </xf>
    <xf numFmtId="4" fontId="7" fillId="0" borderId="0" xfId="0" applyNumberFormat="1" applyFont="1" applyAlignment="1">
      <alignment horizontal="center" vertical="center" wrapText="1"/>
    </xf>
    <xf numFmtId="182" fontId="28" fillId="0" borderId="1" xfId="0" applyNumberFormat="1" applyFont="1" applyFill="1" applyBorder="1" applyAlignment="1">
      <alignment horizontal="center" vertical="center" wrapText="1"/>
    </xf>
    <xf numFmtId="182" fontId="7" fillId="0" borderId="1" xfId="0" applyNumberFormat="1" applyFont="1" applyFill="1" applyBorder="1" applyAlignment="1">
      <alignment horizontal="center" vertical="center" wrapText="1"/>
    </xf>
    <xf numFmtId="182" fontId="28" fillId="19" borderId="1" xfId="0" applyNumberFormat="1" applyFont="1" applyFill="1" applyBorder="1" applyAlignment="1">
      <alignment horizontal="center" vertical="center" wrapText="1"/>
    </xf>
    <xf numFmtId="4" fontId="36" fillId="0" borderId="0" xfId="0" applyNumberFormat="1" applyFont="1" applyFill="1" applyAlignment="1">
      <alignment horizontal="center" vertical="center" wrapText="1"/>
    </xf>
    <xf numFmtId="182" fontId="7" fillId="0" borderId="1" xfId="0" applyNumberFormat="1" applyFont="1" applyFill="1" applyBorder="1" applyAlignment="1" applyProtection="1">
      <alignment horizontal="center" vertical="center" wrapText="1"/>
      <protection locked="0"/>
    </xf>
    <xf numFmtId="0" fontId="0" fillId="0" borderId="0" xfId="0" applyFill="1"/>
    <xf numFmtId="0" fontId="28" fillId="18" borderId="1" xfId="0" applyFont="1" applyFill="1" applyBorder="1" applyAlignment="1">
      <alignment horizontal="center" vertical="center"/>
    </xf>
    <xf numFmtId="0" fontId="28" fillId="0" borderId="1" xfId="70" applyFont="1" applyFill="1" applyBorder="1" applyAlignment="1" applyProtection="1">
      <alignment vertical="center"/>
      <protection locked="0"/>
    </xf>
    <xf numFmtId="0" fontId="28" fillId="0" borderId="1" xfId="70" applyFont="1" applyFill="1" applyBorder="1" applyAlignment="1" applyProtection="1">
      <alignment horizontal="center" vertical="center"/>
      <protection locked="0"/>
    </xf>
    <xf numFmtId="4" fontId="28" fillId="0" borderId="1" xfId="70" applyNumberFormat="1" applyFont="1" applyFill="1" applyBorder="1" applyAlignment="1" applyProtection="1">
      <alignment horizontal="center" vertical="center"/>
      <protection locked="0"/>
    </xf>
    <xf numFmtId="4" fontId="28" fillId="0" borderId="0" xfId="70" applyNumberFormat="1" applyFont="1" applyFill="1" applyBorder="1" applyAlignment="1" applyProtection="1">
      <alignment vertical="center"/>
      <protection locked="0"/>
    </xf>
    <xf numFmtId="0" fontId="7" fillId="0" borderId="1" xfId="70" applyFont="1" applyFill="1" applyBorder="1" applyAlignment="1" applyProtection="1">
      <alignment vertical="center"/>
      <protection locked="0"/>
    </xf>
    <xf numFmtId="0" fontId="7" fillId="0" borderId="1" xfId="70" applyFont="1" applyFill="1" applyBorder="1" applyAlignment="1" applyProtection="1">
      <alignment horizontal="center" vertical="center"/>
      <protection locked="0"/>
    </xf>
    <xf numFmtId="4" fontId="7" fillId="0" borderId="0" xfId="70" applyNumberFormat="1" applyFont="1" applyFill="1" applyBorder="1" applyAlignment="1" applyProtection="1">
      <alignment vertical="center"/>
      <protection locked="0"/>
    </xf>
    <xf numFmtId="0" fontId="28" fillId="0" borderId="1" xfId="88" applyFont="1" applyFill="1" applyBorder="1" applyAlignment="1" applyProtection="1">
      <alignment horizontal="left" vertical="center"/>
      <protection locked="0"/>
    </xf>
    <xf numFmtId="0" fontId="28" fillId="0" borderId="1" xfId="88" applyFont="1" applyFill="1" applyBorder="1" applyAlignment="1" applyProtection="1">
      <alignment vertical="center"/>
      <protection locked="0"/>
    </xf>
    <xf numFmtId="0" fontId="7" fillId="0" borderId="1" xfId="88" applyFont="1" applyFill="1" applyBorder="1" applyAlignment="1" applyProtection="1">
      <alignment horizontal="center" vertical="center"/>
      <protection locked="0"/>
    </xf>
    <xf numFmtId="4" fontId="27" fillId="0" borderId="0" xfId="88" applyNumberFormat="1" applyFont="1" applyFill="1" applyBorder="1" applyAlignment="1" applyProtection="1">
      <alignment vertical="center"/>
      <protection locked="0"/>
    </xf>
    <xf numFmtId="0" fontId="29" fillId="0" borderId="1" xfId="88" applyFont="1" applyFill="1" applyBorder="1" applyAlignment="1" applyProtection="1">
      <alignment vertical="center"/>
      <protection locked="0"/>
    </xf>
    <xf numFmtId="0" fontId="27" fillId="0" borderId="1" xfId="88" applyFont="1" applyFill="1" applyBorder="1" applyAlignment="1" applyProtection="1">
      <alignment horizontal="center" vertical="center"/>
      <protection locked="0"/>
    </xf>
    <xf numFmtId="0" fontId="7" fillId="0" borderId="1" xfId="88" applyFont="1" applyFill="1" applyBorder="1" applyAlignment="1" applyProtection="1">
      <alignment horizontal="left" vertical="center"/>
      <protection locked="0"/>
    </xf>
    <xf numFmtId="0" fontId="7" fillId="0" borderId="1" xfId="88" applyFont="1" applyFill="1" applyBorder="1" applyAlignment="1" applyProtection="1">
      <alignment vertical="center"/>
      <protection locked="0"/>
    </xf>
    <xf numFmtId="0" fontId="7" fillId="0" borderId="1" xfId="88" applyFont="1" applyFill="1" applyBorder="1" applyAlignment="1" applyProtection="1">
      <alignment vertical="center" wrapText="1"/>
      <protection locked="0"/>
    </xf>
    <xf numFmtId="0" fontId="27" fillId="0" borderId="1" xfId="88" applyFont="1" applyFill="1" applyBorder="1" applyAlignment="1" applyProtection="1">
      <alignment vertical="center"/>
      <protection locked="0"/>
    </xf>
    <xf numFmtId="0" fontId="28" fillId="0" borderId="1" xfId="0" applyFont="1" applyFill="1" applyBorder="1" applyAlignment="1" applyProtection="1">
      <alignment horizontal="left" vertical="center"/>
      <protection locked="0"/>
    </xf>
    <xf numFmtId="0" fontId="28" fillId="0" borderId="1" xfId="0" applyFont="1" applyFill="1" applyBorder="1" applyAlignment="1" applyProtection="1">
      <alignment vertical="center"/>
      <protection locked="0"/>
    </xf>
    <xf numFmtId="4" fontId="29" fillId="0" borderId="0" xfId="88" applyNumberFormat="1" applyFont="1" applyFill="1" applyBorder="1" applyAlignment="1" applyProtection="1">
      <alignment vertical="center"/>
      <protection locked="0"/>
    </xf>
    <xf numFmtId="0" fontId="7" fillId="0" borderId="1" xfId="0" applyFont="1" applyBorder="1" applyAlignment="1" applyProtection="1">
      <alignment horizontal="left" vertical="center"/>
      <protection locked="0"/>
    </xf>
    <xf numFmtId="0" fontId="7" fillId="0" borderId="1" xfId="0" applyFont="1" applyFill="1" applyBorder="1" applyAlignment="1" applyProtection="1">
      <alignment vertical="center"/>
      <protection locked="0"/>
    </xf>
    <xf numFmtId="4" fontId="7" fillId="17" borderId="1" xfId="0" applyNumberFormat="1" applyFont="1" applyFill="1" applyBorder="1" applyAlignment="1" applyProtection="1">
      <alignment horizontal="center" vertical="center" wrapText="1"/>
      <protection locked="0"/>
    </xf>
    <xf numFmtId="0" fontId="27" fillId="0" borderId="1" xfId="88" applyFont="1" applyFill="1" applyBorder="1" applyAlignment="1" applyProtection="1">
      <alignment vertical="center" wrapText="1"/>
      <protection locked="0"/>
    </xf>
    <xf numFmtId="0" fontId="7" fillId="0" borderId="0" xfId="0" applyFont="1" applyAlignment="1">
      <alignment horizontal="center" vertical="center"/>
    </xf>
    <xf numFmtId="0" fontId="7" fillId="0" borderId="0" xfId="0" applyFont="1"/>
    <xf numFmtId="0" fontId="7" fillId="0" borderId="1" xfId="0" applyFont="1" applyBorder="1"/>
    <xf numFmtId="0" fontId="28" fillId="0" borderId="7" xfId="0" applyFont="1" applyBorder="1" applyAlignment="1"/>
    <xf numFmtId="0" fontId="29" fillId="0" borderId="1" xfId="88" applyFont="1" applyFill="1" applyBorder="1" applyAlignment="1" applyProtection="1">
      <alignment horizontal="left" vertical="center"/>
      <protection locked="0"/>
    </xf>
    <xf numFmtId="0" fontId="29" fillId="0" borderId="1" xfId="0" applyFont="1" applyFill="1" applyBorder="1" applyAlignment="1" applyProtection="1">
      <alignment horizontal="left" vertical="center"/>
      <protection locked="0"/>
    </xf>
    <xf numFmtId="0" fontId="29" fillId="0" borderId="1" xfId="0" applyFont="1" applyFill="1" applyBorder="1" applyAlignment="1" applyProtection="1">
      <alignment vertical="center"/>
      <protection locked="0"/>
    </xf>
    <xf numFmtId="0" fontId="29" fillId="0" borderId="1" xfId="0" applyFont="1" applyFill="1" applyBorder="1" applyAlignment="1" applyProtection="1">
      <alignment horizontal="center" vertical="center" wrapText="1"/>
      <protection locked="0"/>
    </xf>
    <xf numFmtId="0" fontId="27" fillId="0" borderId="1" xfId="0" applyFont="1" applyBorder="1" applyAlignment="1" applyProtection="1">
      <alignment horizontal="left" vertical="center"/>
      <protection locked="0"/>
    </xf>
    <xf numFmtId="0" fontId="27" fillId="0" borderId="1" xfId="0" applyFont="1" applyFill="1" applyBorder="1" applyAlignment="1" applyProtection="1">
      <alignment vertical="center"/>
      <protection locked="0"/>
    </xf>
    <xf numFmtId="0" fontId="29" fillId="0" borderId="1" xfId="0" applyFont="1" applyBorder="1" applyAlignment="1">
      <alignment horizontal="left" vertical="center"/>
    </xf>
    <xf numFmtId="0" fontId="29" fillId="0" borderId="1" xfId="0" applyFont="1" applyBorder="1" applyAlignment="1">
      <alignment horizontal="center" vertical="center"/>
    </xf>
    <xf numFmtId="2" fontId="30" fillId="0" borderId="0" xfId="0" applyNumberFormat="1" applyFont="1" applyFill="1" applyBorder="1" applyAlignment="1">
      <alignment horizontal="center" vertical="center" wrapText="1"/>
    </xf>
    <xf numFmtId="4" fontId="29" fillId="0" borderId="0" xfId="0" applyNumberFormat="1" applyFont="1" applyFill="1" applyBorder="1" applyAlignment="1">
      <alignment horizontal="center" vertical="center" wrapText="1"/>
    </xf>
    <xf numFmtId="0" fontId="27" fillId="0" borderId="1" xfId="0" applyFont="1" applyBorder="1"/>
    <xf numFmtId="2" fontId="31" fillId="0" borderId="0" xfId="0" applyNumberFormat="1" applyFont="1" applyFill="1" applyBorder="1" applyAlignment="1">
      <alignment horizontal="center" vertical="center" wrapText="1"/>
    </xf>
    <xf numFmtId="4" fontId="27" fillId="0" borderId="0" xfId="0" applyNumberFormat="1" applyFont="1" applyFill="1" applyBorder="1" applyAlignment="1">
      <alignment horizontal="center" vertical="center" wrapText="1"/>
    </xf>
    <xf numFmtId="0" fontId="27" fillId="0" borderId="0" xfId="0" applyFont="1"/>
    <xf numFmtId="0" fontId="27" fillId="0" borderId="0" xfId="0" applyFont="1" applyAlignment="1">
      <alignment horizontal="center" vertical="center" wrapText="1"/>
    </xf>
    <xf numFmtId="2" fontId="31" fillId="0" borderId="0" xfId="0" applyNumberFormat="1" applyFont="1" applyAlignment="1">
      <alignment horizontal="center" vertical="center" wrapText="1"/>
    </xf>
    <xf numFmtId="4" fontId="27" fillId="0" borderId="0" xfId="0" applyNumberFormat="1" applyFont="1" applyAlignment="1">
      <alignment horizontal="center" vertical="center" wrapText="1"/>
    </xf>
    <xf numFmtId="0" fontId="29" fillId="0" borderId="7" xfId="0" applyFont="1" applyBorder="1" applyAlignment="1"/>
    <xf numFmtId="182" fontId="29" fillId="0" borderId="1" xfId="0" applyNumberFormat="1" applyFont="1" applyFill="1" applyBorder="1" applyAlignment="1">
      <alignment horizontal="center" vertical="center" wrapText="1"/>
    </xf>
    <xf numFmtId="182" fontId="31" fillId="0" borderId="1" xfId="0" applyNumberFormat="1" applyFont="1" applyFill="1" applyBorder="1" applyAlignment="1">
      <alignment horizontal="center" vertical="center" wrapText="1"/>
    </xf>
    <xf numFmtId="182" fontId="27" fillId="0" borderId="1" xfId="0" applyNumberFormat="1" applyFont="1" applyFill="1" applyBorder="1" applyAlignment="1">
      <alignment horizontal="center" vertical="center" wrapText="1"/>
    </xf>
    <xf numFmtId="182" fontId="31" fillId="0" borderId="1" xfId="0" applyNumberFormat="1" applyFont="1" applyFill="1" applyBorder="1" applyAlignment="1" applyProtection="1">
      <alignment horizontal="center" vertical="center" wrapText="1"/>
      <protection locked="0"/>
    </xf>
    <xf numFmtId="182" fontId="27" fillId="0" borderId="1" xfId="0" applyNumberFormat="1" applyFont="1" applyFill="1" applyBorder="1" applyAlignment="1" applyProtection="1">
      <alignment horizontal="center" vertical="center" wrapText="1"/>
      <protection locked="0"/>
    </xf>
    <xf numFmtId="182" fontId="30" fillId="0" borderId="1" xfId="0" applyNumberFormat="1" applyFont="1" applyFill="1" applyBorder="1" applyAlignment="1">
      <alignment horizontal="center" vertical="center" wrapText="1"/>
    </xf>
    <xf numFmtId="2" fontId="36" fillId="0" borderId="0" xfId="0" applyNumberFormat="1" applyFont="1" applyAlignment="1">
      <alignment horizontal="center" vertical="center" wrapText="1"/>
    </xf>
    <xf numFmtId="1" fontId="39" fillId="0" borderId="1" xfId="0" applyNumberFormat="1" applyFont="1" applyFill="1" applyBorder="1" applyAlignment="1">
      <alignment horizontal="center" vertical="center"/>
    </xf>
    <xf numFmtId="0" fontId="39" fillId="0" borderId="0" xfId="0" applyFont="1" applyFill="1" applyBorder="1" applyAlignment="1" applyProtection="1">
      <alignment vertical="center"/>
      <protection locked="0"/>
    </xf>
    <xf numFmtId="179" fontId="38" fillId="0" borderId="1" xfId="0" applyNumberFormat="1" applyFont="1" applyFill="1" applyBorder="1" applyAlignment="1">
      <alignment horizontal="center" vertical="center"/>
    </xf>
    <xf numFmtId="2" fontId="38" fillId="0" borderId="2" xfId="0" applyNumberFormat="1" applyFont="1" applyFill="1" applyBorder="1" applyAlignment="1">
      <alignment horizontal="center" vertical="center"/>
    </xf>
    <xf numFmtId="0" fontId="38" fillId="0" borderId="2" xfId="0" applyFont="1" applyFill="1" applyBorder="1" applyAlignment="1" applyProtection="1">
      <alignment horizontal="center" vertical="center"/>
    </xf>
    <xf numFmtId="179" fontId="38" fillId="0" borderId="2" xfId="0" applyNumberFormat="1" applyFont="1" applyFill="1" applyBorder="1" applyAlignment="1" applyProtection="1">
      <alignment horizontal="center" vertical="center"/>
    </xf>
    <xf numFmtId="9" fontId="39" fillId="0" borderId="1" xfId="0" applyNumberFormat="1" applyFont="1" applyFill="1" applyBorder="1" applyAlignment="1">
      <alignment horizontal="center" vertical="center"/>
    </xf>
    <xf numFmtId="1" fontId="39" fillId="0" borderId="1" xfId="0" quotePrefix="1" applyNumberFormat="1" applyFont="1" applyFill="1" applyBorder="1" applyAlignment="1">
      <alignment horizontal="center" vertical="center"/>
    </xf>
    <xf numFmtId="179" fontId="39" fillId="0" borderId="1" xfId="0" applyNumberFormat="1" applyFont="1" applyFill="1" applyBorder="1" applyAlignment="1">
      <alignment horizontal="center" vertical="center"/>
    </xf>
    <xf numFmtId="0" fontId="39" fillId="0" borderId="9" xfId="0" applyFont="1" applyFill="1" applyBorder="1" applyAlignment="1">
      <alignment vertical="center" wrapText="1"/>
    </xf>
    <xf numFmtId="2" fontId="38" fillId="0" borderId="1" xfId="0" applyNumberFormat="1" applyFont="1" applyFill="1" applyBorder="1" applyAlignment="1">
      <alignment horizontal="center" vertical="center"/>
    </xf>
    <xf numFmtId="0" fontId="38" fillId="0" borderId="1" xfId="0" applyFont="1" applyFill="1" applyBorder="1" applyAlignment="1">
      <alignment vertical="center" wrapText="1"/>
    </xf>
    <xf numFmtId="0" fontId="38" fillId="0" borderId="1" xfId="0" applyFont="1" applyFill="1" applyBorder="1" applyAlignment="1" applyProtection="1">
      <alignment horizontal="center" vertical="center"/>
    </xf>
    <xf numFmtId="0" fontId="39" fillId="0" borderId="1" xfId="0" applyFont="1" applyFill="1" applyBorder="1" applyAlignment="1" applyProtection="1">
      <alignment horizontal="center" vertical="center"/>
    </xf>
    <xf numFmtId="0" fontId="39" fillId="0" borderId="2" xfId="0" applyFont="1" applyFill="1" applyBorder="1" applyAlignment="1">
      <alignment horizontal="center" vertical="center"/>
    </xf>
    <xf numFmtId="179" fontId="39" fillId="0" borderId="2" xfId="0" applyNumberFormat="1" applyFont="1" applyFill="1" applyBorder="1" applyAlignment="1">
      <alignment horizontal="center" vertical="center"/>
    </xf>
    <xf numFmtId="0" fontId="38" fillId="0" borderId="2" xfId="0" applyFont="1" applyFill="1" applyBorder="1" applyAlignment="1" applyProtection="1">
      <alignment horizontal="left" vertical="center"/>
    </xf>
    <xf numFmtId="0" fontId="38" fillId="0" borderId="1" xfId="0" applyFont="1" applyFill="1" applyBorder="1" applyAlignment="1" applyProtection="1">
      <alignment horizontal="left" vertical="center"/>
    </xf>
    <xf numFmtId="179" fontId="38" fillId="0" borderId="1" xfId="0" applyNumberFormat="1" applyFont="1" applyFill="1" applyBorder="1" applyAlignment="1" applyProtection="1">
      <alignment horizontal="center" vertical="center"/>
    </xf>
    <xf numFmtId="0" fontId="39" fillId="0" borderId="7" xfId="0" applyFont="1" applyFill="1" applyBorder="1" applyAlignment="1">
      <alignment vertical="center" wrapText="1"/>
    </xf>
    <xf numFmtId="164" fontId="32" fillId="0" borderId="0" xfId="45" applyFont="1"/>
    <xf numFmtId="0" fontId="46" fillId="0" borderId="0" xfId="0" applyFont="1"/>
    <xf numFmtId="0" fontId="46" fillId="0" borderId="0" xfId="0" applyFont="1" applyFill="1"/>
    <xf numFmtId="0" fontId="47" fillId="18" borderId="0" xfId="0" applyFont="1" applyFill="1" applyAlignment="1">
      <alignment horizontal="center"/>
    </xf>
    <xf numFmtId="0" fontId="47" fillId="18" borderId="0" xfId="0" applyFont="1" applyFill="1"/>
    <xf numFmtId="0" fontId="0" fillId="18" borderId="0" xfId="0" applyFill="1"/>
    <xf numFmtId="164" fontId="32" fillId="18" borderId="0" xfId="45" applyFont="1" applyFill="1"/>
    <xf numFmtId="0" fontId="48" fillId="18" borderId="0" xfId="0" applyFont="1" applyFill="1"/>
    <xf numFmtId="0" fontId="49" fillId="18" borderId="0" xfId="0" applyFont="1" applyFill="1"/>
    <xf numFmtId="0" fontId="0" fillId="18" borderId="0" xfId="0" applyFill="1" applyAlignment="1"/>
    <xf numFmtId="0" fontId="0" fillId="18" borderId="0" xfId="0" applyFill="1" applyAlignment="1">
      <alignment wrapText="1"/>
    </xf>
    <xf numFmtId="164" fontId="32" fillId="0" borderId="0" xfId="45" applyFont="1" applyFill="1"/>
    <xf numFmtId="164" fontId="0" fillId="0" borderId="0" xfId="0" applyNumberFormat="1"/>
    <xf numFmtId="0" fontId="38" fillId="0" borderId="3" xfId="0" applyFont="1" applyBorder="1" applyAlignment="1">
      <alignment horizontal="center" vertical="center" wrapText="1"/>
    </xf>
    <xf numFmtId="0" fontId="39" fillId="0" borderId="1" xfId="0" applyFont="1" applyBorder="1"/>
    <xf numFmtId="0" fontId="38" fillId="0" borderId="0" xfId="0" applyFont="1" applyFill="1" applyBorder="1" applyAlignment="1">
      <alignment vertical="center" wrapText="1"/>
    </xf>
    <xf numFmtId="0" fontId="35" fillId="0" borderId="1" xfId="0" applyFont="1" applyBorder="1" applyAlignment="1">
      <alignment horizontal="left" vertical="center" wrapText="1"/>
    </xf>
    <xf numFmtId="0" fontId="39" fillId="0" borderId="1" xfId="0" applyFont="1" applyFill="1" applyBorder="1" applyAlignment="1">
      <alignment horizontal="left" vertical="center" wrapText="1"/>
    </xf>
    <xf numFmtId="0" fontId="38" fillId="0" borderId="1" xfId="0" applyFont="1" applyFill="1" applyBorder="1" applyAlignment="1">
      <alignment horizontal="center" vertical="center" wrapText="1"/>
    </xf>
    <xf numFmtId="0" fontId="39" fillId="0" borderId="0" xfId="0" applyFont="1" applyFill="1" applyAlignment="1">
      <alignment vertical="center" wrapText="1"/>
    </xf>
    <xf numFmtId="0" fontId="28" fillId="0" borderId="7" xfId="0" applyFont="1" applyBorder="1" applyAlignment="1">
      <alignment vertical="center" wrapText="1"/>
    </xf>
    <xf numFmtId="0" fontId="38" fillId="0" borderId="1" xfId="0" applyFont="1" applyBorder="1" applyAlignment="1">
      <alignment horizontal="left" vertical="center" wrapText="1"/>
    </xf>
    <xf numFmtId="0" fontId="39" fillId="0" borderId="0" xfId="0" applyFont="1" applyAlignment="1">
      <alignment horizontal="center" vertical="center"/>
    </xf>
    <xf numFmtId="0" fontId="39" fillId="0" borderId="0" xfId="0" applyFont="1" applyFill="1" applyBorder="1" applyAlignment="1">
      <alignment horizontal="center" vertical="center"/>
    </xf>
    <xf numFmtId="0" fontId="38" fillId="0" borderId="1" xfId="0" applyFont="1" applyFill="1" applyBorder="1" applyAlignment="1">
      <alignment horizontal="left" vertical="center" wrapText="1"/>
    </xf>
    <xf numFmtId="0" fontId="0" fillId="14" borderId="0" xfId="0" applyFill="1"/>
    <xf numFmtId="0" fontId="50" fillId="0" borderId="0" xfId="0" applyFont="1"/>
    <xf numFmtId="0" fontId="39" fillId="0" borderId="1" xfId="0" applyFont="1" applyFill="1" applyBorder="1" applyAlignment="1">
      <alignment horizontal="center" vertical="center" wrapText="1"/>
    </xf>
    <xf numFmtId="0" fontId="38" fillId="0" borderId="0" xfId="0" applyFont="1" applyFill="1" applyBorder="1" applyAlignment="1">
      <alignment horizontal="center" vertical="center" wrapText="1"/>
    </xf>
    <xf numFmtId="0" fontId="39" fillId="0" borderId="1" xfId="0" applyFont="1" applyBorder="1" applyAlignment="1">
      <alignment horizontal="center" vertical="center" wrapText="1"/>
    </xf>
    <xf numFmtId="0" fontId="35" fillId="0" borderId="0" xfId="0" applyFont="1" applyBorder="1" applyAlignment="1">
      <alignment horizontal="center" vertical="center" wrapText="1"/>
    </xf>
    <xf numFmtId="0" fontId="38" fillId="0" borderId="1" xfId="0" applyFont="1" applyBorder="1" applyAlignment="1">
      <alignment horizontal="center" vertical="center" wrapText="1"/>
    </xf>
    <xf numFmtId="0" fontId="35" fillId="0" borderId="1" xfId="0" applyFont="1" applyFill="1" applyBorder="1" applyAlignment="1">
      <alignment horizontal="center" vertical="center" wrapText="1"/>
    </xf>
    <xf numFmtId="0" fontId="51" fillId="0" borderId="1" xfId="0" applyFont="1" applyBorder="1" applyAlignment="1">
      <alignment horizontal="center" vertical="center" wrapText="1"/>
    </xf>
    <xf numFmtId="4" fontId="39" fillId="0" borderId="1" xfId="0" applyNumberFormat="1" applyFont="1" applyBorder="1" applyAlignment="1">
      <alignment horizontal="center" vertical="center" wrapText="1"/>
    </xf>
    <xf numFmtId="4" fontId="38" fillId="15" borderId="1" xfId="0" applyNumberFormat="1" applyFont="1" applyFill="1" applyBorder="1" applyAlignment="1">
      <alignment horizontal="center" vertical="center" wrapText="1"/>
    </xf>
    <xf numFmtId="1" fontId="39" fillId="0" borderId="1" xfId="0" applyNumberFormat="1" applyFont="1" applyFill="1" applyBorder="1" applyAlignment="1">
      <alignment horizontal="center" vertical="center" wrapText="1"/>
    </xf>
    <xf numFmtId="0" fontId="35" fillId="0" borderId="0" xfId="0" applyFont="1" applyAlignment="1">
      <alignment horizontal="center" vertical="center" wrapText="1"/>
    </xf>
    <xf numFmtId="0" fontId="35" fillId="0" borderId="0" xfId="0" applyFont="1" applyFill="1" applyAlignment="1">
      <alignment horizontal="center" vertical="center" wrapText="1"/>
    </xf>
    <xf numFmtId="0" fontId="51" fillId="0" borderId="0" xfId="0" applyFont="1" applyBorder="1" applyAlignment="1">
      <alignment horizontal="center" vertical="center"/>
    </xf>
    <xf numFmtId="0" fontId="35" fillId="0" borderId="1" xfId="0" applyFont="1" applyBorder="1" applyAlignment="1">
      <alignment horizontal="center" vertical="center" wrapText="1"/>
    </xf>
    <xf numFmtId="0" fontId="51" fillId="0" borderId="0" xfId="0" applyFont="1" applyBorder="1" applyAlignment="1">
      <alignment horizontal="center" vertical="center" wrapText="1"/>
    </xf>
    <xf numFmtId="0" fontId="51" fillId="0" borderId="1" xfId="0" applyFont="1" applyBorder="1" applyAlignment="1">
      <alignment horizontal="left" vertical="center" wrapText="1"/>
    </xf>
    <xf numFmtId="0" fontId="39" fillId="0" borderId="0" xfId="0" applyFont="1" applyFill="1" applyAlignment="1">
      <alignment horizontal="center" vertical="center" wrapText="1"/>
    </xf>
    <xf numFmtId="0" fontId="51" fillId="0" borderId="0" xfId="0" applyFont="1" applyAlignment="1">
      <alignment horizontal="center" vertical="center" wrapText="1"/>
    </xf>
    <xf numFmtId="0" fontId="36" fillId="0" borderId="0" xfId="0" applyFont="1" applyFill="1" applyAlignment="1">
      <alignment horizontal="center" vertical="center"/>
    </xf>
    <xf numFmtId="1" fontId="39" fillId="0" borderId="1" xfId="0" applyNumberFormat="1" applyFont="1" applyBorder="1" applyAlignment="1">
      <alignment horizontal="center" vertical="center" wrapText="1"/>
    </xf>
    <xf numFmtId="0" fontId="39" fillId="0" borderId="1" xfId="0" applyFont="1" applyFill="1" applyBorder="1" applyAlignment="1" applyProtection="1">
      <alignment horizontal="left" vertical="center"/>
    </xf>
    <xf numFmtId="1" fontId="38" fillId="0" borderId="1" xfId="0" applyNumberFormat="1" applyFont="1" applyFill="1" applyBorder="1" applyAlignment="1">
      <alignment horizontal="center" vertical="center"/>
    </xf>
    <xf numFmtId="0" fontId="36" fillId="0" borderId="1" xfId="0" applyFont="1" applyBorder="1" applyAlignment="1" applyProtection="1">
      <alignment vertical="center"/>
      <protection locked="0"/>
    </xf>
    <xf numFmtId="0" fontId="37" fillId="16" borderId="1" xfId="0" applyFont="1" applyFill="1" applyBorder="1" applyAlignment="1" applyProtection="1">
      <alignment horizontal="left" vertical="center" indent="2"/>
      <protection locked="0"/>
    </xf>
    <xf numFmtId="0" fontId="36" fillId="0" borderId="1" xfId="0" applyFont="1" applyBorder="1" applyAlignment="1" applyProtection="1">
      <alignment horizontal="left" vertical="center" wrapText="1" indent="3"/>
      <protection locked="0"/>
    </xf>
    <xf numFmtId="1" fontId="38" fillId="0" borderId="1" xfId="0" applyNumberFormat="1" applyFont="1" applyFill="1" applyBorder="1" applyAlignment="1">
      <alignment horizontal="center" vertical="center" wrapText="1"/>
    </xf>
    <xf numFmtId="0" fontId="39" fillId="0" borderId="1" xfId="0" applyFont="1" applyBorder="1" applyAlignment="1">
      <alignment horizontal="left" vertical="center" wrapText="1" indent="1"/>
    </xf>
    <xf numFmtId="0" fontId="38" fillId="14" borderId="1" xfId="0" applyFont="1" applyFill="1" applyBorder="1" applyAlignment="1">
      <alignment horizontal="left" vertical="center" wrapText="1"/>
    </xf>
    <xf numFmtId="0" fontId="38" fillId="14" borderId="1" xfId="0" applyFont="1" applyFill="1" applyBorder="1" applyAlignment="1">
      <alignment horizontal="center" vertical="center" wrapText="1"/>
    </xf>
    <xf numFmtId="4" fontId="35" fillId="0" borderId="1" xfId="0" applyNumberFormat="1" applyFont="1" applyBorder="1" applyAlignment="1">
      <alignment horizontal="center" vertical="center" wrapText="1"/>
    </xf>
    <xf numFmtId="0" fontId="39" fillId="0" borderId="1" xfId="0" applyFont="1" applyFill="1" applyBorder="1" applyAlignment="1">
      <alignment horizontal="left" vertical="center" wrapText="1" indent="1"/>
    </xf>
    <xf numFmtId="1" fontId="39" fillId="14" borderId="1" xfId="0" applyNumberFormat="1" applyFont="1" applyFill="1" applyBorder="1" applyAlignment="1">
      <alignment horizontal="center" vertical="center" wrapText="1"/>
    </xf>
    <xf numFmtId="0" fontId="52" fillId="21" borderId="1" xfId="0" applyFont="1" applyFill="1" applyBorder="1" applyAlignment="1">
      <alignment horizontal="center" vertical="center" wrapText="1"/>
    </xf>
    <xf numFmtId="0" fontId="53" fillId="22" borderId="1" xfId="0" applyFont="1" applyFill="1" applyBorder="1" applyAlignment="1">
      <alignment vertical="center" wrapText="1"/>
    </xf>
    <xf numFmtId="0" fontId="53" fillId="0" borderId="1" xfId="0" applyFont="1" applyBorder="1" applyAlignment="1">
      <alignment vertical="center" wrapText="1"/>
    </xf>
    <xf numFmtId="0" fontId="43" fillId="14" borderId="0" xfId="0" applyFont="1" applyFill="1" applyBorder="1" applyAlignment="1" applyProtection="1">
      <alignment horizontal="left" vertical="center" wrapText="1"/>
    </xf>
    <xf numFmtId="0" fontId="43" fillId="14" borderId="0" xfId="0" applyFont="1" applyFill="1" applyBorder="1" applyAlignment="1" applyProtection="1">
      <alignment horizontal="center" vertical="center"/>
    </xf>
    <xf numFmtId="0" fontId="43" fillId="14" borderId="0" xfId="0" applyFont="1" applyFill="1" applyBorder="1" applyAlignment="1" applyProtection="1">
      <alignment horizontal="center" vertical="center" wrapText="1"/>
      <protection locked="0"/>
    </xf>
    <xf numFmtId="0" fontId="43" fillId="14" borderId="0" xfId="0" applyFont="1" applyFill="1" applyBorder="1" applyAlignment="1" applyProtection="1">
      <alignment horizontal="center" vertical="center"/>
      <protection locked="0"/>
    </xf>
    <xf numFmtId="0" fontId="43" fillId="14" borderId="0" xfId="0" applyFont="1" applyFill="1" applyBorder="1"/>
    <xf numFmtId="0" fontId="43" fillId="14" borderId="0" xfId="0" applyFont="1" applyFill="1"/>
    <xf numFmtId="0" fontId="43" fillId="14" borderId="0" xfId="0" applyFont="1" applyFill="1" applyAlignment="1">
      <alignment wrapText="1"/>
    </xf>
    <xf numFmtId="0" fontId="43" fillId="14" borderId="0" xfId="0" applyFont="1" applyFill="1" applyAlignment="1">
      <alignment horizontal="center" vertical="center"/>
    </xf>
    <xf numFmtId="0" fontId="44" fillId="0" borderId="0" xfId="0" applyFont="1" applyBorder="1" applyAlignment="1" applyProtection="1">
      <alignment horizontal="center" vertical="center" wrapText="1"/>
      <protection locked="0"/>
    </xf>
    <xf numFmtId="0" fontId="54" fillId="20" borderId="0" xfId="0" applyFont="1" applyFill="1" applyAlignment="1">
      <alignment horizontal="center"/>
    </xf>
    <xf numFmtId="164" fontId="32" fillId="20" borderId="0" xfId="45" applyFont="1" applyFill="1"/>
    <xf numFmtId="0" fontId="0" fillId="20" borderId="0" xfId="0" applyFill="1"/>
    <xf numFmtId="0" fontId="38" fillId="15" borderId="0" xfId="0" applyFont="1" applyFill="1" applyBorder="1" applyAlignment="1">
      <alignment horizontal="center" vertical="center" wrapText="1"/>
    </xf>
    <xf numFmtId="4" fontId="38" fillId="15" borderId="0" xfId="0" applyNumberFormat="1" applyFont="1" applyFill="1" applyBorder="1" applyAlignment="1">
      <alignment horizontal="center" vertical="center" wrapText="1"/>
    </xf>
    <xf numFmtId="179" fontId="38" fillId="0" borderId="1" xfId="0" applyNumberFormat="1" applyFont="1" applyFill="1" applyBorder="1" applyAlignment="1">
      <alignment horizontal="center" vertical="center"/>
    </xf>
    <xf numFmtId="179" fontId="38" fillId="0" borderId="0" xfId="0" applyNumberFormat="1" applyFont="1" applyFill="1" applyBorder="1" applyAlignment="1">
      <alignment horizontal="center" vertical="center"/>
    </xf>
    <xf numFmtId="0" fontId="39" fillId="0" borderId="1" xfId="0" applyFont="1" applyFill="1" applyBorder="1" applyAlignment="1">
      <alignment horizontal="center" vertical="center"/>
    </xf>
    <xf numFmtId="0" fontId="39" fillId="17" borderId="1" xfId="0" applyFont="1" applyFill="1" applyBorder="1" applyAlignment="1">
      <alignment horizontal="center" vertical="center" wrapText="1"/>
    </xf>
    <xf numFmtId="0" fontId="55" fillId="14" borderId="0" xfId="0" applyFont="1" applyFill="1" applyBorder="1" applyAlignment="1" applyProtection="1">
      <alignment vertical="center"/>
    </xf>
    <xf numFmtId="0" fontId="55" fillId="14" borderId="0" xfId="0" applyFont="1" applyFill="1" applyBorder="1" applyAlignment="1" applyProtection="1">
      <alignment vertical="center" wrapText="1"/>
    </xf>
    <xf numFmtId="0" fontId="55" fillId="14" borderId="0" xfId="0" applyFont="1" applyFill="1" applyBorder="1" applyAlignment="1" applyProtection="1">
      <alignment vertical="center" wrapText="1"/>
      <protection locked="0"/>
    </xf>
    <xf numFmtId="0" fontId="56" fillId="14" borderId="0" xfId="0" applyFont="1" applyFill="1" applyBorder="1" applyAlignment="1" applyProtection="1">
      <alignment vertical="center" wrapText="1"/>
      <protection locked="0"/>
    </xf>
    <xf numFmtId="0" fontId="55" fillId="14" borderId="0" xfId="0" applyFont="1" applyFill="1"/>
    <xf numFmtId="49" fontId="56" fillId="14" borderId="0" xfId="0" applyNumberFormat="1" applyFont="1" applyFill="1" applyBorder="1" applyAlignment="1" applyProtection="1">
      <alignment horizontal="right" vertical="center"/>
    </xf>
    <xf numFmtId="0" fontId="55" fillId="14" borderId="0" xfId="0" applyFont="1" applyFill="1" applyAlignment="1" applyProtection="1">
      <alignment vertical="center" wrapText="1"/>
      <protection locked="0"/>
    </xf>
    <xf numFmtId="49" fontId="55" fillId="14" borderId="0" xfId="0" applyNumberFormat="1" applyFont="1" applyFill="1" applyBorder="1" applyAlignment="1" applyProtection="1">
      <alignment horizontal="right" vertical="center"/>
    </xf>
    <xf numFmtId="0" fontId="56" fillId="14" borderId="0" xfId="0" applyFont="1" applyFill="1" applyBorder="1" applyAlignment="1" applyProtection="1">
      <alignment vertical="center"/>
    </xf>
    <xf numFmtId="0" fontId="55" fillId="14" borderId="0" xfId="0" applyFont="1" applyFill="1" applyAlignment="1" applyProtection="1">
      <alignment vertical="center"/>
      <protection locked="0"/>
    </xf>
    <xf numFmtId="49" fontId="55" fillId="14" borderId="0" xfId="0" applyNumberFormat="1" applyFont="1" applyFill="1" applyBorder="1" applyAlignment="1" applyProtection="1">
      <alignment horizontal="right" vertical="center"/>
      <protection locked="0"/>
    </xf>
    <xf numFmtId="49" fontId="55" fillId="14" borderId="0" xfId="0" applyNumberFormat="1" applyFont="1" applyFill="1" applyBorder="1" applyAlignment="1" applyProtection="1">
      <alignment vertical="center"/>
      <protection locked="0"/>
    </xf>
    <xf numFmtId="0" fontId="55" fillId="0" borderId="7" xfId="0" applyFont="1" applyBorder="1" applyAlignment="1" applyProtection="1">
      <alignment horizontal="center" vertical="center"/>
      <protection locked="0"/>
    </xf>
    <xf numFmtId="0" fontId="55" fillId="14" borderId="0" xfId="0" applyFont="1" applyFill="1" applyBorder="1" applyAlignment="1" applyProtection="1">
      <alignment horizontal="left" vertical="center"/>
    </xf>
    <xf numFmtId="49" fontId="55" fillId="14" borderId="0" xfId="0" applyNumberFormat="1" applyFont="1" applyFill="1" applyBorder="1" applyAlignment="1" applyProtection="1">
      <alignment horizontal="center" vertical="center"/>
      <protection locked="0"/>
    </xf>
    <xf numFmtId="49" fontId="55" fillId="14" borderId="0" xfId="0" applyNumberFormat="1" applyFont="1" applyFill="1" applyBorder="1" applyAlignment="1" applyProtection="1">
      <alignment vertical="center" wrapText="1"/>
      <protection locked="0"/>
    </xf>
    <xf numFmtId="0" fontId="56" fillId="14" borderId="0" xfId="0" applyFont="1" applyFill="1" applyBorder="1" applyAlignment="1" applyProtection="1">
      <alignment horizontal="center" vertical="center"/>
    </xf>
    <xf numFmtId="49" fontId="55" fillId="14" borderId="0" xfId="0" applyNumberFormat="1" applyFont="1" applyFill="1" applyBorder="1" applyAlignment="1" applyProtection="1">
      <alignment horizontal="left" vertical="center"/>
    </xf>
    <xf numFmtId="0" fontId="56" fillId="14" borderId="0" xfId="0" applyFont="1" applyFill="1" applyBorder="1" applyAlignment="1" applyProtection="1">
      <alignment horizontal="left" vertical="center"/>
    </xf>
    <xf numFmtId="2" fontId="55" fillId="14" borderId="0" xfId="0" applyNumberFormat="1" applyFont="1" applyFill="1" applyBorder="1" applyAlignment="1" applyProtection="1">
      <alignment horizontal="center" vertical="center" wrapText="1"/>
    </xf>
    <xf numFmtId="2" fontId="55" fillId="14" borderId="0" xfId="114" applyNumberFormat="1" applyFont="1" applyFill="1" applyBorder="1" applyAlignment="1" applyProtection="1">
      <alignment horizontal="center" vertical="center" wrapText="1"/>
    </xf>
    <xf numFmtId="0" fontId="55" fillId="14" borderId="0" xfId="0" applyFont="1" applyFill="1" applyBorder="1" applyAlignment="1" applyProtection="1">
      <alignment vertical="center"/>
      <protection locked="0"/>
    </xf>
    <xf numFmtId="0" fontId="55" fillId="14" borderId="0" xfId="0" applyFont="1" applyFill="1" applyBorder="1" applyAlignment="1" applyProtection="1">
      <alignment horizontal="center" vertical="center"/>
      <protection locked="0"/>
    </xf>
    <xf numFmtId="0" fontId="55" fillId="0" borderId="1" xfId="0" applyFont="1" applyBorder="1" applyAlignment="1" applyProtection="1">
      <alignment horizontal="center" vertical="center"/>
      <protection locked="0"/>
    </xf>
    <xf numFmtId="49" fontId="55" fillId="14" borderId="0" xfId="0" applyNumberFormat="1" applyFont="1" applyFill="1" applyBorder="1" applyAlignment="1" applyProtection="1">
      <alignment horizontal="left" vertical="center"/>
      <protection locked="0"/>
    </xf>
    <xf numFmtId="0" fontId="55" fillId="14" borderId="0" xfId="0" applyFont="1" applyFill="1" applyAlignment="1">
      <alignment horizontal="left" vertical="center"/>
    </xf>
    <xf numFmtId="0" fontId="55" fillId="14" borderId="0" xfId="0" applyFont="1" applyFill="1" applyAlignment="1" applyProtection="1">
      <alignment vertical="center" wrapText="1"/>
    </xf>
    <xf numFmtId="0" fontId="55" fillId="14" borderId="0" xfId="0" applyFont="1" applyFill="1" applyBorder="1" applyAlignment="1" applyProtection="1">
      <alignment horizontal="left" vertical="center"/>
      <protection hidden="1"/>
    </xf>
    <xf numFmtId="0" fontId="55" fillId="14" borderId="0" xfId="0" applyFont="1" applyFill="1" applyBorder="1" applyAlignment="1" applyProtection="1">
      <alignment horizontal="center" vertical="center"/>
      <protection hidden="1"/>
    </xf>
    <xf numFmtId="0" fontId="55" fillId="14" borderId="0" xfId="0" applyFont="1" applyFill="1" applyBorder="1" applyAlignment="1" applyProtection="1">
      <alignment vertical="center"/>
      <protection hidden="1"/>
    </xf>
    <xf numFmtId="0" fontId="55" fillId="14" borderId="0" xfId="0" applyFont="1" applyFill="1" applyBorder="1" applyAlignment="1" applyProtection="1">
      <alignment vertical="center" wrapText="1"/>
      <protection hidden="1"/>
    </xf>
    <xf numFmtId="0" fontId="56" fillId="14" borderId="0" xfId="0" applyFont="1" applyFill="1" applyBorder="1" applyAlignment="1" applyProtection="1">
      <alignment vertical="center" wrapText="1"/>
    </xf>
    <xf numFmtId="0" fontId="55" fillId="0" borderId="7" xfId="0" applyFont="1" applyFill="1" applyBorder="1" applyAlignment="1" applyProtection="1">
      <alignment horizontal="center" vertical="center"/>
      <protection locked="0"/>
    </xf>
    <xf numFmtId="0" fontId="55" fillId="0" borderId="0" xfId="0" applyFont="1" applyAlignment="1">
      <alignment wrapText="1"/>
    </xf>
    <xf numFmtId="0" fontId="55" fillId="14" borderId="0" xfId="0" applyFont="1" applyFill="1" applyAlignment="1">
      <alignment wrapText="1"/>
    </xf>
    <xf numFmtId="0" fontId="55" fillId="14" borderId="0" xfId="0" applyFont="1" applyFill="1" applyBorder="1" applyAlignment="1">
      <alignment vertical="center" wrapText="1"/>
    </xf>
    <xf numFmtId="0" fontId="55" fillId="14" borderId="0" xfId="0" applyFont="1" applyFill="1" applyBorder="1" applyAlignment="1" applyProtection="1">
      <alignment horizontal="left" vertical="center" wrapText="1"/>
      <protection locked="0"/>
    </xf>
    <xf numFmtId="0" fontId="55" fillId="0" borderId="0" xfId="0" applyFont="1" applyFill="1" applyBorder="1" applyAlignment="1" applyProtection="1">
      <alignment vertical="center"/>
      <protection locked="0"/>
    </xf>
    <xf numFmtId="0" fontId="55" fillId="0" borderId="0" xfId="0" applyFont="1" applyFill="1" applyAlignment="1" applyProtection="1">
      <alignment vertical="center"/>
      <protection locked="0"/>
    </xf>
    <xf numFmtId="0" fontId="57" fillId="14" borderId="0" xfId="0" applyFont="1" applyFill="1" applyBorder="1" applyAlignment="1" applyProtection="1">
      <alignment vertical="center"/>
    </xf>
    <xf numFmtId="0" fontId="55" fillId="14" borderId="0" xfId="0" applyFont="1" applyFill="1" applyAlignment="1" applyProtection="1">
      <alignment horizontal="center" vertical="center"/>
    </xf>
    <xf numFmtId="0" fontId="55" fillId="14" borderId="0" xfId="0" applyFont="1" applyFill="1" applyAlignment="1" applyProtection="1">
      <alignment vertical="center"/>
    </xf>
    <xf numFmtId="0" fontId="55" fillId="14" borderId="0" xfId="0" applyFont="1" applyFill="1" applyBorder="1"/>
    <xf numFmtId="0" fontId="55" fillId="14" borderId="0" xfId="0" applyFont="1" applyFill="1" applyBorder="1" applyAlignment="1" applyProtection="1">
      <alignment horizontal="justify" vertical="center" wrapText="1"/>
    </xf>
    <xf numFmtId="0" fontId="55" fillId="15" borderId="9" xfId="0" applyFont="1" applyFill="1" applyBorder="1" applyAlignment="1" applyProtection="1">
      <alignment vertical="center"/>
    </xf>
    <xf numFmtId="0" fontId="55" fillId="15" borderId="9" xfId="0" applyFont="1" applyFill="1" applyBorder="1" applyAlignment="1" applyProtection="1">
      <alignment horizontal="center" vertical="center"/>
    </xf>
    <xf numFmtId="0" fontId="55" fillId="15" borderId="8" xfId="0" applyFont="1" applyFill="1" applyBorder="1" applyAlignment="1" applyProtection="1">
      <alignment horizontal="center" vertical="center"/>
    </xf>
    <xf numFmtId="0" fontId="55" fillId="14" borderId="10" xfId="0" applyFont="1" applyFill="1" applyBorder="1" applyAlignment="1" applyProtection="1">
      <alignment horizontal="left" vertical="center" wrapText="1"/>
    </xf>
    <xf numFmtId="49" fontId="56" fillId="14" borderId="0" xfId="0" applyNumberFormat="1" applyFont="1" applyFill="1" applyBorder="1" applyAlignment="1" applyProtection="1">
      <alignment horizontal="right"/>
    </xf>
    <xf numFmtId="49" fontId="56" fillId="14" borderId="0" xfId="0" applyNumberFormat="1" applyFont="1" applyFill="1" applyBorder="1" applyAlignment="1" applyProtection="1">
      <alignment vertical="center"/>
    </xf>
    <xf numFmtId="3" fontId="55" fillId="14" borderId="0" xfId="0" applyNumberFormat="1" applyFont="1" applyFill="1" applyBorder="1" applyAlignment="1" applyProtection="1">
      <alignment horizontal="center" vertical="center" wrapText="1"/>
    </xf>
    <xf numFmtId="49" fontId="55" fillId="14" borderId="0" xfId="0" applyNumberFormat="1" applyFont="1" applyFill="1" applyBorder="1" applyAlignment="1" applyProtection="1">
      <alignment horizontal="center" vertical="center"/>
    </xf>
    <xf numFmtId="0" fontId="55" fillId="14" borderId="0" xfId="0" applyFont="1" applyFill="1" applyBorder="1" applyAlignment="1" applyProtection="1">
      <alignment wrapText="1"/>
      <protection locked="0"/>
    </xf>
    <xf numFmtId="49" fontId="56" fillId="14" borderId="0" xfId="0" applyNumberFormat="1" applyFont="1" applyFill="1" applyBorder="1" applyAlignment="1" applyProtection="1">
      <alignment horizontal="left" vertical="center"/>
      <protection locked="0"/>
    </xf>
    <xf numFmtId="49" fontId="56" fillId="14" borderId="0" xfId="0" applyNumberFormat="1" applyFont="1" applyFill="1" applyBorder="1" applyAlignment="1" applyProtection="1">
      <alignment horizontal="center" vertical="center"/>
      <protection locked="0"/>
    </xf>
    <xf numFmtId="49" fontId="56" fillId="14" borderId="0" xfId="0" applyNumberFormat="1" applyFont="1" applyFill="1" applyBorder="1" applyAlignment="1" applyProtection="1">
      <alignment horizontal="center" vertical="center" wrapText="1"/>
      <protection locked="0"/>
    </xf>
    <xf numFmtId="4" fontId="56" fillId="14" borderId="0" xfId="0" applyNumberFormat="1" applyFont="1" applyFill="1" applyBorder="1" applyAlignment="1" applyProtection="1">
      <alignment horizontal="center" vertical="center"/>
      <protection locked="0"/>
    </xf>
    <xf numFmtId="4" fontId="56" fillId="14" borderId="0" xfId="0" applyNumberFormat="1" applyFont="1" applyFill="1" applyBorder="1" applyAlignment="1" applyProtection="1">
      <alignment horizontal="center" vertical="center" wrapText="1"/>
      <protection locked="0"/>
    </xf>
    <xf numFmtId="49" fontId="55" fillId="14" borderId="0" xfId="0" applyNumberFormat="1" applyFont="1" applyFill="1" applyBorder="1" applyAlignment="1" applyProtection="1">
      <alignment horizontal="center" vertical="center" wrapText="1"/>
      <protection locked="0"/>
    </xf>
    <xf numFmtId="3" fontId="55" fillId="14" borderId="0" xfId="0" applyNumberFormat="1" applyFont="1" applyFill="1" applyBorder="1" applyAlignment="1" applyProtection="1">
      <alignment horizontal="center" vertical="center"/>
    </xf>
    <xf numFmtId="3" fontId="56" fillId="14" borderId="0" xfId="0" applyNumberFormat="1" applyFont="1" applyFill="1" applyBorder="1" applyAlignment="1" applyProtection="1">
      <alignment horizontal="center" vertical="center" wrapText="1"/>
      <protection locked="0"/>
    </xf>
    <xf numFmtId="3" fontId="55" fillId="14" borderId="0" xfId="0" applyNumberFormat="1" applyFont="1" applyFill="1" applyBorder="1" applyAlignment="1" applyProtection="1">
      <alignment horizontal="center" vertical="center"/>
      <protection locked="0"/>
    </xf>
    <xf numFmtId="3" fontId="55" fillId="14" borderId="0" xfId="0" applyNumberFormat="1" applyFont="1" applyFill="1" applyBorder="1" applyAlignment="1" applyProtection="1">
      <alignment vertical="center"/>
      <protection locked="0"/>
    </xf>
    <xf numFmtId="3" fontId="55" fillId="14" borderId="0" xfId="0" applyNumberFormat="1" applyFont="1" applyFill="1" applyBorder="1" applyAlignment="1" applyProtection="1">
      <alignment vertical="center" wrapText="1"/>
      <protection locked="0"/>
    </xf>
    <xf numFmtId="3" fontId="56" fillId="14" borderId="0" xfId="0" applyNumberFormat="1" applyFont="1" applyFill="1" applyBorder="1" applyAlignment="1" applyProtection="1">
      <alignment horizontal="center" vertical="center" wrapText="1"/>
    </xf>
    <xf numFmtId="3" fontId="55" fillId="14" borderId="0" xfId="0" applyNumberFormat="1" applyFont="1" applyFill="1" applyBorder="1" applyAlignment="1" applyProtection="1">
      <alignment vertical="center"/>
    </xf>
    <xf numFmtId="3" fontId="55" fillId="14" borderId="0" xfId="0" applyNumberFormat="1" applyFont="1" applyFill="1" applyBorder="1" applyAlignment="1" applyProtection="1">
      <alignment vertical="center" wrapText="1"/>
    </xf>
    <xf numFmtId="2" fontId="55" fillId="14" borderId="0" xfId="0" applyNumberFormat="1" applyFont="1" applyFill="1" applyBorder="1" applyAlignment="1" applyProtection="1">
      <alignment vertical="center"/>
    </xf>
    <xf numFmtId="171" fontId="55" fillId="14" borderId="0" xfId="0" applyNumberFormat="1" applyFont="1" applyFill="1" applyBorder="1" applyAlignment="1" applyProtection="1">
      <alignment vertical="center" wrapText="1"/>
    </xf>
    <xf numFmtId="0" fontId="56" fillId="14" borderId="0" xfId="0" applyFont="1" applyFill="1" applyBorder="1" applyAlignment="1" applyProtection="1">
      <alignment vertical="center"/>
      <protection locked="0"/>
    </xf>
    <xf numFmtId="49" fontId="56" fillId="14" borderId="0" xfId="0" applyNumberFormat="1" applyFont="1" applyFill="1" applyBorder="1" applyAlignment="1" applyProtection="1">
      <alignment horizontal="right" vertical="center" wrapText="1"/>
      <protection locked="0"/>
    </xf>
    <xf numFmtId="0" fontId="56" fillId="14" borderId="0" xfId="0" applyFont="1" applyFill="1" applyAlignment="1">
      <alignment wrapText="1"/>
    </xf>
    <xf numFmtId="49" fontId="56" fillId="14" borderId="0" xfId="0" applyNumberFormat="1" applyFont="1" applyFill="1" applyBorder="1" applyAlignment="1" applyProtection="1">
      <alignment horizontal="left" vertical="center"/>
    </xf>
    <xf numFmtId="0" fontId="44" fillId="0" borderId="7" xfId="0" applyFont="1" applyFill="1" applyBorder="1" applyAlignment="1" applyProtection="1">
      <alignment horizontal="center" vertical="center" wrapText="1"/>
    </xf>
    <xf numFmtId="0" fontId="44" fillId="0" borderId="9" xfId="0" applyFont="1" applyFill="1" applyBorder="1" applyAlignment="1" applyProtection="1">
      <alignment horizontal="center" vertical="center" wrapText="1"/>
    </xf>
    <xf numFmtId="0" fontId="44" fillId="0" borderId="8" xfId="0" applyFont="1" applyFill="1" applyBorder="1" applyAlignment="1" applyProtection="1">
      <alignment horizontal="center" vertical="center" wrapText="1"/>
    </xf>
    <xf numFmtId="0" fontId="43" fillId="0" borderId="0" xfId="0" applyFont="1" applyFill="1" applyBorder="1" applyAlignment="1" applyProtection="1">
      <alignment horizontal="center" vertical="center"/>
    </xf>
    <xf numFmtId="0" fontId="43" fillId="0" borderId="0" xfId="0" applyFont="1" applyFill="1" applyBorder="1" applyAlignment="1" applyProtection="1">
      <alignment horizontal="center" vertical="center"/>
      <protection locked="0"/>
    </xf>
    <xf numFmtId="2" fontId="55" fillId="0" borderId="0" xfId="0" applyNumberFormat="1" applyFont="1" applyFill="1" applyBorder="1" applyAlignment="1" applyProtection="1">
      <alignment horizontal="center" vertical="center" wrapText="1"/>
    </xf>
    <xf numFmtId="0" fontId="39" fillId="0" borderId="2" xfId="0" applyFont="1" applyFill="1" applyBorder="1" applyAlignment="1">
      <alignment horizontal="center" vertical="center" wrapText="1"/>
    </xf>
    <xf numFmtId="0" fontId="37" fillId="15" borderId="1" xfId="0" applyFont="1" applyFill="1" applyBorder="1" applyAlignment="1">
      <alignment horizontal="center" vertical="center" wrapText="1"/>
    </xf>
    <xf numFmtId="0" fontId="37" fillId="15" borderId="1" xfId="0" applyFont="1" applyFill="1" applyBorder="1" applyAlignment="1">
      <alignment horizontal="center" vertical="center"/>
    </xf>
    <xf numFmtId="0" fontId="38" fillId="15" borderId="0" xfId="0" applyFont="1" applyFill="1" applyBorder="1" applyAlignment="1">
      <alignment horizontal="center" vertical="center"/>
    </xf>
    <xf numFmtId="0" fontId="39" fillId="0" borderId="0" xfId="0" applyFont="1" applyBorder="1"/>
    <xf numFmtId="0" fontId="39" fillId="0" borderId="0" xfId="0" applyFont="1" applyFill="1" applyBorder="1"/>
    <xf numFmtId="0" fontId="39" fillId="0" borderId="0" xfId="0" applyFont="1" applyAlignment="1">
      <alignment wrapText="1"/>
    </xf>
    <xf numFmtId="0" fontId="38" fillId="0" borderId="0" xfId="0" applyFont="1" applyFill="1" applyBorder="1"/>
    <xf numFmtId="0" fontId="38" fillId="15" borderId="1" xfId="0" applyFont="1" applyFill="1" applyBorder="1" applyAlignment="1">
      <alignment horizontal="center" vertical="center" wrapText="1"/>
    </xf>
    <xf numFmtId="0" fontId="44" fillId="17" borderId="7" xfId="0" applyFont="1" applyFill="1" applyBorder="1" applyAlignment="1" applyProtection="1">
      <alignment horizontal="center" vertical="center" wrapText="1"/>
    </xf>
    <xf numFmtId="0" fontId="44" fillId="17" borderId="9" xfId="0" applyFont="1" applyFill="1" applyBorder="1" applyAlignment="1" applyProtection="1">
      <alignment horizontal="center" vertical="center" wrapText="1"/>
    </xf>
    <xf numFmtId="0" fontId="44" fillId="17" borderId="8" xfId="0" applyFont="1" applyFill="1" applyBorder="1" applyAlignment="1" applyProtection="1">
      <alignment horizontal="center" vertical="center" wrapText="1"/>
    </xf>
    <xf numFmtId="4" fontId="7" fillId="17" borderId="1" xfId="70" applyNumberFormat="1" applyFont="1" applyFill="1" applyBorder="1" applyAlignment="1" applyProtection="1">
      <alignment vertical="center" wrapText="1"/>
      <protection locked="0"/>
    </xf>
    <xf numFmtId="4" fontId="28" fillId="17" borderId="1" xfId="0" applyNumberFormat="1" applyFont="1" applyFill="1" applyBorder="1" applyAlignment="1" applyProtection="1">
      <alignment horizontal="center" vertical="center" wrapText="1"/>
      <protection locked="0"/>
    </xf>
    <xf numFmtId="4" fontId="7" fillId="17" borderId="1" xfId="88" applyNumberFormat="1" applyFont="1" applyFill="1" applyBorder="1" applyAlignment="1" applyProtection="1">
      <alignment horizontal="right" vertical="center" wrapText="1"/>
      <protection locked="0"/>
    </xf>
    <xf numFmtId="4" fontId="7" fillId="0" borderId="1" xfId="70" applyNumberFormat="1" applyFont="1" applyFill="1" applyBorder="1" applyAlignment="1" applyProtection="1">
      <alignment vertical="center" wrapText="1"/>
      <protection locked="0"/>
    </xf>
    <xf numFmtId="4" fontId="7" fillId="0" borderId="1" xfId="70" applyNumberFormat="1" applyFont="1" applyFill="1" applyBorder="1" applyAlignment="1" applyProtection="1">
      <alignment horizontal="center" vertical="center" wrapText="1"/>
      <protection locked="0"/>
    </xf>
    <xf numFmtId="4" fontId="7" fillId="0" borderId="1" xfId="88" applyNumberFormat="1" applyFont="1" applyFill="1" applyBorder="1" applyAlignment="1" applyProtection="1">
      <alignment horizontal="center" vertical="center" wrapText="1"/>
      <protection locked="0"/>
    </xf>
    <xf numFmtId="4" fontId="7" fillId="17" borderId="1" xfId="70" applyNumberFormat="1" applyFont="1" applyFill="1" applyBorder="1" applyAlignment="1" applyProtection="1">
      <alignment horizontal="center" vertical="center" wrapText="1"/>
      <protection locked="0"/>
    </xf>
    <xf numFmtId="4" fontId="7" fillId="17" borderId="1" xfId="88" applyNumberFormat="1" applyFont="1" applyFill="1" applyBorder="1" applyAlignment="1" applyProtection="1">
      <alignment horizontal="center" vertical="center" wrapText="1"/>
      <protection locked="0"/>
    </xf>
    <xf numFmtId="10" fontId="7" fillId="17" borderId="1" xfId="0" applyNumberFormat="1" applyFont="1" applyFill="1" applyBorder="1" applyAlignment="1">
      <alignment horizontal="center" vertical="center" wrapText="1"/>
    </xf>
    <xf numFmtId="0" fontId="28" fillId="15" borderId="1" xfId="0" applyFont="1" applyFill="1" applyBorder="1" applyAlignment="1">
      <alignment horizontal="center" vertical="center" wrapText="1"/>
    </xf>
    <xf numFmtId="4" fontId="28" fillId="15" borderId="1" xfId="0" applyNumberFormat="1" applyFont="1" applyFill="1" applyBorder="1" applyAlignment="1">
      <alignment horizontal="center" vertical="center" wrapText="1"/>
    </xf>
    <xf numFmtId="182" fontId="28" fillId="15" borderId="1" xfId="0" applyNumberFormat="1" applyFont="1" applyFill="1" applyBorder="1" applyAlignment="1">
      <alignment horizontal="center" vertical="center" wrapText="1"/>
    </xf>
    <xf numFmtId="0" fontId="43" fillId="0" borderId="0" xfId="0" applyFont="1" applyAlignment="1">
      <alignment wrapText="1"/>
    </xf>
    <xf numFmtId="4" fontId="28" fillId="0" borderId="1" xfId="70" applyNumberFormat="1" applyFont="1" applyFill="1" applyBorder="1" applyAlignment="1" applyProtection="1">
      <alignment horizontal="center" vertical="center" wrapText="1"/>
      <protection locked="0"/>
    </xf>
    <xf numFmtId="4" fontId="28" fillId="0" borderId="1" xfId="88" applyNumberFormat="1" applyFont="1" applyFill="1" applyBorder="1" applyAlignment="1" applyProtection="1">
      <alignment vertical="center" wrapText="1"/>
      <protection locked="0"/>
    </xf>
    <xf numFmtId="4" fontId="7" fillId="0" borderId="1" xfId="88" applyNumberFormat="1" applyFont="1" applyFill="1" applyBorder="1" applyAlignment="1" applyProtection="1">
      <alignment vertical="center" wrapText="1"/>
      <protection locked="0"/>
    </xf>
    <xf numFmtId="4" fontId="28" fillId="0" borderId="1" xfId="88" applyNumberFormat="1" applyFont="1" applyFill="1" applyBorder="1" applyAlignment="1" applyProtection="1">
      <alignment horizontal="center" vertical="center" wrapText="1"/>
      <protection locked="0"/>
    </xf>
    <xf numFmtId="4" fontId="28" fillId="15" borderId="1" xfId="88" applyNumberFormat="1" applyFont="1" applyFill="1" applyBorder="1" applyAlignment="1" applyProtection="1">
      <alignment vertical="center" wrapText="1"/>
      <protection locked="0"/>
    </xf>
    <xf numFmtId="0" fontId="43" fillId="0" borderId="0" xfId="0" applyFont="1" applyFill="1" applyAlignment="1">
      <alignment wrapText="1"/>
    </xf>
    <xf numFmtId="4" fontId="28" fillId="15" borderId="1" xfId="88" applyNumberFormat="1" applyFont="1" applyFill="1" applyBorder="1" applyAlignment="1" applyProtection="1">
      <alignment horizontal="center" vertical="center" wrapText="1"/>
      <protection locked="0"/>
    </xf>
    <xf numFmtId="0" fontId="42" fillId="23" borderId="0" xfId="0" applyFont="1" applyFill="1" applyAlignment="1">
      <alignment vertical="center"/>
    </xf>
    <xf numFmtId="2" fontId="38" fillId="15" borderId="1" xfId="0" applyNumberFormat="1" applyFont="1" applyFill="1" applyBorder="1" applyAlignment="1">
      <alignment horizontal="center" vertical="center" wrapText="1"/>
    </xf>
    <xf numFmtId="179" fontId="37" fillId="15" borderId="1" xfId="0" applyNumberFormat="1" applyFont="1" applyFill="1" applyBorder="1" applyAlignment="1">
      <alignment horizontal="center" vertical="center" wrapText="1"/>
    </xf>
    <xf numFmtId="0" fontId="37" fillId="15" borderId="1" xfId="0" applyFont="1" applyFill="1" applyBorder="1" applyAlignment="1">
      <alignment horizontal="left" vertical="center" wrapText="1"/>
    </xf>
    <xf numFmtId="0" fontId="43" fillId="15" borderId="0" xfId="0" applyFont="1" applyFill="1" applyAlignment="1">
      <alignment wrapText="1"/>
    </xf>
    <xf numFmtId="0" fontId="43" fillId="15" borderId="0" xfId="0" applyFont="1" applyFill="1"/>
    <xf numFmtId="0" fontId="43" fillId="0" borderId="0" xfId="0" applyFont="1"/>
    <xf numFmtId="0" fontId="43" fillId="0" borderId="0" xfId="0" applyFont="1" applyFill="1"/>
    <xf numFmtId="4" fontId="7" fillId="0" borderId="1" xfId="70" applyNumberFormat="1" applyFont="1" applyFill="1" applyBorder="1" applyAlignment="1" applyProtection="1">
      <alignment horizontal="center" vertical="center"/>
      <protection locked="0"/>
    </xf>
    <xf numFmtId="4" fontId="7" fillId="0" borderId="1" xfId="88" applyNumberFormat="1" applyFont="1" applyFill="1" applyBorder="1" applyAlignment="1" applyProtection="1">
      <alignment horizontal="center" vertical="center"/>
      <protection locked="0"/>
    </xf>
    <xf numFmtId="4" fontId="27" fillId="0" borderId="1" xfId="88" applyNumberFormat="1" applyFont="1" applyFill="1" applyBorder="1" applyAlignment="1" applyProtection="1">
      <alignment horizontal="center" vertical="center"/>
      <protection locked="0"/>
    </xf>
    <xf numFmtId="4" fontId="28" fillId="0" borderId="1" xfId="88" applyNumberFormat="1" applyFont="1" applyFill="1" applyBorder="1" applyAlignment="1" applyProtection="1">
      <alignment horizontal="center" vertical="center"/>
      <protection locked="0"/>
    </xf>
    <xf numFmtId="4" fontId="7" fillId="0" borderId="0" xfId="0" applyNumberFormat="1" applyFont="1" applyAlignment="1">
      <alignment horizontal="center" vertical="center"/>
    </xf>
    <xf numFmtId="4" fontId="7" fillId="0" borderId="0" xfId="0" applyNumberFormat="1" applyFont="1" applyFill="1" applyAlignment="1">
      <alignment horizontal="center" vertical="center"/>
    </xf>
    <xf numFmtId="4" fontId="29" fillId="0" borderId="1" xfId="88" applyNumberFormat="1" applyFont="1" applyFill="1" applyBorder="1" applyAlignment="1" applyProtection="1">
      <alignment horizontal="center" vertical="center"/>
      <protection locked="0"/>
    </xf>
    <xf numFmtId="4" fontId="36" fillId="0" borderId="0" xfId="0" applyNumberFormat="1" applyFont="1" applyAlignment="1">
      <alignment horizontal="center" vertical="center"/>
    </xf>
    <xf numFmtId="0" fontId="28" fillId="15" borderId="1" xfId="0" applyFont="1" applyFill="1" applyBorder="1" applyAlignment="1">
      <alignment horizontal="center" vertical="center"/>
    </xf>
    <xf numFmtId="2" fontId="28" fillId="15" borderId="1" xfId="0" applyNumberFormat="1" applyFont="1" applyFill="1" applyBorder="1" applyAlignment="1">
      <alignment horizontal="center" vertical="center" wrapText="1"/>
    </xf>
    <xf numFmtId="179" fontId="28" fillId="15" borderId="1" xfId="0" applyNumberFormat="1" applyFont="1" applyFill="1" applyBorder="1" applyAlignment="1">
      <alignment horizontal="center" vertical="center" wrapText="1"/>
    </xf>
    <xf numFmtId="0" fontId="28" fillId="15" borderId="1" xfId="0" applyFont="1" applyFill="1" applyBorder="1" applyAlignment="1">
      <alignment horizontal="left" vertical="center" wrapText="1"/>
    </xf>
    <xf numFmtId="0" fontId="37" fillId="15" borderId="1" xfId="0" applyFont="1" applyFill="1" applyBorder="1" applyAlignment="1" applyProtection="1">
      <alignment horizontal="center" vertical="center"/>
    </xf>
    <xf numFmtId="4" fontId="7" fillId="17" borderId="1" xfId="70" applyNumberFormat="1" applyFont="1" applyFill="1" applyBorder="1" applyAlignment="1" applyProtection="1">
      <alignment horizontal="center" vertical="center"/>
      <protection locked="0"/>
    </xf>
    <xf numFmtId="4" fontId="7" fillId="17" borderId="1" xfId="88" applyNumberFormat="1" applyFont="1" applyFill="1" applyBorder="1" applyAlignment="1" applyProtection="1">
      <alignment horizontal="center" vertical="center"/>
      <protection locked="0"/>
    </xf>
    <xf numFmtId="4" fontId="27" fillId="17" borderId="1" xfId="88" applyNumberFormat="1" applyFont="1" applyFill="1" applyBorder="1" applyAlignment="1" applyProtection="1">
      <alignment horizontal="center" vertical="center"/>
      <protection locked="0"/>
    </xf>
    <xf numFmtId="4" fontId="29" fillId="17" borderId="1" xfId="0" applyNumberFormat="1" applyFont="1" applyFill="1" applyBorder="1" applyAlignment="1" applyProtection="1">
      <alignment horizontal="center" vertical="center" wrapText="1"/>
      <protection locked="0"/>
    </xf>
    <xf numFmtId="4" fontId="27" fillId="17" borderId="1" xfId="0" applyNumberFormat="1" applyFont="1" applyFill="1" applyBorder="1" applyAlignment="1" applyProtection="1">
      <alignment horizontal="center" vertical="center" wrapText="1"/>
      <protection locked="0"/>
    </xf>
    <xf numFmtId="10" fontId="27" fillId="17" borderId="1" xfId="0" applyNumberFormat="1" applyFont="1" applyFill="1" applyBorder="1" applyAlignment="1">
      <alignment horizontal="center" vertical="center" wrapText="1"/>
    </xf>
    <xf numFmtId="0" fontId="29" fillId="15" borderId="1" xfId="0" applyFont="1" applyFill="1" applyBorder="1" applyAlignment="1">
      <alignment horizontal="center" vertical="center"/>
    </xf>
    <xf numFmtId="4" fontId="29" fillId="15" borderId="1" xfId="0" applyNumberFormat="1" applyFont="1" applyFill="1" applyBorder="1" applyAlignment="1">
      <alignment horizontal="center" vertical="center" wrapText="1"/>
    </xf>
    <xf numFmtId="0" fontId="27" fillId="15" borderId="1" xfId="0" applyFont="1" applyFill="1" applyBorder="1"/>
    <xf numFmtId="4" fontId="29" fillId="15" borderId="1" xfId="0" applyNumberFormat="1" applyFont="1" applyFill="1" applyBorder="1" applyAlignment="1">
      <alignment horizontal="center" vertical="center" wrapText="1"/>
    </xf>
    <xf numFmtId="4" fontId="30" fillId="15" borderId="1" xfId="0" applyNumberFormat="1" applyFont="1" applyFill="1" applyBorder="1" applyAlignment="1">
      <alignment horizontal="center" vertical="center" wrapText="1"/>
    </xf>
    <xf numFmtId="182" fontId="29" fillId="15" borderId="1" xfId="0" applyNumberFormat="1" applyFont="1" applyFill="1" applyBorder="1" applyAlignment="1">
      <alignment horizontal="center" vertical="center" wrapText="1"/>
    </xf>
    <xf numFmtId="0" fontId="36" fillId="15" borderId="0" xfId="0" applyFont="1" applyFill="1"/>
    <xf numFmtId="172" fontId="37" fillId="15" borderId="1" xfId="0" applyNumberFormat="1" applyFont="1" applyFill="1" applyBorder="1" applyAlignment="1" applyProtection="1">
      <alignment horizontal="center" vertical="center"/>
      <protection locked="0"/>
    </xf>
    <xf numFmtId="172" fontId="36" fillId="0" borderId="1" xfId="0" applyNumberFormat="1" applyFont="1" applyBorder="1" applyAlignment="1" applyProtection="1">
      <alignment horizontal="center" vertical="center"/>
      <protection locked="0"/>
    </xf>
    <xf numFmtId="172" fontId="37" fillId="0" borderId="1" xfId="0" applyNumberFormat="1" applyFont="1" applyBorder="1" applyAlignment="1" applyProtection="1">
      <alignment horizontal="center" vertical="center"/>
      <protection locked="0"/>
    </xf>
    <xf numFmtId="172" fontId="37" fillId="0" borderId="1" xfId="0" applyNumberFormat="1" applyFont="1" applyFill="1" applyBorder="1" applyAlignment="1" applyProtection="1">
      <alignment horizontal="center" vertical="center"/>
      <protection locked="0"/>
    </xf>
    <xf numFmtId="172" fontId="36" fillId="0" borderId="1" xfId="0" applyNumberFormat="1" applyFont="1" applyFill="1" applyBorder="1" applyAlignment="1" applyProtection="1">
      <alignment horizontal="center" vertical="center"/>
      <protection locked="0"/>
    </xf>
    <xf numFmtId="4" fontId="37" fillId="0" borderId="1" xfId="0" applyNumberFormat="1" applyFont="1" applyBorder="1" applyAlignment="1">
      <alignment horizontal="center" vertical="center"/>
    </xf>
    <xf numFmtId="190" fontId="36" fillId="0" borderId="0" xfId="0" applyNumberFormat="1" applyFont="1" applyAlignment="1">
      <alignment horizontal="center" vertical="center"/>
    </xf>
    <xf numFmtId="2" fontId="37" fillId="15" borderId="1" xfId="0" applyNumberFormat="1" applyFont="1" applyFill="1" applyBorder="1" applyAlignment="1">
      <alignment horizontal="center" vertical="center" wrapText="1"/>
    </xf>
    <xf numFmtId="4" fontId="36" fillId="17" borderId="1" xfId="0" applyNumberFormat="1" applyFont="1" applyFill="1" applyBorder="1" applyAlignment="1" applyProtection="1">
      <alignment horizontal="center" vertical="center" wrapText="1"/>
      <protection locked="0"/>
    </xf>
    <xf numFmtId="4" fontId="37" fillId="15" borderId="1" xfId="0" applyNumberFormat="1" applyFont="1" applyFill="1" applyBorder="1" applyAlignment="1">
      <alignment horizontal="center" vertical="center" wrapText="1"/>
    </xf>
    <xf numFmtId="182" fontId="37" fillId="15" borderId="1" xfId="0" applyNumberFormat="1" applyFont="1" applyFill="1" applyBorder="1" applyAlignment="1">
      <alignment horizontal="center" vertical="center" wrapText="1"/>
    </xf>
    <xf numFmtId="0" fontId="37" fillId="15" borderId="1" xfId="0" applyFont="1" applyFill="1" applyBorder="1" applyAlignment="1" applyProtection="1">
      <alignment horizontal="left" vertical="center"/>
      <protection locked="0"/>
    </xf>
    <xf numFmtId="179" fontId="38" fillId="15" borderId="0" xfId="0" applyNumberFormat="1" applyFont="1" applyFill="1" applyBorder="1" applyAlignment="1">
      <alignment horizontal="center" vertical="center"/>
    </xf>
    <xf numFmtId="0" fontId="39" fillId="17" borderId="1" xfId="0" applyFont="1" applyFill="1" applyBorder="1" applyAlignment="1" applyProtection="1">
      <alignment horizontal="left" vertical="center"/>
    </xf>
    <xf numFmtId="0" fontId="39" fillId="17" borderId="1" xfId="0" applyFont="1" applyFill="1" applyBorder="1" applyAlignment="1">
      <alignment horizontal="center" vertical="center" wrapText="1"/>
    </xf>
    <xf numFmtId="0" fontId="39" fillId="17" borderId="2" xfId="0" applyFont="1" applyFill="1" applyBorder="1" applyAlignment="1">
      <alignment horizontal="center" vertical="center"/>
    </xf>
    <xf numFmtId="179" fontId="39" fillId="17" borderId="2" xfId="0" applyNumberFormat="1" applyFont="1" applyFill="1" applyBorder="1" applyAlignment="1">
      <alignment horizontal="center" vertical="center"/>
    </xf>
    <xf numFmtId="0" fontId="39" fillId="0" borderId="0" xfId="0" applyFont="1" applyFill="1" applyAlignment="1">
      <alignment horizontal="left" vertical="center"/>
    </xf>
    <xf numFmtId="179" fontId="39" fillId="0" borderId="0" xfId="0" applyNumberFormat="1" applyFont="1" applyFill="1" applyAlignment="1">
      <alignment horizontal="center" vertical="center"/>
    </xf>
    <xf numFmtId="0" fontId="39" fillId="15" borderId="0" xfId="0" applyFont="1" applyFill="1" applyBorder="1"/>
    <xf numFmtId="179" fontId="38" fillId="0" borderId="2" xfId="0" applyNumberFormat="1" applyFont="1" applyFill="1" applyBorder="1" applyAlignment="1">
      <alignment horizontal="center" vertical="center"/>
    </xf>
    <xf numFmtId="179" fontId="39" fillId="17" borderId="1" xfId="0" applyNumberFormat="1" applyFont="1" applyFill="1" applyBorder="1" applyAlignment="1">
      <alignment horizontal="center" vertical="center"/>
    </xf>
    <xf numFmtId="0" fontId="39" fillId="15" borderId="0" xfId="0" applyFont="1" applyFill="1" applyAlignment="1">
      <alignment horizontal="center" vertical="center"/>
    </xf>
    <xf numFmtId="0" fontId="39" fillId="15" borderId="0" xfId="0" applyFont="1" applyFill="1" applyAlignment="1">
      <alignment horizontal="left" vertical="center"/>
    </xf>
    <xf numFmtId="179" fontId="39" fillId="15" borderId="0" xfId="0" applyNumberFormat="1" applyFont="1" applyFill="1" applyAlignment="1">
      <alignment horizontal="center" vertical="center"/>
    </xf>
    <xf numFmtId="9" fontId="39" fillId="17" borderId="1" xfId="112" applyFont="1" applyFill="1" applyBorder="1" applyAlignment="1" applyProtection="1">
      <alignment horizontal="center" vertical="center"/>
    </xf>
    <xf numFmtId="0" fontId="39" fillId="17" borderId="1" xfId="0" applyFont="1" applyFill="1" applyBorder="1" applyAlignment="1" applyProtection="1">
      <alignment horizontal="center" vertical="center"/>
    </xf>
    <xf numFmtId="179" fontId="39" fillId="17" borderId="1" xfId="0" applyNumberFormat="1" applyFont="1" applyFill="1" applyBorder="1" applyAlignment="1" applyProtection="1">
      <alignment horizontal="center" vertical="center"/>
    </xf>
    <xf numFmtId="0" fontId="39" fillId="17" borderId="1" xfId="0" applyFont="1" applyFill="1" applyBorder="1" applyAlignment="1" applyProtection="1">
      <alignment horizontal="center" vertical="center"/>
    </xf>
    <xf numFmtId="179" fontId="39" fillId="17" borderId="1" xfId="0" applyNumberFormat="1" applyFont="1" applyFill="1" applyBorder="1" applyAlignment="1" applyProtection="1">
      <alignment horizontal="center" vertical="center"/>
    </xf>
    <xf numFmtId="0" fontId="39" fillId="0" borderId="2" xfId="0" applyFont="1" applyFill="1" applyBorder="1" applyAlignment="1">
      <alignment horizontal="left" vertical="center"/>
    </xf>
    <xf numFmtId="9" fontId="39" fillId="17" borderId="1" xfId="0" applyNumberFormat="1" applyFont="1" applyFill="1" applyBorder="1" applyAlignment="1">
      <alignment horizontal="center" vertical="center"/>
    </xf>
    <xf numFmtId="1" fontId="39" fillId="17" borderId="1" xfId="0" quotePrefix="1" applyNumberFormat="1" applyFont="1" applyFill="1" applyBorder="1" applyAlignment="1">
      <alignment horizontal="center" vertical="center"/>
    </xf>
    <xf numFmtId="9" fontId="39" fillId="17" borderId="1" xfId="0" applyNumberFormat="1" applyFont="1" applyFill="1" applyBorder="1" applyAlignment="1">
      <alignment horizontal="center" vertical="center" wrapText="1"/>
    </xf>
    <xf numFmtId="1" fontId="39" fillId="17" borderId="1" xfId="0" applyNumberFormat="1" applyFont="1" applyFill="1" applyBorder="1" applyAlignment="1">
      <alignment horizontal="center" vertical="center" wrapText="1"/>
    </xf>
    <xf numFmtId="179" fontId="39" fillId="17" borderId="1" xfId="39" applyNumberFormat="1" applyFont="1" applyFill="1" applyBorder="1" applyAlignment="1">
      <alignment horizontal="center" vertical="center" wrapText="1"/>
    </xf>
    <xf numFmtId="173" fontId="39" fillId="17" borderId="1" xfId="0" quotePrefix="1" applyNumberFormat="1" applyFont="1" applyFill="1" applyBorder="1" applyAlignment="1">
      <alignment horizontal="center" vertical="center"/>
    </xf>
    <xf numFmtId="0" fontId="38" fillId="0" borderId="1" xfId="0" applyFont="1" applyBorder="1" applyAlignment="1">
      <alignment horizontal="center" vertical="center" wrapText="1"/>
    </xf>
    <xf numFmtId="0" fontId="39" fillId="0" borderId="0" xfId="0" applyFont="1" applyFill="1" applyAlignment="1">
      <alignment wrapText="1"/>
    </xf>
    <xf numFmtId="182" fontId="55" fillId="14" borderId="0" xfId="0" applyNumberFormat="1" applyFont="1" applyFill="1" applyBorder="1" applyAlignment="1" applyProtection="1">
      <alignment horizontal="left" vertical="center" wrapText="1"/>
      <protection locked="0"/>
    </xf>
    <xf numFmtId="179" fontId="55" fillId="14" borderId="0" xfId="0" applyNumberFormat="1" applyFont="1" applyFill="1"/>
    <xf numFmtId="191" fontId="58" fillId="14" borderId="0" xfId="0" applyNumberFormat="1" applyFont="1" applyFill="1"/>
    <xf numFmtId="2" fontId="55" fillId="14" borderId="0" xfId="0" applyNumberFormat="1" applyFont="1" applyFill="1"/>
    <xf numFmtId="0" fontId="55" fillId="0" borderId="7" xfId="0" applyFont="1" applyBorder="1" applyAlignment="1" applyProtection="1">
      <alignment horizontal="center" vertical="center" wrapText="1"/>
      <protection locked="0"/>
    </xf>
    <xf numFmtId="0" fontId="55" fillId="14" borderId="1" xfId="0" applyFont="1" applyFill="1" applyBorder="1" applyAlignment="1" applyProtection="1">
      <alignment vertical="center" wrapText="1"/>
      <protection locked="0"/>
    </xf>
    <xf numFmtId="3" fontId="55" fillId="14" borderId="0" xfId="0" applyNumberFormat="1" applyFont="1" applyFill="1" applyBorder="1" applyAlignment="1" applyProtection="1">
      <alignment horizontal="center" vertical="center" wrapText="1"/>
      <protection locked="0"/>
    </xf>
    <xf numFmtId="0" fontId="55" fillId="14" borderId="0" xfId="0" applyFont="1" applyFill="1" applyBorder="1" applyAlignment="1" applyProtection="1">
      <alignment horizontal="left" vertical="center" wrapText="1"/>
    </xf>
    <xf numFmtId="0" fontId="55" fillId="14" borderId="0" xfId="0" applyFont="1" applyFill="1" applyBorder="1" applyAlignment="1" applyProtection="1">
      <alignment horizontal="center" vertical="center" wrapText="1"/>
    </xf>
    <xf numFmtId="0" fontId="55" fillId="14" borderId="1" xfId="0" applyFont="1" applyFill="1" applyBorder="1" applyAlignment="1" applyProtection="1">
      <alignment horizontal="center" vertical="center" wrapText="1"/>
    </xf>
    <xf numFmtId="0" fontId="55" fillId="0" borderId="1" xfId="0" applyFont="1" applyFill="1" applyBorder="1" applyAlignment="1" applyProtection="1">
      <alignment horizontal="center" vertical="center"/>
      <protection locked="0"/>
    </xf>
    <xf numFmtId="0" fontId="55" fillId="14" borderId="0" xfId="0" applyFont="1" applyFill="1" applyBorder="1" applyAlignment="1" applyProtection="1">
      <alignment horizontal="right" vertical="center" wrapText="1"/>
      <protection locked="0"/>
    </xf>
    <xf numFmtId="0" fontId="56" fillId="14" borderId="5" xfId="0" applyFont="1" applyFill="1" applyBorder="1" applyAlignment="1" applyProtection="1">
      <alignment horizontal="center" vertical="center" wrapText="1"/>
    </xf>
    <xf numFmtId="0" fontId="55" fillId="14" borderId="0" xfId="0" applyFont="1" applyFill="1" applyBorder="1" applyAlignment="1">
      <alignment horizontal="center" vertical="center" wrapText="1"/>
    </xf>
    <xf numFmtId="0" fontId="56" fillId="14" borderId="0" xfId="0" applyFont="1" applyFill="1" applyBorder="1" applyAlignment="1" applyProtection="1">
      <alignment horizontal="left" vertical="center" wrapText="1"/>
    </xf>
    <xf numFmtId="0" fontId="56" fillId="14" borderId="0" xfId="0" applyFont="1" applyFill="1" applyBorder="1" applyAlignment="1" applyProtection="1">
      <alignment horizontal="center" vertical="center" wrapText="1"/>
    </xf>
    <xf numFmtId="0" fontId="55" fillId="14" borderId="0" xfId="0" applyFont="1" applyFill="1" applyBorder="1" applyAlignment="1" applyProtection="1">
      <alignment horizontal="center" vertical="center" wrapText="1"/>
      <protection locked="0"/>
    </xf>
    <xf numFmtId="0" fontId="55" fillId="14" borderId="0" xfId="0" applyFont="1" applyFill="1" applyBorder="1" applyAlignment="1" applyProtection="1">
      <alignment horizontal="center" vertical="center"/>
    </xf>
    <xf numFmtId="2" fontId="55" fillId="14" borderId="7" xfId="0" applyNumberFormat="1" applyFont="1" applyFill="1" applyBorder="1" applyAlignment="1" applyProtection="1">
      <alignment horizontal="center" vertical="center" wrapText="1"/>
      <protection locked="0"/>
    </xf>
    <xf numFmtId="2" fontId="55" fillId="14" borderId="9" xfId="0" applyNumberFormat="1" applyFont="1" applyFill="1" applyBorder="1" applyAlignment="1" applyProtection="1">
      <alignment horizontal="center" vertical="center" wrapText="1"/>
      <protection locked="0"/>
    </xf>
    <xf numFmtId="2" fontId="55" fillId="14" borderId="8" xfId="0" applyNumberFormat="1" applyFont="1" applyFill="1" applyBorder="1" applyAlignment="1" applyProtection="1">
      <alignment horizontal="center" vertical="center" wrapText="1"/>
      <protection locked="0"/>
    </xf>
    <xf numFmtId="0" fontId="56" fillId="14" borderId="0" xfId="0" applyFont="1" applyFill="1" applyBorder="1" applyAlignment="1" applyProtection="1">
      <alignment horizontal="center" vertical="center" wrapText="1"/>
      <protection locked="0"/>
    </xf>
    <xf numFmtId="0" fontId="58" fillId="0" borderId="0" xfId="0" applyFont="1" applyFill="1"/>
    <xf numFmtId="0" fontId="39" fillId="0" borderId="0" xfId="0" applyFont="1" applyAlignment="1">
      <alignment horizontal="center" wrapText="1"/>
    </xf>
    <xf numFmtId="0" fontId="56" fillId="14" borderId="0" xfId="0" applyFont="1" applyFill="1" applyAlignment="1" applyProtection="1">
      <alignment vertical="center"/>
    </xf>
    <xf numFmtId="0" fontId="59" fillId="0" borderId="0" xfId="0" applyFont="1"/>
    <xf numFmtId="0" fontId="55" fillId="14" borderId="0" xfId="0" applyFont="1" applyFill="1" applyBorder="1" applyAlignment="1" applyProtection="1">
      <alignment horizontal="right" vertical="center" wrapText="1"/>
    </xf>
    <xf numFmtId="49" fontId="56" fillId="14" borderId="0" xfId="0" applyNumberFormat="1" applyFont="1" applyFill="1" applyBorder="1" applyAlignment="1" applyProtection="1">
      <alignment horizontal="right" vertical="top"/>
    </xf>
    <xf numFmtId="0" fontId="56" fillId="14" borderId="0" xfId="0" applyFont="1" applyFill="1" applyBorder="1" applyAlignment="1" applyProtection="1">
      <alignment vertical="top"/>
    </xf>
    <xf numFmtId="0" fontId="60" fillId="14" borderId="0" xfId="29" applyFont="1" applyFill="1" applyBorder="1" applyAlignment="1" applyProtection="1">
      <alignment vertical="center" wrapText="1"/>
    </xf>
    <xf numFmtId="0" fontId="60" fillId="14" borderId="0" xfId="0" applyFont="1" applyFill="1" applyBorder="1" applyAlignment="1" applyProtection="1">
      <alignment horizontal="center" vertical="center" wrapText="1"/>
      <protection locked="0"/>
    </xf>
    <xf numFmtId="0" fontId="55" fillId="14" borderId="0" xfId="0" applyFont="1" applyFill="1" applyBorder="1" applyAlignment="1" applyProtection="1">
      <alignment horizontal="justify" vertical="center" wrapText="1"/>
      <protection locked="0"/>
    </xf>
    <xf numFmtId="0" fontId="55" fillId="0" borderId="0" xfId="0" applyFont="1" applyFill="1" applyBorder="1" applyAlignment="1" applyProtection="1">
      <alignment vertical="center"/>
    </xf>
    <xf numFmtId="0" fontId="55" fillId="0" borderId="0" xfId="0" applyFont="1" applyBorder="1" applyAlignment="1" applyProtection="1">
      <alignment vertical="center"/>
      <protection locked="0"/>
    </xf>
    <xf numFmtId="0" fontId="39" fillId="0" borderId="1" xfId="0" applyFont="1" applyBorder="1" applyAlignment="1">
      <alignment horizontal="center" vertical="center"/>
    </xf>
    <xf numFmtId="0" fontId="56" fillId="14" borderId="0" xfId="0" applyFont="1" applyFill="1" applyBorder="1" applyAlignment="1" applyProtection="1">
      <alignment horizontal="left" vertical="center" wrapText="1"/>
    </xf>
    <xf numFmtId="0" fontId="55" fillId="14" borderId="0" xfId="0" applyFont="1" applyFill="1" applyBorder="1" applyAlignment="1" applyProtection="1">
      <alignment horizontal="center" vertical="center"/>
    </xf>
    <xf numFmtId="0" fontId="39" fillId="0" borderId="1" xfId="0" applyFont="1" applyBorder="1" applyAlignment="1">
      <alignment horizontal="center" vertical="center" wrapText="1"/>
    </xf>
    <xf numFmtId="0" fontId="39" fillId="0" borderId="1" xfId="0" applyFont="1" applyFill="1" applyBorder="1" applyAlignment="1">
      <alignment horizontal="center" vertical="center" wrapText="1"/>
    </xf>
    <xf numFmtId="0" fontId="37" fillId="15" borderId="1" xfId="0" applyFont="1" applyFill="1" applyBorder="1" applyAlignment="1">
      <alignment horizontal="center" vertical="center"/>
    </xf>
    <xf numFmtId="0" fontId="38" fillId="15" borderId="0" xfId="0" applyFont="1" applyFill="1" applyBorder="1" applyAlignment="1">
      <alignment horizontal="center" vertical="center" wrapText="1"/>
    </xf>
    <xf numFmtId="0" fontId="38" fillId="15" borderId="1" xfId="0" applyFont="1" applyFill="1" applyBorder="1" applyAlignment="1">
      <alignment horizontal="center" vertical="center" wrapText="1"/>
    </xf>
    <xf numFmtId="0" fontId="35" fillId="15" borderId="0" xfId="0" applyFont="1" applyFill="1" applyAlignment="1">
      <alignment horizontal="center" vertical="center" wrapText="1"/>
    </xf>
    <xf numFmtId="0" fontId="35" fillId="15" borderId="0" xfId="0" applyFont="1" applyFill="1" applyAlignment="1">
      <alignment horizontal="center" vertical="center"/>
    </xf>
    <xf numFmtId="4" fontId="39" fillId="17" borderId="1" xfId="0" applyNumberFormat="1" applyFont="1" applyFill="1" applyBorder="1" applyAlignment="1">
      <alignment horizontal="center" vertical="center" wrapText="1"/>
    </xf>
    <xf numFmtId="0" fontId="35" fillId="17" borderId="1" xfId="0" applyFont="1" applyFill="1" applyBorder="1" applyAlignment="1">
      <alignment horizontal="center" vertical="center" wrapText="1"/>
    </xf>
    <xf numFmtId="1" fontId="39" fillId="17" borderId="1" xfId="0" applyNumberFormat="1" applyFont="1" applyFill="1" applyBorder="1" applyAlignment="1">
      <alignment horizontal="center" vertical="center" wrapText="1"/>
    </xf>
    <xf numFmtId="1" fontId="51" fillId="0" borderId="1" xfId="0" applyNumberFormat="1" applyFont="1" applyBorder="1" applyAlignment="1">
      <alignment horizontal="center" vertical="center" wrapText="1"/>
    </xf>
    <xf numFmtId="10" fontId="36" fillId="17" borderId="1" xfId="0" applyNumberFormat="1" applyFont="1" applyFill="1" applyBorder="1" applyAlignment="1">
      <alignment horizontal="center" vertical="center" wrapText="1"/>
    </xf>
    <xf numFmtId="0" fontId="42" fillId="15" borderId="0" xfId="0" applyFont="1" applyFill="1" applyAlignment="1">
      <alignment vertical="center"/>
    </xf>
    <xf numFmtId="4" fontId="28" fillId="15" borderId="1" xfId="88" applyNumberFormat="1" applyFont="1" applyFill="1" applyBorder="1" applyAlignment="1" applyProtection="1">
      <alignment horizontal="center" vertical="center"/>
      <protection locked="0"/>
    </xf>
    <xf numFmtId="4" fontId="29" fillId="15" borderId="1" xfId="88" applyNumberFormat="1" applyFont="1" applyFill="1" applyBorder="1" applyAlignment="1" applyProtection="1">
      <alignment horizontal="center" vertical="center"/>
      <protection locked="0"/>
    </xf>
    <xf numFmtId="0" fontId="0" fillId="15" borderId="0" xfId="0" applyFill="1" applyAlignment="1">
      <alignment wrapText="1"/>
    </xf>
    <xf numFmtId="0" fontId="55" fillId="0" borderId="0" xfId="0" applyFont="1" applyFill="1"/>
    <xf numFmtId="0" fontId="29" fillId="0" borderId="0" xfId="0" applyFont="1" applyFill="1" applyBorder="1" applyAlignment="1" applyProtection="1">
      <alignment vertical="center" wrapText="1"/>
      <protection locked="0"/>
    </xf>
    <xf numFmtId="49" fontId="55" fillId="14" borderId="0" xfId="0" applyNumberFormat="1" applyFont="1" applyFill="1" applyBorder="1" applyAlignment="1" applyProtection="1">
      <alignment vertical="center" wrapText="1"/>
    </xf>
    <xf numFmtId="0" fontId="39" fillId="0" borderId="1" xfId="0" applyFont="1" applyFill="1" applyBorder="1" applyAlignment="1">
      <alignment horizontal="center" vertical="center" wrapText="1"/>
    </xf>
    <xf numFmtId="0" fontId="38" fillId="0" borderId="0" xfId="0" applyFont="1" applyFill="1" applyAlignment="1">
      <alignment horizontal="center" vertical="center" wrapText="1"/>
    </xf>
    <xf numFmtId="0" fontId="39" fillId="0" borderId="0" xfId="0" applyFont="1" applyFill="1" applyAlignment="1">
      <alignment horizontal="left" vertical="center" wrapText="1"/>
    </xf>
    <xf numFmtId="0" fontId="39" fillId="0" borderId="1" xfId="0" applyFont="1" applyFill="1" applyBorder="1"/>
    <xf numFmtId="0" fontId="39" fillId="0" borderId="1" xfId="0" applyFont="1" applyFill="1" applyBorder="1" applyAlignment="1">
      <alignment horizontal="left" vertical="center" indent="1"/>
    </xf>
    <xf numFmtId="0" fontId="38" fillId="0" borderId="0" xfId="0" applyFont="1" applyFill="1" applyBorder="1" applyAlignment="1">
      <alignment horizontal="center" vertical="center" wrapText="1"/>
    </xf>
    <xf numFmtId="0" fontId="43" fillId="0" borderId="1" xfId="0" applyFont="1" applyBorder="1" applyAlignment="1">
      <alignment horizontal="left" vertical="center" wrapText="1"/>
    </xf>
    <xf numFmtId="0" fontId="43" fillId="0" borderId="1" xfId="0" applyFont="1" applyFill="1" applyBorder="1" applyAlignment="1">
      <alignment horizontal="left" vertical="center" wrapText="1"/>
    </xf>
    <xf numFmtId="0" fontId="44" fillId="0" borderId="1" xfId="0" applyFont="1" applyFill="1" applyBorder="1" applyAlignment="1">
      <alignment horizontal="center" vertical="center" wrapText="1"/>
    </xf>
    <xf numFmtId="0" fontId="43" fillId="0" borderId="1" xfId="0" applyFont="1" applyBorder="1"/>
    <xf numFmtId="0" fontId="39" fillId="0" borderId="7" xfId="0" applyFont="1" applyBorder="1" applyAlignment="1">
      <alignment horizontal="center" vertical="center"/>
    </xf>
    <xf numFmtId="0" fontId="39" fillId="0" borderId="7" xfId="0" applyFont="1" applyBorder="1"/>
    <xf numFmtId="0" fontId="43" fillId="0" borderId="1" xfId="0" applyFont="1" applyFill="1" applyBorder="1"/>
    <xf numFmtId="0" fontId="39" fillId="0" borderId="7" xfId="0" applyFont="1" applyFill="1" applyBorder="1"/>
    <xf numFmtId="0" fontId="43" fillId="0" borderId="1" xfId="0" applyFont="1" applyBorder="1" applyAlignment="1">
      <alignment vertical="center" wrapText="1"/>
    </xf>
    <xf numFmtId="0" fontId="43" fillId="0" borderId="1" xfId="0" applyFont="1" applyFill="1" applyBorder="1" applyAlignment="1">
      <alignment vertical="center" wrapText="1"/>
    </xf>
    <xf numFmtId="0" fontId="39" fillId="0" borderId="0" xfId="0" applyFont="1" applyFill="1" applyBorder="1" applyAlignment="1">
      <alignment wrapText="1"/>
    </xf>
    <xf numFmtId="0" fontId="43" fillId="0" borderId="0" xfId="0" applyFont="1" applyFill="1" applyBorder="1" applyAlignment="1">
      <alignment wrapText="1"/>
    </xf>
    <xf numFmtId="0" fontId="39" fillId="0" borderId="0" xfId="0" applyFont="1" applyBorder="1" applyAlignment="1">
      <alignment wrapText="1"/>
    </xf>
    <xf numFmtId="0" fontId="39" fillId="0" borderId="1" xfId="0" applyFont="1" applyBorder="1" applyAlignment="1">
      <alignment wrapText="1"/>
    </xf>
    <xf numFmtId="0" fontId="44" fillId="0" borderId="1" xfId="0" applyFont="1" applyBorder="1" applyAlignment="1">
      <alignment horizontal="center" vertical="center" wrapText="1"/>
    </xf>
    <xf numFmtId="0" fontId="39" fillId="0" borderId="0" xfId="0" applyFont="1" applyFill="1" applyBorder="1" applyAlignment="1">
      <alignment horizontal="center" wrapText="1"/>
    </xf>
    <xf numFmtId="0" fontId="43" fillId="0" borderId="0" xfId="0" applyFont="1" applyFill="1" applyBorder="1" applyAlignment="1">
      <alignment horizontal="center" wrapText="1"/>
    </xf>
    <xf numFmtId="0" fontId="39" fillId="0" borderId="0" xfId="0" applyFont="1" applyBorder="1" applyAlignment="1">
      <alignment horizontal="center" wrapText="1"/>
    </xf>
    <xf numFmtId="0" fontId="44" fillId="0" borderId="1" xfId="0" applyFont="1" applyBorder="1" applyAlignment="1">
      <alignment vertical="center" wrapText="1"/>
    </xf>
    <xf numFmtId="0" fontId="43" fillId="0" borderId="3" xfId="0" applyFont="1" applyFill="1" applyBorder="1" applyAlignment="1">
      <alignment wrapText="1"/>
    </xf>
    <xf numFmtId="0" fontId="43" fillId="0" borderId="1" xfId="0" applyFont="1" applyFill="1" applyBorder="1" applyAlignment="1">
      <alignment horizontal="left" wrapText="1"/>
    </xf>
    <xf numFmtId="0" fontId="43" fillId="0" borderId="1" xfId="0" applyFont="1" applyBorder="1" applyAlignment="1">
      <alignment horizontal="center" vertical="center" wrapText="1"/>
    </xf>
    <xf numFmtId="0" fontId="43" fillId="0" borderId="3" xfId="0" applyFont="1" applyFill="1" applyBorder="1" applyAlignment="1">
      <alignment vertical="center" wrapText="1"/>
    </xf>
    <xf numFmtId="0" fontId="43" fillId="0" borderId="1" xfId="0" applyFont="1" applyFill="1" applyBorder="1" applyAlignment="1">
      <alignment wrapText="1"/>
    </xf>
    <xf numFmtId="0" fontId="44" fillId="0" borderId="2" xfId="0" applyFont="1" applyBorder="1" applyAlignment="1">
      <alignment horizontal="center" vertical="center" wrapText="1"/>
    </xf>
    <xf numFmtId="0" fontId="44" fillId="0" borderId="2" xfId="0" applyFont="1" applyFill="1" applyBorder="1" applyAlignment="1">
      <alignment horizontal="center" vertical="center" wrapText="1"/>
    </xf>
    <xf numFmtId="0" fontId="43" fillId="0" borderId="1" xfId="0" applyFont="1" applyBorder="1" applyAlignment="1">
      <alignment horizontal="left" vertical="top" wrapText="1"/>
    </xf>
    <xf numFmtId="0" fontId="43" fillId="0" borderId="1" xfId="0" applyFont="1" applyFill="1" applyBorder="1" applyAlignment="1" applyProtection="1">
      <alignment horizontal="left" vertical="center" wrapText="1"/>
      <protection locked="0"/>
    </xf>
    <xf numFmtId="0" fontId="44" fillId="0" borderId="1" xfId="0" applyFont="1" applyBorder="1" applyAlignment="1">
      <alignment horizontal="left" vertical="center"/>
    </xf>
    <xf numFmtId="0" fontId="43" fillId="23" borderId="0" xfId="0" applyFont="1" applyFill="1"/>
    <xf numFmtId="0" fontId="43" fillId="0" borderId="1" xfId="0" applyFont="1" applyBorder="1" applyAlignment="1">
      <alignment wrapText="1"/>
    </xf>
    <xf numFmtId="0" fontId="43" fillId="0" borderId="3" xfId="0" applyFont="1" applyBorder="1" applyAlignment="1">
      <alignment horizontal="left" vertical="top" wrapText="1"/>
    </xf>
    <xf numFmtId="0" fontId="38" fillId="0" borderId="0" xfId="0" applyFont="1" applyFill="1"/>
    <xf numFmtId="10" fontId="39" fillId="0" borderId="1" xfId="0" applyNumberFormat="1" applyFont="1" applyFill="1" applyBorder="1"/>
    <xf numFmtId="0" fontId="39" fillId="0" borderId="8" xfId="0" applyFont="1" applyFill="1" applyBorder="1"/>
    <xf numFmtId="0" fontId="43" fillId="0" borderId="7" xfId="0" applyFont="1" applyBorder="1"/>
    <xf numFmtId="0" fontId="43" fillId="0" borderId="7" xfId="0" applyFont="1" applyFill="1" applyBorder="1"/>
    <xf numFmtId="0" fontId="43" fillId="0" borderId="7" xfId="0" applyFont="1" applyBorder="1" applyAlignment="1">
      <alignment vertical="center"/>
    </xf>
    <xf numFmtId="0" fontId="43" fillId="0" borderId="1" xfId="0" applyFont="1" applyBorder="1" applyAlignment="1">
      <alignment vertical="center"/>
    </xf>
    <xf numFmtId="0" fontId="39" fillId="0" borderId="9" xfId="0" applyFont="1" applyFill="1" applyBorder="1" applyAlignment="1">
      <alignment horizontal="center" vertical="center"/>
    </xf>
    <xf numFmtId="0" fontId="39" fillId="0" borderId="1" xfId="0" applyFont="1" applyFill="1" applyBorder="1" applyAlignment="1">
      <alignment horizontal="left" vertical="center" indent="1" readingOrder="1"/>
    </xf>
    <xf numFmtId="0" fontId="39" fillId="0" borderId="1" xfId="0" applyFont="1" applyFill="1" applyBorder="1" applyAlignment="1">
      <alignment horizontal="left" vertical="center" wrapText="1" indent="1" readingOrder="1"/>
    </xf>
    <xf numFmtId="0" fontId="61" fillId="0" borderId="0" xfId="0" applyFont="1" applyFill="1"/>
    <xf numFmtId="0" fontId="55" fillId="14" borderId="0" xfId="0" applyFont="1" applyFill="1" applyBorder="1" applyAlignment="1" applyProtection="1">
      <alignment horizontal="center" vertical="center" wrapText="1"/>
    </xf>
    <xf numFmtId="0" fontId="43" fillId="0" borderId="1" xfId="0" applyFont="1" applyBorder="1" applyAlignment="1">
      <alignment horizontal="left" vertical="center" wrapText="1"/>
    </xf>
    <xf numFmtId="0" fontId="37" fillId="15" borderId="1" xfId="0" applyFont="1" applyFill="1" applyBorder="1" applyAlignment="1">
      <alignment horizontal="center" vertical="center" wrapText="1"/>
    </xf>
    <xf numFmtId="0" fontId="71" fillId="0" borderId="1" xfId="0" applyFont="1" applyFill="1" applyBorder="1" applyAlignment="1">
      <alignment horizontal="left" vertical="top"/>
    </xf>
    <xf numFmtId="0" fontId="44" fillId="15" borderId="1" xfId="0" applyFont="1" applyFill="1" applyBorder="1" applyAlignment="1" applyProtection="1">
      <alignment horizontal="center" vertical="center" wrapText="1"/>
    </xf>
    <xf numFmtId="0" fontId="55" fillId="0" borderId="1" xfId="0" applyFont="1" applyFill="1" applyBorder="1" applyAlignment="1" applyProtection="1">
      <alignment horizontal="center" vertical="center"/>
      <protection locked="0"/>
    </xf>
    <xf numFmtId="0" fontId="56" fillId="15" borderId="1" xfId="0" applyFont="1" applyFill="1" applyBorder="1" applyAlignment="1" applyProtection="1">
      <alignment horizontal="center" vertical="center" wrapText="1"/>
    </xf>
    <xf numFmtId="0" fontId="43" fillId="0" borderId="1" xfId="0" applyFont="1" applyFill="1" applyBorder="1" applyAlignment="1">
      <alignment horizontal="center" vertical="center" wrapText="1"/>
    </xf>
    <xf numFmtId="0" fontId="44" fillId="0" borderId="1" xfId="0" applyFont="1" applyBorder="1" applyAlignment="1">
      <alignment horizontal="center" vertical="center" wrapText="1"/>
    </xf>
    <xf numFmtId="0" fontId="43" fillId="0" borderId="1" xfId="0" applyFont="1" applyFill="1" applyBorder="1" applyAlignment="1" applyProtection="1">
      <alignment horizontal="center" vertical="center" wrapText="1"/>
    </xf>
    <xf numFmtId="0" fontId="43" fillId="17" borderId="1" xfId="0" applyFont="1" applyFill="1" applyBorder="1" applyAlignment="1" applyProtection="1">
      <alignment horizontal="center" vertical="center" wrapText="1"/>
    </xf>
    <xf numFmtId="2" fontId="43" fillId="0" borderId="1" xfId="0" applyNumberFormat="1" applyFont="1" applyFill="1" applyBorder="1" applyAlignment="1" applyProtection="1">
      <alignment horizontal="center" vertical="center" wrapText="1"/>
    </xf>
    <xf numFmtId="1" fontId="43" fillId="17" borderId="1" xfId="0" applyNumberFormat="1" applyFont="1" applyFill="1" applyBorder="1" applyAlignment="1" applyProtection="1">
      <alignment horizontal="center" vertical="center" wrapText="1"/>
    </xf>
    <xf numFmtId="0" fontId="43" fillId="0" borderId="1" xfId="0" applyFont="1" applyFill="1" applyBorder="1" applyAlignment="1" applyProtection="1">
      <alignment horizontal="center" vertical="center" wrapText="1"/>
      <protection locked="0"/>
    </xf>
    <xf numFmtId="1" fontId="44" fillId="0" borderId="1" xfId="0" applyNumberFormat="1" applyFont="1" applyFill="1" applyBorder="1" applyAlignment="1" applyProtection="1">
      <alignment horizontal="center" vertical="center" wrapText="1"/>
      <protection locked="0"/>
    </xf>
    <xf numFmtId="0" fontId="43" fillId="0" borderId="1" xfId="0" applyFont="1" applyBorder="1" applyAlignment="1" applyProtection="1">
      <alignment horizontal="center" vertical="center"/>
      <protection locked="0"/>
    </xf>
    <xf numFmtId="0" fontId="43" fillId="0" borderId="0" xfId="0" applyFont="1" applyBorder="1" applyAlignment="1" applyProtection="1">
      <alignment horizontal="center" vertical="center"/>
      <protection locked="0"/>
    </xf>
    <xf numFmtId="0" fontId="43" fillId="0" borderId="1" xfId="0" applyFont="1" applyBorder="1" applyAlignment="1">
      <alignment horizontal="center" vertical="center"/>
    </xf>
    <xf numFmtId="0" fontId="43" fillId="17" borderId="1" xfId="0" applyFont="1" applyFill="1" applyBorder="1" applyAlignment="1" applyProtection="1">
      <alignment horizontal="center" vertical="center" wrapText="1"/>
      <protection locked="0"/>
    </xf>
    <xf numFmtId="0" fontId="44" fillId="0" borderId="1" xfId="0" applyFont="1" applyBorder="1" applyAlignment="1">
      <alignment horizontal="center" vertical="center"/>
    </xf>
    <xf numFmtId="0" fontId="43" fillId="0" borderId="1" xfId="0" applyFont="1" applyFill="1" applyBorder="1" applyAlignment="1">
      <alignment horizontal="center" vertical="center"/>
    </xf>
    <xf numFmtId="0" fontId="43" fillId="0" borderId="1" xfId="0" applyFont="1" applyFill="1" applyBorder="1" applyAlignment="1">
      <alignment horizontal="left" vertical="center" wrapText="1"/>
    </xf>
    <xf numFmtId="0" fontId="44" fillId="0" borderId="1" xfId="0" applyFont="1" applyFill="1" applyBorder="1" applyAlignment="1">
      <alignment horizontal="center" vertical="center"/>
    </xf>
    <xf numFmtId="9" fontId="43" fillId="0" borderId="1" xfId="0" applyNumberFormat="1" applyFont="1" applyFill="1" applyBorder="1" applyAlignment="1" applyProtection="1">
      <alignment horizontal="center" vertical="center" wrapText="1"/>
      <protection locked="0"/>
    </xf>
    <xf numFmtId="2" fontId="44" fillId="0" borderId="1" xfId="0" applyNumberFormat="1" applyFont="1" applyFill="1" applyBorder="1" applyAlignment="1" applyProtection="1">
      <alignment horizontal="center" vertical="center" wrapText="1"/>
    </xf>
    <xf numFmtId="0" fontId="44" fillId="0" borderId="9" xfId="0" applyFont="1" applyFill="1" applyBorder="1" applyAlignment="1" applyProtection="1">
      <alignment horizontal="center" vertical="center"/>
    </xf>
    <xf numFmtId="0" fontId="43" fillId="0" borderId="0" xfId="0" applyFont="1" applyFill="1" applyBorder="1" applyAlignment="1" applyProtection="1">
      <alignment horizontal="center" vertical="center"/>
    </xf>
    <xf numFmtId="0" fontId="43" fillId="0" borderId="0" xfId="0" applyFont="1" applyFill="1" applyBorder="1" applyAlignment="1" applyProtection="1">
      <alignment horizontal="center" vertical="center"/>
      <protection locked="0"/>
    </xf>
    <xf numFmtId="0" fontId="43" fillId="0" borderId="1" xfId="0" applyFont="1" applyBorder="1" applyAlignment="1">
      <alignment horizontal="left" vertical="center" wrapText="1" indent="1"/>
    </xf>
    <xf numFmtId="0" fontId="44" fillId="15" borderId="0" xfId="0" applyFont="1" applyFill="1" applyAlignment="1">
      <alignment horizontal="center" vertical="center"/>
    </xf>
    <xf numFmtId="0" fontId="43" fillId="0" borderId="0" xfId="0" applyFont="1" applyAlignment="1">
      <alignment horizontal="center" vertical="center"/>
    </xf>
    <xf numFmtId="0" fontId="43" fillId="0" borderId="0" xfId="0" applyFont="1" applyAlignment="1">
      <alignment vertical="center"/>
    </xf>
    <xf numFmtId="0" fontId="43" fillId="0" borderId="0" xfId="0" applyFont="1" applyFill="1" applyAlignment="1">
      <alignment horizontal="center" vertical="center"/>
    </xf>
    <xf numFmtId="1" fontId="43" fillId="0" borderId="0" xfId="0" applyNumberFormat="1" applyFont="1" applyAlignment="1">
      <alignment horizontal="center" vertical="center"/>
    </xf>
    <xf numFmtId="0" fontId="43" fillId="0" borderId="0" xfId="0" applyFont="1" applyAlignment="1">
      <alignment horizontal="left" vertical="center"/>
    </xf>
    <xf numFmtId="1" fontId="43" fillId="0" borderId="0" xfId="0" applyNumberFormat="1" applyFont="1" applyAlignment="1">
      <alignment vertical="center"/>
    </xf>
    <xf numFmtId="0" fontId="44" fillId="15" borderId="0" xfId="0" applyFont="1" applyFill="1" applyAlignment="1">
      <alignment vertical="center"/>
    </xf>
    <xf numFmtId="0" fontId="43" fillId="15" borderId="0" xfId="0" applyFont="1" applyFill="1" applyAlignment="1">
      <alignment vertical="center"/>
    </xf>
    <xf numFmtId="1" fontId="43" fillId="15" borderId="0" xfId="0" applyNumberFormat="1" applyFont="1" applyFill="1" applyAlignment="1">
      <alignment horizontal="center" vertical="center"/>
    </xf>
    <xf numFmtId="0" fontId="43" fillId="15" borderId="0" xfId="0" applyFont="1" applyFill="1" applyAlignment="1">
      <alignment horizontal="left" vertical="center"/>
    </xf>
    <xf numFmtId="1" fontId="43" fillId="15" borderId="0" xfId="0" applyNumberFormat="1" applyFont="1" applyFill="1" applyAlignment="1">
      <alignment vertical="center"/>
    </xf>
    <xf numFmtId="0" fontId="44" fillId="0" borderId="0" xfId="0" applyFont="1" applyFill="1" applyAlignment="1">
      <alignment vertical="center"/>
    </xf>
    <xf numFmtId="0" fontId="43" fillId="0" borderId="0" xfId="0" applyFont="1" applyFill="1" applyAlignment="1">
      <alignment vertical="center"/>
    </xf>
    <xf numFmtId="0" fontId="44" fillId="15" borderId="1" xfId="0" applyFont="1" applyFill="1" applyBorder="1" applyAlignment="1">
      <alignment horizontal="center" vertical="center" wrapText="1"/>
    </xf>
    <xf numFmtId="37" fontId="43" fillId="0" borderId="1" xfId="0" applyNumberFormat="1" applyFont="1" applyFill="1" applyBorder="1" applyAlignment="1">
      <alignment horizontal="center" vertical="center" wrapText="1"/>
    </xf>
    <xf numFmtId="170" fontId="43" fillId="0" borderId="1" xfId="0" applyNumberFormat="1" applyFont="1" applyFill="1" applyBorder="1" applyAlignment="1">
      <alignment horizontal="center" vertical="center" wrapText="1"/>
    </xf>
    <xf numFmtId="172" fontId="43" fillId="0" borderId="1" xfId="0" applyNumberFormat="1" applyFont="1" applyFill="1" applyBorder="1" applyAlignment="1">
      <alignment horizontal="center" vertical="center" wrapText="1"/>
    </xf>
    <xf numFmtId="172" fontId="43" fillId="22" borderId="1" xfId="0" applyNumberFormat="1" applyFont="1" applyFill="1" applyBorder="1" applyAlignment="1">
      <alignment horizontal="center" vertical="center" wrapText="1"/>
    </xf>
    <xf numFmtId="173" fontId="43" fillId="0" borderId="1" xfId="0" applyNumberFormat="1" applyFont="1" applyFill="1" applyBorder="1" applyAlignment="1">
      <alignment horizontal="center" vertical="center" wrapText="1"/>
    </xf>
    <xf numFmtId="187" fontId="43" fillId="0" borderId="1" xfId="0" applyNumberFormat="1" applyFont="1" applyFill="1" applyBorder="1" applyAlignment="1">
      <alignment horizontal="center" vertical="center" wrapText="1"/>
    </xf>
    <xf numFmtId="172" fontId="43" fillId="0" borderId="1" xfId="0" applyNumberFormat="1" applyFont="1" applyFill="1" applyBorder="1" applyAlignment="1">
      <alignment horizontal="center" vertical="center"/>
    </xf>
    <xf numFmtId="189" fontId="43" fillId="0" borderId="1" xfId="0" applyNumberFormat="1" applyFont="1" applyFill="1" applyBorder="1" applyAlignment="1">
      <alignment horizontal="center" vertical="center" wrapText="1"/>
    </xf>
    <xf numFmtId="39" fontId="43" fillId="0" borderId="1" xfId="0" applyNumberFormat="1" applyFont="1" applyFill="1" applyBorder="1" applyAlignment="1">
      <alignment horizontal="center" vertical="center" wrapText="1"/>
    </xf>
    <xf numFmtId="170" fontId="43" fillId="0" borderId="1" xfId="0" applyNumberFormat="1" applyFont="1" applyBorder="1" applyAlignment="1">
      <alignment horizontal="center" vertical="center"/>
    </xf>
    <xf numFmtId="173" fontId="43" fillId="0" borderId="1" xfId="0" applyNumberFormat="1" applyFont="1" applyBorder="1" applyAlignment="1">
      <alignment horizontal="center" vertical="center"/>
    </xf>
    <xf numFmtId="0" fontId="43" fillId="27" borderId="0" xfId="0" applyFont="1" applyFill="1" applyAlignment="1">
      <alignment horizontal="center" vertical="center"/>
    </xf>
    <xf numFmtId="172" fontId="43" fillId="0" borderId="0" xfId="0" applyNumberFormat="1" applyFont="1" applyAlignment="1">
      <alignment vertical="center"/>
    </xf>
    <xf numFmtId="0" fontId="43" fillId="0" borderId="0" xfId="0" applyFont="1" applyFill="1" applyBorder="1" applyAlignment="1">
      <alignment vertical="center"/>
    </xf>
    <xf numFmtId="181" fontId="43" fillId="0" borderId="0" xfId="0" applyNumberFormat="1" applyFont="1" applyFill="1" applyBorder="1" applyAlignment="1">
      <alignment horizontal="center" vertical="center"/>
    </xf>
    <xf numFmtId="0" fontId="44" fillId="0" borderId="0" xfId="0" applyFont="1" applyFill="1" applyBorder="1" applyAlignment="1">
      <alignment vertical="center" wrapText="1"/>
    </xf>
    <xf numFmtId="2" fontId="43" fillId="22" borderId="1" xfId="0" applyNumberFormat="1" applyFont="1" applyFill="1" applyBorder="1" applyAlignment="1">
      <alignment horizontal="center" vertical="center" wrapText="1"/>
    </xf>
    <xf numFmtId="3" fontId="43" fillId="22" borderId="1" xfId="0" applyNumberFormat="1" applyFont="1" applyFill="1" applyBorder="1" applyAlignment="1">
      <alignment horizontal="center" vertical="center" wrapText="1"/>
    </xf>
    <xf numFmtId="3" fontId="43" fillId="0" borderId="0" xfId="0" applyNumberFormat="1" applyFont="1" applyFill="1" applyBorder="1" applyAlignment="1">
      <alignment horizontal="center" vertical="center" wrapText="1"/>
    </xf>
    <xf numFmtId="0" fontId="44" fillId="0" borderId="0" xfId="0" applyFont="1" applyFill="1" applyAlignment="1">
      <alignment horizontal="center" vertical="center"/>
    </xf>
    <xf numFmtId="1" fontId="43" fillId="0" borderId="0" xfId="0" applyNumberFormat="1" applyFont="1" applyFill="1" applyAlignment="1">
      <alignment horizontal="center" vertical="center"/>
    </xf>
    <xf numFmtId="0" fontId="43" fillId="0" borderId="0" xfId="0" applyFont="1" applyFill="1" applyAlignment="1">
      <alignment horizontal="left" vertical="center"/>
    </xf>
    <xf numFmtId="1" fontId="43" fillId="0" borderId="0" xfId="0" applyNumberFormat="1" applyFont="1" applyFill="1" applyAlignment="1">
      <alignment vertical="center"/>
    </xf>
    <xf numFmtId="0" fontId="43" fillId="25" borderId="1" xfId="0" applyFont="1" applyFill="1" applyBorder="1" applyAlignment="1">
      <alignment horizontal="center" vertical="center"/>
    </xf>
    <xf numFmtId="0" fontId="43" fillId="15" borderId="0" xfId="0" applyFont="1" applyFill="1" applyBorder="1"/>
    <xf numFmtId="0" fontId="43" fillId="0" borderId="0" xfId="0" applyFont="1" applyFill="1" applyBorder="1"/>
    <xf numFmtId="0" fontId="44" fillId="0" borderId="0" xfId="0" applyFont="1" applyFill="1" applyBorder="1" applyAlignment="1">
      <alignment horizontal="center" vertical="center" wrapText="1"/>
    </xf>
    <xf numFmtId="1" fontId="43" fillId="0" borderId="1" xfId="0" applyNumberFormat="1" applyFont="1" applyFill="1" applyBorder="1" applyAlignment="1">
      <alignment horizontal="center" vertical="center" wrapText="1"/>
    </xf>
    <xf numFmtId="1" fontId="43" fillId="0" borderId="1" xfId="0" applyNumberFormat="1" applyFont="1" applyBorder="1" applyAlignment="1">
      <alignment horizontal="center" vertical="center" wrapText="1"/>
    </xf>
    <xf numFmtId="1" fontId="43" fillId="0" borderId="0" xfId="0" applyNumberFormat="1" applyFont="1" applyFill="1" applyBorder="1" applyAlignment="1">
      <alignment horizontal="center" vertical="center" wrapText="1"/>
    </xf>
    <xf numFmtId="0" fontId="43" fillId="15" borderId="0" xfId="0" applyFont="1" applyFill="1" applyAlignment="1">
      <alignment horizontal="center" vertical="center"/>
    </xf>
    <xf numFmtId="1" fontId="43" fillId="15" borderId="0" xfId="0" applyNumberFormat="1" applyFont="1" applyFill="1" applyBorder="1" applyAlignment="1">
      <alignment horizontal="center" vertical="center" wrapText="1"/>
    </xf>
    <xf numFmtId="3" fontId="43" fillId="15" borderId="0" xfId="0" applyNumberFormat="1" applyFont="1" applyFill="1" applyBorder="1" applyAlignment="1">
      <alignment horizontal="center" vertical="center" wrapText="1"/>
    </xf>
    <xf numFmtId="1" fontId="43" fillId="0" borderId="1" xfId="112" applyNumberFormat="1" applyFont="1" applyFill="1" applyBorder="1" applyAlignment="1">
      <alignment horizontal="center" vertical="center"/>
    </xf>
    <xf numFmtId="170" fontId="43" fillId="0" borderId="1" xfId="112" applyNumberFormat="1" applyFont="1" applyFill="1" applyBorder="1" applyAlignment="1">
      <alignment horizontal="center" vertical="center"/>
    </xf>
    <xf numFmtId="10" fontId="43" fillId="0" borderId="1" xfId="112" applyNumberFormat="1" applyFont="1" applyFill="1" applyBorder="1" applyAlignment="1">
      <alignment horizontal="center" vertical="center"/>
    </xf>
    <xf numFmtId="2" fontId="43" fillId="0" borderId="1" xfId="112" applyNumberFormat="1" applyFont="1" applyFill="1" applyBorder="1" applyAlignment="1">
      <alignment horizontal="center" vertical="center"/>
    </xf>
    <xf numFmtId="9" fontId="43" fillId="0" borderId="1" xfId="112" applyFont="1" applyFill="1" applyBorder="1" applyAlignment="1">
      <alignment horizontal="center" vertical="center"/>
    </xf>
    <xf numFmtId="3" fontId="43" fillId="0" borderId="1" xfId="112" applyNumberFormat="1" applyFont="1" applyFill="1" applyBorder="1" applyAlignment="1">
      <alignment horizontal="center" vertical="center"/>
    </xf>
    <xf numFmtId="0" fontId="43" fillId="0" borderId="0" xfId="0" applyFont="1" applyAlignment="1">
      <alignment horizontal="center" vertical="center" wrapText="1"/>
    </xf>
    <xf numFmtId="0" fontId="43" fillId="0" borderId="0" xfId="0" applyFont="1" applyBorder="1" applyAlignment="1">
      <alignment horizontal="left" vertical="center" wrapText="1" indent="1"/>
    </xf>
    <xf numFmtId="2" fontId="43" fillId="0" borderId="0" xfId="112" applyNumberFormat="1" applyFont="1" applyFill="1" applyBorder="1" applyAlignment="1">
      <alignment horizontal="center" vertical="center"/>
    </xf>
    <xf numFmtId="9" fontId="43" fillId="13" borderId="0" xfId="0" applyNumberFormat="1" applyFont="1" applyFill="1" applyBorder="1" applyAlignment="1">
      <alignment horizontal="center" vertical="center"/>
    </xf>
    <xf numFmtId="1" fontId="43" fillId="0" borderId="0" xfId="0" applyNumberFormat="1" applyFont="1" applyBorder="1" applyAlignment="1">
      <alignment horizontal="center" vertical="center" wrapText="1"/>
    </xf>
    <xf numFmtId="2" fontId="43" fillId="0" borderId="1" xfId="112" applyNumberFormat="1" applyFont="1" applyFill="1" applyBorder="1" applyAlignment="1" applyProtection="1">
      <alignment horizontal="center" vertical="center" wrapText="1"/>
    </xf>
    <xf numFmtId="3" fontId="43" fillId="0" borderId="1" xfId="0" applyNumberFormat="1" applyFont="1" applyFill="1" applyBorder="1" applyAlignment="1" applyProtection="1">
      <alignment horizontal="center" vertical="center" wrapText="1"/>
    </xf>
    <xf numFmtId="3" fontId="43" fillId="0" borderId="1" xfId="0" applyNumberFormat="1" applyFont="1" applyFill="1" applyBorder="1" applyAlignment="1">
      <alignment horizontal="center" vertical="center" wrapText="1"/>
    </xf>
    <xf numFmtId="2" fontId="43" fillId="0" borderId="0" xfId="0" applyNumberFormat="1" applyFont="1" applyFill="1" applyBorder="1" applyAlignment="1">
      <alignment horizontal="center" vertical="center" wrapText="1"/>
    </xf>
    <xf numFmtId="10" fontId="43" fillId="0" borderId="0" xfId="0" applyNumberFormat="1" applyFont="1" applyAlignment="1">
      <alignment horizontal="center" vertical="center"/>
    </xf>
    <xf numFmtId="0" fontId="43" fillId="0" borderId="0" xfId="0" applyFont="1" applyFill="1" applyBorder="1" applyAlignment="1">
      <alignment horizontal="left" vertical="center"/>
    </xf>
    <xf numFmtId="173" fontId="43" fillId="0" borderId="0" xfId="0" applyNumberFormat="1" applyFont="1" applyFill="1" applyBorder="1" applyAlignment="1">
      <alignment horizontal="center" vertical="center"/>
    </xf>
    <xf numFmtId="10" fontId="43" fillId="0" borderId="0" xfId="0" applyNumberFormat="1" applyFont="1" applyFill="1" applyBorder="1" applyAlignment="1">
      <alignment horizontal="center" vertical="center"/>
    </xf>
    <xf numFmtId="10" fontId="43" fillId="0" borderId="0" xfId="0" applyNumberFormat="1" applyFont="1" applyFill="1" applyAlignment="1">
      <alignment horizontal="center" vertical="center"/>
    </xf>
    <xf numFmtId="4" fontId="43" fillId="0" borderId="1" xfId="0" applyNumberFormat="1" applyFont="1" applyFill="1" applyBorder="1" applyAlignment="1">
      <alignment horizontal="center" vertical="center" wrapText="1"/>
    </xf>
    <xf numFmtId="2" fontId="44" fillId="0" borderId="0" xfId="0" applyNumberFormat="1" applyFont="1" applyFill="1" applyBorder="1" applyAlignment="1">
      <alignment horizontal="center" vertical="center"/>
    </xf>
    <xf numFmtId="4" fontId="44" fillId="0" borderId="0" xfId="0" applyNumberFormat="1" applyFont="1" applyAlignment="1">
      <alignment horizontal="center" vertical="center"/>
    </xf>
    <xf numFmtId="3" fontId="44" fillId="0" borderId="0" xfId="0" applyNumberFormat="1" applyFont="1" applyAlignment="1">
      <alignment horizontal="center" vertical="center"/>
    </xf>
    <xf numFmtId="178" fontId="43" fillId="0" borderId="0" xfId="31" applyNumberFormat="1" applyFont="1"/>
    <xf numFmtId="2" fontId="43" fillId="13" borderId="1" xfId="0" applyNumberFormat="1" applyFont="1" applyFill="1" applyBorder="1" applyAlignment="1">
      <alignment horizontal="center" vertical="center"/>
    </xf>
    <xf numFmtId="4" fontId="43" fillId="13" borderId="0" xfId="0" applyNumberFormat="1" applyFont="1" applyFill="1" applyBorder="1" applyAlignment="1">
      <alignment horizontal="center" vertical="center"/>
    </xf>
    <xf numFmtId="2" fontId="44" fillId="18" borderId="1" xfId="0" applyNumberFormat="1" applyFont="1" applyFill="1" applyBorder="1" applyAlignment="1" applyProtection="1">
      <alignment horizontal="center" vertical="center" wrapText="1"/>
    </xf>
    <xf numFmtId="2" fontId="44" fillId="0" borderId="0" xfId="0" applyNumberFormat="1" applyFont="1" applyFill="1" applyBorder="1" applyAlignment="1" applyProtection="1">
      <alignment horizontal="center" vertical="center" wrapText="1"/>
    </xf>
    <xf numFmtId="2" fontId="43" fillId="0" borderId="0" xfId="0" applyNumberFormat="1" applyFont="1"/>
    <xf numFmtId="2" fontId="43" fillId="15" borderId="0" xfId="0" applyNumberFormat="1" applyFont="1" applyFill="1"/>
    <xf numFmtId="0" fontId="43" fillId="15" borderId="0" xfId="0" applyFont="1" applyFill="1" applyAlignment="1">
      <alignment horizontal="center"/>
    </xf>
    <xf numFmtId="3" fontId="43" fillId="15" borderId="0" xfId="0" applyNumberFormat="1" applyFont="1" applyFill="1"/>
    <xf numFmtId="1" fontId="43" fillId="15" borderId="0" xfId="0" applyNumberFormat="1" applyFont="1" applyFill="1"/>
    <xf numFmtId="0" fontId="43" fillId="0" borderId="0" xfId="0" applyFont="1" applyAlignment="1">
      <alignment horizontal="center"/>
    </xf>
    <xf numFmtId="3" fontId="43" fillId="0" borderId="0" xfId="0" applyNumberFormat="1" applyFont="1"/>
    <xf numFmtId="1" fontId="43" fillId="0" borderId="0" xfId="0" applyNumberFormat="1" applyFont="1"/>
    <xf numFmtId="1" fontId="44" fillId="0" borderId="0" xfId="0" applyNumberFormat="1"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1" fontId="43" fillId="0" borderId="0" xfId="0" applyNumberFormat="1" applyFont="1" applyFill="1" applyBorder="1" applyAlignment="1" applyProtection="1">
      <alignment vertical="center" wrapText="1"/>
      <protection locked="0"/>
    </xf>
    <xf numFmtId="1" fontId="43" fillId="0" borderId="0" xfId="0" applyNumberFormat="1" applyFont="1" applyFill="1" applyBorder="1" applyAlignment="1" applyProtection="1">
      <alignment horizontal="center" vertical="center" wrapText="1"/>
      <protection locked="0"/>
    </xf>
    <xf numFmtId="1" fontId="43" fillId="0" borderId="1" xfId="0" applyNumberFormat="1" applyFont="1" applyFill="1" applyBorder="1" applyAlignment="1" applyProtection="1">
      <alignment vertical="center" wrapText="1"/>
      <protection locked="0"/>
    </xf>
    <xf numFmtId="1" fontId="43" fillId="17" borderId="1" xfId="0" applyNumberFormat="1" applyFont="1" applyFill="1" applyBorder="1" applyAlignment="1" applyProtection="1">
      <alignment horizontal="center" vertical="center" wrapText="1"/>
      <protection locked="0"/>
    </xf>
    <xf numFmtId="3" fontId="44" fillId="15" borderId="1" xfId="0" applyNumberFormat="1" applyFont="1" applyFill="1" applyBorder="1" applyAlignment="1">
      <alignment horizontal="center" vertical="center" wrapText="1"/>
    </xf>
    <xf numFmtId="1" fontId="44" fillId="15" borderId="1" xfId="0" applyNumberFormat="1" applyFont="1" applyFill="1" applyBorder="1" applyAlignment="1">
      <alignment horizontal="center" vertical="center" wrapText="1"/>
    </xf>
    <xf numFmtId="0" fontId="43" fillId="0" borderId="1" xfId="0" applyFont="1" applyBorder="1" applyAlignment="1">
      <alignment horizontal="left" vertical="center" indent="1"/>
    </xf>
    <xf numFmtId="0" fontId="43" fillId="0" borderId="0" xfId="0" applyFont="1" applyFill="1" applyAlignment="1">
      <alignment horizontal="center"/>
    </xf>
    <xf numFmtId="0" fontId="43" fillId="0" borderId="1" xfId="0" applyFont="1" applyFill="1" applyBorder="1" applyAlignment="1">
      <alignment horizontal="left" vertical="center" indent="1"/>
    </xf>
    <xf numFmtId="4" fontId="44" fillId="0" borderId="1" xfId="0" applyNumberFormat="1" applyFont="1" applyFill="1" applyBorder="1" applyAlignment="1">
      <alignment horizontal="center" vertical="center"/>
    </xf>
    <xf numFmtId="0" fontId="43" fillId="0" borderId="1" xfId="0" applyFont="1" applyFill="1" applyBorder="1" applyAlignment="1">
      <alignment horizontal="left" vertical="center"/>
    </xf>
    <xf numFmtId="3" fontId="44" fillId="25" borderId="1" xfId="0" applyNumberFormat="1" applyFont="1" applyFill="1" applyBorder="1" applyAlignment="1">
      <alignment horizontal="center" vertical="center"/>
    </xf>
    <xf numFmtId="0" fontId="44" fillId="0" borderId="0" xfId="0" applyFont="1" applyFill="1" applyBorder="1" applyAlignment="1">
      <alignment horizontal="left" vertical="center"/>
    </xf>
    <xf numFmtId="0" fontId="44" fillId="15" borderId="1" xfId="0" applyFont="1" applyFill="1" applyBorder="1" applyAlignment="1">
      <alignment horizontal="left" vertical="center"/>
    </xf>
    <xf numFmtId="0" fontId="43" fillId="14" borderId="1" xfId="0" applyFont="1" applyFill="1" applyBorder="1" applyAlignment="1" applyProtection="1">
      <alignment horizontal="center" vertical="center"/>
      <protection locked="0"/>
    </xf>
    <xf numFmtId="0" fontId="44" fillId="0" borderId="0" xfId="0" applyFont="1" applyAlignment="1">
      <alignment vertical="center"/>
    </xf>
    <xf numFmtId="3" fontId="43" fillId="13" borderId="1" xfId="0" applyNumberFormat="1" applyFont="1" applyFill="1" applyBorder="1" applyAlignment="1">
      <alignment horizontal="center" vertical="center"/>
    </xf>
    <xf numFmtId="3" fontId="43" fillId="0" borderId="1" xfId="0" applyNumberFormat="1" applyFont="1" applyFill="1" applyBorder="1" applyAlignment="1">
      <alignment horizontal="center" vertical="center"/>
    </xf>
    <xf numFmtId="0" fontId="44" fillId="0" borderId="1" xfId="0" applyFont="1" applyFill="1" applyBorder="1" applyAlignment="1">
      <alignment horizontal="left" vertical="center" indent="1"/>
    </xf>
    <xf numFmtId="3" fontId="44" fillId="0" borderId="1" xfId="0" applyNumberFormat="1" applyFont="1" applyBorder="1" applyAlignment="1">
      <alignment horizontal="center" vertical="center"/>
    </xf>
    <xf numFmtId="180" fontId="43" fillId="0" borderId="1" xfId="53" applyNumberFormat="1" applyFont="1" applyFill="1" applyBorder="1" applyAlignment="1">
      <alignment horizontal="center" vertical="center"/>
    </xf>
    <xf numFmtId="1" fontId="43" fillId="0" borderId="1" xfId="0" applyNumberFormat="1" applyFont="1" applyFill="1" applyBorder="1" applyAlignment="1" applyProtection="1">
      <alignment horizontal="center" vertical="center"/>
    </xf>
    <xf numFmtId="0" fontId="43" fillId="25" borderId="1" xfId="0" applyFont="1" applyFill="1" applyBorder="1" applyAlignment="1">
      <alignment horizontal="left" vertical="center" indent="1"/>
    </xf>
    <xf numFmtId="0" fontId="43" fillId="0" borderId="0" xfId="0" applyFont="1" applyBorder="1" applyAlignment="1">
      <alignment horizontal="left" vertical="center" indent="1"/>
    </xf>
    <xf numFmtId="4" fontId="43" fillId="0" borderId="0" xfId="0" applyNumberFormat="1" applyFont="1" applyAlignment="1">
      <alignment horizontal="center" vertical="center"/>
    </xf>
    <xf numFmtId="180" fontId="43" fillId="0" borderId="0" xfId="53" applyNumberFormat="1" applyFont="1" applyFill="1" applyBorder="1" applyAlignment="1">
      <alignment horizontal="center" vertical="center"/>
    </xf>
    <xf numFmtId="4" fontId="43" fillId="0" borderId="0" xfId="0" applyNumberFormat="1" applyFont="1" applyFill="1" applyBorder="1" applyAlignment="1">
      <alignment horizontal="center" vertical="center" wrapText="1"/>
    </xf>
    <xf numFmtId="4" fontId="43" fillId="0" borderId="0" xfId="0" applyNumberFormat="1" applyFont="1"/>
    <xf numFmtId="0" fontId="43" fillId="13" borderId="1" xfId="0" applyFont="1" applyFill="1" applyBorder="1" applyAlignment="1">
      <alignment horizontal="left" vertical="center" wrapText="1" indent="1"/>
    </xf>
    <xf numFmtId="3" fontId="43" fillId="0" borderId="1" xfId="0" applyNumberFormat="1" applyFont="1" applyBorder="1" applyAlignment="1">
      <alignment horizontal="center" vertical="center"/>
    </xf>
    <xf numFmtId="1" fontId="43" fillId="0" borderId="1" xfId="0" applyNumberFormat="1" applyFont="1" applyBorder="1" applyAlignment="1">
      <alignment horizontal="center" vertical="center"/>
    </xf>
    <xf numFmtId="0" fontId="43" fillId="0" borderId="1" xfId="0" applyFont="1" applyFill="1" applyBorder="1" applyAlignment="1" applyProtection="1">
      <alignment horizontal="left" vertical="center" wrapText="1" indent="1"/>
    </xf>
    <xf numFmtId="1" fontId="43" fillId="0" borderId="1" xfId="0" applyNumberFormat="1" applyFont="1" applyFill="1" applyBorder="1" applyAlignment="1" applyProtection="1">
      <alignment horizontal="center" vertical="center" wrapText="1"/>
    </xf>
    <xf numFmtId="3" fontId="43" fillId="0" borderId="0" xfId="0" applyNumberFormat="1" applyFont="1" applyBorder="1"/>
    <xf numFmtId="1" fontId="43" fillId="0" borderId="0" xfId="0" applyNumberFormat="1" applyFont="1" applyBorder="1"/>
    <xf numFmtId="0" fontId="43" fillId="0" borderId="0" xfId="0" applyFont="1" applyBorder="1" applyAlignment="1">
      <alignment horizontal="center"/>
    </xf>
    <xf numFmtId="3" fontId="43" fillId="0" borderId="1" xfId="0" applyNumberFormat="1" applyFont="1" applyBorder="1" applyAlignment="1">
      <alignment horizontal="center"/>
    </xf>
    <xf numFmtId="176" fontId="43" fillId="0" borderId="0" xfId="53" applyNumberFormat="1" applyFont="1" applyFill="1" applyBorder="1" applyAlignment="1">
      <alignment horizontal="center" vertical="center"/>
    </xf>
    <xf numFmtId="1" fontId="43" fillId="0" borderId="0" xfId="0" applyNumberFormat="1" applyFont="1" applyFill="1" applyBorder="1"/>
    <xf numFmtId="0" fontId="43" fillId="0" borderId="0" xfId="0" applyFont="1" applyFill="1" applyBorder="1" applyAlignment="1">
      <alignment horizontal="center"/>
    </xf>
    <xf numFmtId="0" fontId="43" fillId="0" borderId="0" xfId="0" applyFont="1" applyBorder="1"/>
    <xf numFmtId="4" fontId="43" fillId="0" borderId="1" xfId="0" applyNumberFormat="1" applyFont="1" applyFill="1" applyBorder="1" applyAlignment="1">
      <alignment horizontal="center" vertical="center"/>
    </xf>
    <xf numFmtId="3" fontId="44" fillId="0" borderId="1" xfId="0" applyNumberFormat="1" applyFont="1" applyFill="1" applyBorder="1" applyAlignment="1">
      <alignment horizontal="center" vertical="center"/>
    </xf>
    <xf numFmtId="0" fontId="44" fillId="0" borderId="0" xfId="0" applyFont="1" applyFill="1" applyBorder="1" applyAlignment="1">
      <alignment horizontal="left" vertical="center" indent="1"/>
    </xf>
    <xf numFmtId="3" fontId="44" fillId="0" borderId="0" xfId="0" applyNumberFormat="1" applyFont="1" applyFill="1" applyBorder="1" applyAlignment="1">
      <alignment horizontal="center" vertical="center"/>
    </xf>
    <xf numFmtId="0" fontId="44" fillId="0" borderId="0" xfId="0" applyFont="1" applyFill="1" applyBorder="1" applyAlignment="1">
      <alignment horizontal="center" vertical="center"/>
    </xf>
    <xf numFmtId="0" fontId="43" fillId="0" borderId="0" xfId="0" applyFont="1" applyBorder="1" applyAlignment="1">
      <alignment vertical="center"/>
    </xf>
    <xf numFmtId="0" fontId="43" fillId="0" borderId="0" xfId="0" applyFont="1" applyBorder="1" applyAlignment="1">
      <alignment horizontal="center" vertical="center"/>
    </xf>
    <xf numFmtId="0" fontId="43" fillId="0" borderId="0" xfId="0" applyFont="1" applyFill="1" applyBorder="1" applyAlignment="1">
      <alignment horizontal="left" vertical="center" indent="1"/>
    </xf>
    <xf numFmtId="0" fontId="43" fillId="15" borderId="1" xfId="0" applyFont="1" applyFill="1" applyBorder="1" applyAlignment="1">
      <alignment horizontal="left" vertical="center"/>
    </xf>
    <xf numFmtId="0" fontId="44" fillId="13" borderId="0" xfId="0" applyFont="1" applyFill="1" applyAlignment="1">
      <alignment vertical="center"/>
    </xf>
    <xf numFmtId="0" fontId="43" fillId="0" borderId="1" xfId="0" applyFont="1" applyBorder="1" applyAlignment="1">
      <alignment horizontal="left" vertical="center"/>
    </xf>
    <xf numFmtId="2" fontId="43" fillId="0" borderId="1" xfId="0" applyNumberFormat="1" applyFont="1" applyFill="1" applyBorder="1" applyAlignment="1">
      <alignment horizontal="center" vertical="center"/>
    </xf>
    <xf numFmtId="0" fontId="43" fillId="13" borderId="1" xfId="0" applyFont="1" applyFill="1" applyBorder="1" applyAlignment="1">
      <alignment vertical="center"/>
    </xf>
    <xf numFmtId="0" fontId="43" fillId="13" borderId="1" xfId="0" applyFont="1" applyFill="1" applyBorder="1" applyAlignment="1">
      <alignment horizontal="center" vertical="center"/>
    </xf>
    <xf numFmtId="0" fontId="43" fillId="13" borderId="0" xfId="0" applyFont="1" applyFill="1" applyAlignment="1">
      <alignment horizontal="center" vertical="center"/>
    </xf>
    <xf numFmtId="0" fontId="43" fillId="13" borderId="0" xfId="0" applyFont="1" applyFill="1" applyAlignment="1">
      <alignment vertical="center"/>
    </xf>
    <xf numFmtId="2" fontId="44" fillId="13" borderId="1" xfId="0" applyNumberFormat="1" applyFont="1" applyFill="1" applyBorder="1" applyAlignment="1">
      <alignment horizontal="center" vertical="center"/>
    </xf>
    <xf numFmtId="0" fontId="43" fillId="24" borderId="1" xfId="0" applyFont="1" applyFill="1" applyBorder="1" applyAlignment="1" applyProtection="1">
      <alignment horizontal="left" vertical="center" wrapText="1"/>
      <protection locked="0"/>
    </xf>
    <xf numFmtId="0" fontId="43" fillId="25" borderId="1" xfId="0" applyFont="1" applyFill="1" applyBorder="1" applyAlignment="1" applyProtection="1">
      <alignment horizontal="left" vertical="center" wrapText="1"/>
      <protection locked="0"/>
    </xf>
    <xf numFmtId="0" fontId="43" fillId="17" borderId="1" xfId="0" applyFont="1" applyFill="1" applyBorder="1" applyAlignment="1" applyProtection="1">
      <alignment vertical="center" wrapText="1"/>
      <protection locked="0"/>
    </xf>
    <xf numFmtId="2" fontId="44" fillId="0" borderId="2" xfId="0" applyNumberFormat="1" applyFont="1" applyFill="1" applyBorder="1" applyAlignment="1" applyProtection="1">
      <alignment horizontal="center" vertical="center" wrapText="1"/>
    </xf>
    <xf numFmtId="2" fontId="44" fillId="0" borderId="1" xfId="0" applyNumberFormat="1" applyFont="1" applyFill="1" applyBorder="1" applyAlignment="1">
      <alignment horizontal="center" vertical="center"/>
    </xf>
    <xf numFmtId="0" fontId="43" fillId="23" borderId="0" xfId="0" applyFont="1" applyFill="1" applyAlignment="1">
      <alignment horizontal="center" vertical="center"/>
    </xf>
    <xf numFmtId="0" fontId="43" fillId="0" borderId="0" xfId="0" applyFont="1" applyFill="1" applyBorder="1" applyAlignment="1">
      <alignment horizontal="center" vertical="center"/>
    </xf>
    <xf numFmtId="1" fontId="43" fillId="0" borderId="0" xfId="0" applyNumberFormat="1" applyFont="1" applyFill="1" applyBorder="1" applyAlignment="1">
      <alignment horizontal="center" vertical="center"/>
    </xf>
    <xf numFmtId="0" fontId="43" fillId="0" borderId="0" xfId="0" applyFont="1" applyBorder="1" applyAlignment="1">
      <alignment horizontal="left" vertical="center"/>
    </xf>
    <xf numFmtId="9" fontId="43" fillId="17" borderId="1" xfId="0" applyNumberFormat="1" applyFont="1" applyFill="1" applyBorder="1" applyAlignment="1">
      <alignment horizontal="center" vertical="center"/>
    </xf>
    <xf numFmtId="2" fontId="43" fillId="17" borderId="1" xfId="0" applyNumberFormat="1" applyFont="1" applyFill="1" applyBorder="1" applyAlignment="1">
      <alignment horizontal="center" vertical="center"/>
    </xf>
    <xf numFmtId="2" fontId="43" fillId="0" borderId="7" xfId="0" applyNumberFormat="1" applyFont="1" applyFill="1" applyBorder="1" applyAlignment="1" applyProtection="1">
      <alignment horizontal="center" vertical="center" wrapText="1"/>
    </xf>
    <xf numFmtId="0" fontId="43" fillId="17" borderId="7" xfId="0" applyFont="1" applyFill="1" applyBorder="1" applyAlignment="1" applyProtection="1">
      <alignment horizontal="center" vertical="center" wrapText="1"/>
      <protection locked="0"/>
    </xf>
    <xf numFmtId="0" fontId="43" fillId="17" borderId="1" xfId="0" applyFont="1" applyFill="1" applyBorder="1" applyAlignment="1" applyProtection="1">
      <alignment horizontal="left" vertical="center" wrapText="1"/>
      <protection locked="0"/>
    </xf>
    <xf numFmtId="2" fontId="44" fillId="0" borderId="1" xfId="0" applyNumberFormat="1" applyFont="1" applyBorder="1" applyAlignment="1">
      <alignment horizontal="center" vertical="center"/>
    </xf>
    <xf numFmtId="3" fontId="43" fillId="0" borderId="0" xfId="0" applyNumberFormat="1" applyFont="1" applyFill="1"/>
    <xf numFmtId="1" fontId="43" fillId="0" borderId="0" xfId="0" applyNumberFormat="1" applyFont="1" applyFill="1"/>
    <xf numFmtId="2" fontId="43" fillId="0" borderId="0" xfId="0" applyNumberFormat="1" applyFont="1" applyFill="1" applyBorder="1" applyAlignment="1">
      <alignment horizontal="center" vertical="center"/>
    </xf>
    <xf numFmtId="0" fontId="44" fillId="0" borderId="0" xfId="0" applyFont="1"/>
    <xf numFmtId="0" fontId="43" fillId="13" borderId="1" xfId="0" applyFont="1" applyFill="1" applyBorder="1" applyAlignment="1">
      <alignment horizontal="left" vertical="center" wrapText="1"/>
    </xf>
    <xf numFmtId="3" fontId="43" fillId="25" borderId="1" xfId="0" applyNumberFormat="1" applyFont="1" applyFill="1" applyBorder="1" applyAlignment="1">
      <alignment horizontal="center" vertical="center"/>
    </xf>
    <xf numFmtId="0" fontId="44" fillId="15" borderId="1" xfId="0" applyFont="1" applyFill="1" applyBorder="1" applyAlignment="1">
      <alignment horizontal="left" vertical="center" wrapText="1"/>
    </xf>
    <xf numFmtId="3" fontId="44" fillId="15" borderId="1" xfId="0" applyNumberFormat="1" applyFont="1" applyFill="1" applyBorder="1" applyAlignment="1">
      <alignment horizontal="center" vertical="center"/>
    </xf>
    <xf numFmtId="0" fontId="44" fillId="0" borderId="0" xfId="0" applyFont="1" applyFill="1" applyBorder="1" applyAlignment="1">
      <alignment vertical="center"/>
    </xf>
    <xf numFmtId="3" fontId="43" fillId="0" borderId="0" xfId="0" applyNumberFormat="1" applyFont="1" applyFill="1" applyBorder="1"/>
    <xf numFmtId="3" fontId="44" fillId="0" borderId="0" xfId="0" applyNumberFormat="1" applyFont="1" applyFill="1" applyBorder="1" applyAlignment="1">
      <alignment horizontal="center" vertical="center" wrapText="1"/>
    </xf>
    <xf numFmtId="1" fontId="43" fillId="13" borderId="1" xfId="0" applyNumberFormat="1" applyFont="1" applyFill="1" applyBorder="1" applyAlignment="1">
      <alignment horizontal="center" vertical="center"/>
    </xf>
    <xf numFmtId="1" fontId="43" fillId="0" borderId="1" xfId="0" applyNumberFormat="1" applyFont="1" applyFill="1" applyBorder="1" applyAlignment="1">
      <alignment horizontal="center" vertical="center"/>
    </xf>
    <xf numFmtId="2" fontId="43" fillId="0" borderId="1" xfId="0" applyNumberFormat="1" applyFont="1" applyBorder="1" applyAlignment="1">
      <alignment horizontal="center" vertical="center"/>
    </xf>
    <xf numFmtId="3" fontId="43" fillId="0" borderId="0" xfId="0" applyNumberFormat="1" applyFont="1" applyFill="1" applyBorder="1" applyAlignment="1">
      <alignment horizontal="center" vertical="center"/>
    </xf>
    <xf numFmtId="0" fontId="43" fillId="13" borderId="0" xfId="0" applyFont="1" applyFill="1"/>
    <xf numFmtId="0" fontId="43" fillId="13" borderId="0" xfId="0" applyFont="1" applyFill="1" applyAlignment="1">
      <alignment horizontal="center"/>
    </xf>
    <xf numFmtId="1" fontId="44" fillId="0" borderId="0" xfId="0" applyNumberFormat="1" applyFont="1" applyFill="1" applyBorder="1" applyAlignment="1">
      <alignment horizontal="center" vertical="center"/>
    </xf>
    <xf numFmtId="0" fontId="43" fillId="13" borderId="0" xfId="0" applyFont="1" applyFill="1" applyBorder="1" applyAlignment="1">
      <alignment horizontal="left" vertical="center" wrapText="1" indent="1"/>
    </xf>
    <xf numFmtId="3" fontId="43" fillId="0" borderId="0" xfId="0" applyNumberFormat="1" applyFont="1" applyBorder="1" applyAlignment="1">
      <alignment horizontal="center" vertical="center"/>
    </xf>
    <xf numFmtId="3" fontId="43" fillId="13" borderId="0" xfId="0" applyNumberFormat="1" applyFont="1" applyFill="1" applyBorder="1" applyAlignment="1">
      <alignment horizontal="center" vertical="center"/>
    </xf>
    <xf numFmtId="3" fontId="43" fillId="13" borderId="0" xfId="0" applyNumberFormat="1" applyFont="1" applyFill="1"/>
    <xf numFmtId="1" fontId="43" fillId="13" borderId="0" xfId="0" applyNumberFormat="1" applyFont="1" applyFill="1"/>
    <xf numFmtId="0" fontId="43" fillId="17" borderId="1" xfId="0" applyFont="1" applyFill="1" applyBorder="1" applyAlignment="1">
      <alignment horizontal="center" vertical="center"/>
    </xf>
    <xf numFmtId="0" fontId="44" fillId="0" borderId="7" xfId="0" applyFont="1" applyFill="1" applyBorder="1" applyAlignment="1" applyProtection="1">
      <alignment vertical="center"/>
    </xf>
    <xf numFmtId="0" fontId="44" fillId="0" borderId="9" xfId="0" applyFont="1" applyFill="1" applyBorder="1" applyAlignment="1" applyProtection="1">
      <alignment vertical="center"/>
    </xf>
    <xf numFmtId="2" fontId="44" fillId="0" borderId="1" xfId="0" applyNumberFormat="1" applyFont="1" applyFill="1" applyBorder="1" applyAlignment="1" applyProtection="1">
      <alignment horizontal="center" vertical="center"/>
    </xf>
    <xf numFmtId="0" fontId="43" fillId="0" borderId="1" xfId="0" applyFont="1" applyFill="1" applyBorder="1" applyAlignment="1">
      <alignment horizontal="center"/>
    </xf>
    <xf numFmtId="0" fontId="44" fillId="0" borderId="0" xfId="0" applyFont="1" applyFill="1" applyBorder="1"/>
    <xf numFmtId="0" fontId="44" fillId="0" borderId="0" xfId="0" applyFont="1" applyFill="1" applyBorder="1" applyAlignment="1">
      <alignment horizontal="center"/>
    </xf>
    <xf numFmtId="0" fontId="44" fillId="0" borderId="0" xfId="0" applyFont="1" applyAlignment="1">
      <alignment horizontal="center" vertical="center"/>
    </xf>
    <xf numFmtId="0" fontId="43" fillId="0" borderId="0" xfId="0" applyFont="1" applyFill="1" applyAlignment="1">
      <alignment vertical="center" wrapText="1"/>
    </xf>
    <xf numFmtId="0" fontId="43" fillId="0" borderId="0" xfId="0" applyFont="1" applyAlignment="1">
      <alignment vertical="center" wrapText="1"/>
    </xf>
    <xf numFmtId="0" fontId="44" fillId="0" borderId="1" xfId="0" applyFont="1" applyBorder="1" applyAlignment="1">
      <alignment vertical="center"/>
    </xf>
    <xf numFmtId="0" fontId="44" fillId="0" borderId="0" xfId="0" applyFont="1" applyBorder="1" applyAlignment="1">
      <alignment vertical="center"/>
    </xf>
    <xf numFmtId="3" fontId="44" fillId="0" borderId="0" xfId="0" applyNumberFormat="1" applyFont="1" applyBorder="1" applyAlignment="1">
      <alignment horizontal="center" vertical="center"/>
    </xf>
    <xf numFmtId="3" fontId="43" fillId="17" borderId="1" xfId="0" applyNumberFormat="1" applyFont="1" applyFill="1" applyBorder="1" applyAlignment="1">
      <alignment horizontal="center" vertical="center"/>
    </xf>
    <xf numFmtId="0" fontId="43" fillId="13" borderId="0" xfId="0" applyFont="1" applyFill="1" applyBorder="1" applyAlignment="1">
      <alignment horizontal="left" vertical="center" wrapText="1"/>
    </xf>
    <xf numFmtId="3" fontId="43" fillId="0" borderId="0" xfId="0" applyNumberFormat="1" applyFont="1" applyAlignment="1">
      <alignment horizontal="center" vertical="center"/>
    </xf>
    <xf numFmtId="0" fontId="43" fillId="13" borderId="1" xfId="0" applyFont="1" applyFill="1" applyBorder="1" applyAlignment="1">
      <alignment horizontal="left" vertical="center"/>
    </xf>
    <xf numFmtId="3" fontId="43" fillId="13" borderId="1" xfId="0" applyNumberFormat="1" applyFont="1" applyFill="1" applyBorder="1" applyAlignment="1">
      <alignment horizontal="left" vertical="center"/>
    </xf>
    <xf numFmtId="0" fontId="43" fillId="0" borderId="0" xfId="0" applyFont="1" applyFill="1" applyBorder="1" applyAlignment="1">
      <alignment horizontal="left" vertical="center" wrapText="1"/>
    </xf>
    <xf numFmtId="1" fontId="43" fillId="13" borderId="0" xfId="0" applyNumberFormat="1" applyFont="1" applyFill="1" applyBorder="1" applyAlignment="1">
      <alignment horizontal="center" vertical="center"/>
    </xf>
    <xf numFmtId="3" fontId="43" fillId="13" borderId="0" xfId="0" applyNumberFormat="1" applyFont="1" applyFill="1" applyBorder="1" applyAlignment="1">
      <alignment horizontal="left" vertical="center"/>
    </xf>
    <xf numFmtId="4" fontId="43" fillId="13" borderId="1" xfId="0" applyNumberFormat="1" applyFont="1" applyFill="1" applyBorder="1" applyAlignment="1">
      <alignment horizontal="left" vertical="center" wrapText="1" indent="1"/>
    </xf>
    <xf numFmtId="0" fontId="44" fillId="0" borderId="0" xfId="0" applyFont="1" applyBorder="1" applyAlignment="1">
      <alignment horizontal="center" vertical="center"/>
    </xf>
    <xf numFmtId="3" fontId="43" fillId="0" borderId="0" xfId="0" applyNumberFormat="1" applyFont="1" applyBorder="1" applyAlignment="1"/>
    <xf numFmtId="3" fontId="43" fillId="0" borderId="0" xfId="0" applyNumberFormat="1" applyFont="1" applyBorder="1" applyAlignment="1">
      <alignment horizontal="center"/>
    </xf>
    <xf numFmtId="3" fontId="44" fillId="0" borderId="0" xfId="0" applyNumberFormat="1" applyFont="1" applyBorder="1" applyAlignment="1">
      <alignment vertical="center"/>
    </xf>
    <xf numFmtId="0" fontId="44" fillId="0" borderId="3" xfId="0" applyFont="1" applyBorder="1" applyAlignment="1">
      <alignment vertical="center"/>
    </xf>
    <xf numFmtId="3" fontId="44" fillId="0" borderId="3" xfId="0" applyNumberFormat="1" applyFont="1" applyBorder="1" applyAlignment="1">
      <alignment horizontal="center" vertical="center"/>
    </xf>
    <xf numFmtId="0" fontId="44" fillId="15" borderId="0" xfId="0" applyFont="1" applyFill="1"/>
    <xf numFmtId="173" fontId="43" fillId="15" borderId="0" xfId="0" applyNumberFormat="1" applyFont="1" applyFill="1"/>
    <xf numFmtId="173" fontId="43" fillId="0" borderId="0" xfId="0" applyNumberFormat="1" applyFont="1"/>
    <xf numFmtId="0" fontId="44" fillId="0" borderId="0" xfId="0" applyFont="1" applyFill="1" applyBorder="1" applyAlignment="1">
      <alignment horizontal="left" vertical="center" wrapText="1"/>
    </xf>
    <xf numFmtId="0" fontId="43" fillId="0" borderId="0" xfId="0" applyFont="1" applyFill="1" applyBorder="1" applyAlignment="1">
      <alignment horizontal="left" vertical="center" wrapText="1" indent="1"/>
    </xf>
    <xf numFmtId="3" fontId="43" fillId="13" borderId="1" xfId="0" applyNumberFormat="1" applyFont="1" applyFill="1" applyBorder="1" applyAlignment="1">
      <alignment horizontal="left" vertical="center" indent="1"/>
    </xf>
    <xf numFmtId="3" fontId="43" fillId="0" borderId="0" xfId="0" applyNumberFormat="1" applyFont="1" applyFill="1" applyBorder="1" applyAlignment="1">
      <alignment horizontal="center"/>
    </xf>
    <xf numFmtId="3" fontId="43" fillId="17" borderId="1" xfId="0" applyNumberFormat="1" applyFont="1" applyFill="1" applyBorder="1" applyAlignment="1">
      <alignment horizontal="center"/>
    </xf>
    <xf numFmtId="1" fontId="43" fillId="0" borderId="11" xfId="0" applyNumberFormat="1" applyFont="1" applyBorder="1" applyAlignment="1">
      <alignment horizontal="left" vertical="center"/>
    </xf>
    <xf numFmtId="3" fontId="43" fillId="13" borderId="0" xfId="0" applyNumberFormat="1" applyFont="1" applyFill="1" applyBorder="1" applyAlignment="1">
      <alignment horizontal="left" vertical="center" indent="1"/>
    </xf>
    <xf numFmtId="0" fontId="44" fillId="0" borderId="0" xfId="0" applyFont="1" applyBorder="1" applyAlignment="1">
      <alignment horizontal="center" vertical="center" wrapText="1"/>
    </xf>
    <xf numFmtId="1" fontId="43" fillId="0" borderId="0" xfId="0" applyNumberFormat="1" applyFont="1" applyBorder="1" applyAlignment="1">
      <alignment horizontal="left" vertical="center"/>
    </xf>
    <xf numFmtId="0" fontId="43" fillId="0" borderId="1" xfId="0" applyFont="1" applyBorder="1" applyAlignment="1">
      <alignment horizontal="left" vertical="center" indent="1" readingOrder="1"/>
    </xf>
    <xf numFmtId="0" fontId="43" fillId="25" borderId="1" xfId="0" applyFont="1" applyFill="1" applyBorder="1" applyAlignment="1">
      <alignment horizontal="left" vertical="center" wrapText="1" indent="1" readingOrder="1"/>
    </xf>
    <xf numFmtId="0" fontId="43" fillId="0" borderId="0" xfId="0" applyFont="1" applyFill="1" applyBorder="1" applyAlignment="1">
      <alignment horizontal="left" vertical="center" indent="1" readingOrder="1"/>
    </xf>
    <xf numFmtId="0" fontId="43" fillId="17" borderId="1" xfId="0" applyFont="1" applyFill="1" applyBorder="1" applyAlignment="1">
      <alignment horizontal="center" vertical="center" wrapText="1"/>
    </xf>
    <xf numFmtId="0" fontId="43" fillId="17" borderId="1" xfId="0" applyFont="1" applyFill="1" applyBorder="1" applyAlignment="1">
      <alignment vertical="center" wrapText="1"/>
    </xf>
    <xf numFmtId="0" fontId="43" fillId="14" borderId="1" xfId="0" applyFont="1" applyFill="1" applyBorder="1" applyAlignment="1">
      <alignment vertical="top" wrapText="1"/>
    </xf>
    <xf numFmtId="0" fontId="43" fillId="14" borderId="1" xfId="0" applyFont="1" applyFill="1" applyBorder="1" applyAlignment="1">
      <alignment horizontal="center" vertical="center" wrapText="1"/>
    </xf>
    <xf numFmtId="0" fontId="43" fillId="0" borderId="0" xfId="0" applyFont="1" applyAlignment="1">
      <alignment horizontal="center" wrapText="1"/>
    </xf>
    <xf numFmtId="0" fontId="43" fillId="17" borderId="1" xfId="0" applyFont="1" applyFill="1" applyBorder="1" applyAlignment="1">
      <alignment vertical="top" wrapText="1"/>
    </xf>
    <xf numFmtId="0" fontId="43" fillId="14" borderId="0" xfId="0" applyFont="1" applyFill="1" applyBorder="1" applyAlignment="1">
      <alignment vertical="top" wrapText="1"/>
    </xf>
    <xf numFmtId="0" fontId="43" fillId="14" borderId="0" xfId="0" applyFont="1" applyFill="1" applyBorder="1" applyAlignment="1">
      <alignment horizontal="center" vertical="center" wrapText="1"/>
    </xf>
    <xf numFmtId="0" fontId="43" fillId="14" borderId="0" xfId="0" applyFont="1" applyFill="1" applyBorder="1" applyAlignment="1">
      <alignment vertical="center" wrapText="1"/>
    </xf>
    <xf numFmtId="0" fontId="44" fillId="15" borderId="1" xfId="0" applyFont="1" applyFill="1" applyBorder="1" applyAlignment="1" applyProtection="1">
      <alignment horizontal="center" vertical="center" wrapText="1"/>
      <protection locked="0"/>
    </xf>
    <xf numFmtId="170" fontId="44" fillId="15" borderId="1" xfId="0" applyNumberFormat="1" applyFont="1" applyFill="1" applyBorder="1" applyAlignment="1" applyProtection="1">
      <alignment horizontal="center" vertical="center" wrapText="1"/>
    </xf>
    <xf numFmtId="1" fontId="44" fillId="15" borderId="1" xfId="0" applyNumberFormat="1" applyFont="1" applyFill="1" applyBorder="1" applyAlignment="1" applyProtection="1">
      <alignment horizontal="center" vertical="center" wrapText="1"/>
      <protection locked="0"/>
    </xf>
    <xf numFmtId="0" fontId="55" fillId="14" borderId="0" xfId="0" applyFont="1" applyFill="1" applyBorder="1" applyAlignment="1" applyProtection="1">
      <alignment horizontal="center" vertical="center"/>
      <protection locked="0"/>
    </xf>
    <xf numFmtId="0" fontId="55" fillId="0" borderId="1" xfId="0" applyFont="1" applyFill="1" applyBorder="1" applyAlignment="1" applyProtection="1">
      <alignment horizontal="center" vertical="center"/>
      <protection locked="0"/>
    </xf>
    <xf numFmtId="0" fontId="55" fillId="14" borderId="0" xfId="0" applyFont="1" applyFill="1" applyBorder="1" applyAlignment="1" applyProtection="1">
      <alignment horizontal="center" vertical="center"/>
    </xf>
    <xf numFmtId="0" fontId="43" fillId="0" borderId="1" xfId="0" applyFont="1" applyFill="1" applyBorder="1" applyAlignment="1">
      <alignment horizontal="center" vertical="center" wrapText="1"/>
    </xf>
    <xf numFmtId="0" fontId="44" fillId="0" borderId="0" xfId="0" applyFont="1" applyFill="1" applyBorder="1" applyAlignment="1" applyProtection="1">
      <alignment horizontal="center" vertical="center" wrapText="1"/>
      <protection locked="0"/>
    </xf>
    <xf numFmtId="0" fontId="43" fillId="0" borderId="1" xfId="0" applyFont="1" applyBorder="1" applyAlignment="1">
      <alignment horizontal="center" vertical="center"/>
    </xf>
    <xf numFmtId="0" fontId="43" fillId="0" borderId="1" xfId="0" applyFont="1" applyFill="1" applyBorder="1" applyAlignment="1">
      <alignment horizontal="center" vertical="center"/>
    </xf>
    <xf numFmtId="0" fontId="44" fillId="0" borderId="1" xfId="0" applyFont="1" applyFill="1" applyBorder="1" applyAlignment="1">
      <alignment horizontal="center" vertical="center"/>
    </xf>
    <xf numFmtId="0" fontId="43" fillId="0" borderId="1" xfId="0" applyFont="1" applyFill="1" applyBorder="1" applyAlignment="1" applyProtection="1">
      <alignment horizontal="center" vertical="center"/>
      <protection locked="0"/>
    </xf>
    <xf numFmtId="0" fontId="44" fillId="15" borderId="1" xfId="0" applyFont="1" applyFill="1" applyBorder="1" applyAlignment="1">
      <alignment horizontal="center" vertical="center" wrapText="1"/>
    </xf>
    <xf numFmtId="0" fontId="44" fillId="15" borderId="1" xfId="0" applyFont="1" applyFill="1" applyBorder="1" applyAlignment="1">
      <alignment horizontal="center" vertical="center"/>
    </xf>
    <xf numFmtId="0" fontId="44" fillId="0" borderId="0" xfId="0" applyFont="1" applyFill="1" applyBorder="1" applyAlignment="1">
      <alignment horizontal="center" vertical="center"/>
    </xf>
    <xf numFmtId="0" fontId="44" fillId="15" borderId="1" xfId="0" applyFont="1" applyFill="1" applyBorder="1" applyAlignment="1" applyProtection="1">
      <alignment horizontal="center" vertical="center" wrapText="1"/>
    </xf>
    <xf numFmtId="0" fontId="44" fillId="15" borderId="7" xfId="0" applyFont="1" applyFill="1" applyBorder="1" applyAlignment="1" applyProtection="1">
      <alignment horizontal="center" vertical="center" wrapText="1"/>
    </xf>
    <xf numFmtId="0" fontId="37" fillId="0" borderId="1" xfId="0" applyFont="1" applyBorder="1" applyAlignment="1">
      <alignment horizontal="center" vertical="center"/>
    </xf>
    <xf numFmtId="179" fontId="38" fillId="0" borderId="1" xfId="0" applyNumberFormat="1" applyFont="1" applyFill="1" applyBorder="1" applyAlignment="1">
      <alignment horizontal="center" vertical="center" wrapText="1"/>
    </xf>
    <xf numFmtId="0" fontId="38" fillId="0" borderId="1" xfId="0" applyFont="1" applyFill="1" applyBorder="1" applyAlignment="1">
      <alignment horizontal="center" vertical="center"/>
    </xf>
    <xf numFmtId="0" fontId="38" fillId="0" borderId="1" xfId="0" applyFont="1" applyFill="1" applyBorder="1" applyAlignment="1">
      <alignment horizontal="center" vertical="center" wrapText="1"/>
    </xf>
    <xf numFmtId="0" fontId="38" fillId="15" borderId="1" xfId="0" applyFont="1" applyFill="1" applyBorder="1" applyAlignment="1">
      <alignment horizontal="center" vertical="center"/>
    </xf>
    <xf numFmtId="0" fontId="55" fillId="20" borderId="0" xfId="0" applyFont="1" applyFill="1" applyBorder="1" applyAlignment="1" applyProtection="1">
      <alignment vertical="center"/>
    </xf>
    <xf numFmtId="0" fontId="55" fillId="20" borderId="0" xfId="0" applyFont="1" applyFill="1" applyBorder="1" applyAlignment="1" applyProtection="1">
      <alignment horizontal="center" vertical="center"/>
    </xf>
    <xf numFmtId="0" fontId="55" fillId="20" borderId="0" xfId="0" applyFont="1" applyFill="1" applyBorder="1" applyAlignment="1" applyProtection="1">
      <alignment vertical="center" wrapText="1"/>
    </xf>
    <xf numFmtId="0" fontId="72" fillId="0" borderId="0" xfId="0" applyFont="1" applyFill="1" applyAlignment="1">
      <alignment horizontal="center" vertical="center" wrapText="1"/>
    </xf>
    <xf numFmtId="0" fontId="75" fillId="0" borderId="0" xfId="0" applyFont="1" applyFill="1" applyAlignment="1">
      <alignment horizontal="center" vertical="center" wrapText="1"/>
    </xf>
    <xf numFmtId="0" fontId="40" fillId="0" borderId="0" xfId="0" applyFont="1" applyFill="1" applyAlignment="1">
      <alignment horizontal="center" vertical="center" wrapText="1"/>
    </xf>
    <xf numFmtId="180" fontId="43" fillId="17" borderId="1" xfId="53" applyNumberFormat="1" applyFont="1" applyFill="1" applyBorder="1" applyAlignment="1">
      <alignment horizontal="center" vertical="center"/>
    </xf>
    <xf numFmtId="0" fontId="44" fillId="14" borderId="0" xfId="0" applyFont="1" applyFill="1" applyAlignment="1">
      <alignment vertical="center"/>
    </xf>
    <xf numFmtId="0" fontId="44" fillId="16" borderId="1" xfId="0" applyFont="1" applyFill="1" applyBorder="1" applyAlignment="1">
      <alignment horizontal="center" vertical="center"/>
    </xf>
    <xf numFmtId="0" fontId="43" fillId="17" borderId="1" xfId="0" applyFont="1" applyFill="1" applyBorder="1" applyAlignment="1">
      <alignment horizontal="center"/>
    </xf>
    <xf numFmtId="2" fontId="55" fillId="0" borderId="7" xfId="0" applyNumberFormat="1" applyFont="1" applyFill="1" applyBorder="1" applyAlignment="1" applyProtection="1">
      <alignment horizontal="center" vertical="center" wrapText="1"/>
      <protection locked="0"/>
    </xf>
    <xf numFmtId="2" fontId="55" fillId="0" borderId="9" xfId="0" applyNumberFormat="1" applyFont="1" applyFill="1" applyBorder="1" applyAlignment="1" applyProtection="1">
      <alignment horizontal="center" vertical="center" wrapText="1"/>
      <protection locked="0"/>
    </xf>
    <xf numFmtId="2" fontId="55" fillId="0" borderId="8" xfId="0" applyNumberFormat="1" applyFont="1" applyFill="1" applyBorder="1" applyAlignment="1" applyProtection="1">
      <alignment horizontal="center" vertical="center" wrapText="1"/>
      <protection locked="0"/>
    </xf>
    <xf numFmtId="179" fontId="38" fillId="15" borderId="1" xfId="0" applyNumberFormat="1" applyFont="1" applyFill="1" applyBorder="1" applyAlignment="1">
      <alignment horizontal="center" vertical="center"/>
    </xf>
    <xf numFmtId="179" fontId="38" fillId="15" borderId="1" xfId="0" applyNumberFormat="1" applyFont="1" applyFill="1" applyBorder="1" applyAlignment="1">
      <alignment horizontal="center" vertical="center" wrapText="1"/>
    </xf>
    <xf numFmtId="0" fontId="44" fillId="15" borderId="11" xfId="0" applyFont="1" applyFill="1" applyBorder="1" applyAlignment="1">
      <alignment horizontal="center"/>
    </xf>
    <xf numFmtId="0" fontId="44" fillId="15" borderId="0" xfId="0" applyFont="1" applyFill="1" applyBorder="1" applyAlignment="1">
      <alignment horizontal="center"/>
    </xf>
    <xf numFmtId="0" fontId="44" fillId="15" borderId="12" xfId="0" applyFont="1" applyFill="1" applyBorder="1" applyAlignment="1">
      <alignment horizontal="center"/>
    </xf>
    <xf numFmtId="0" fontId="44" fillId="15" borderId="13" xfId="0" applyFont="1" applyFill="1" applyBorder="1" applyAlignment="1">
      <alignment horizontal="center"/>
    </xf>
    <xf numFmtId="0" fontId="44" fillId="15" borderId="10" xfId="0" applyFont="1" applyFill="1" applyBorder="1" applyAlignment="1">
      <alignment horizontal="center"/>
    </xf>
    <xf numFmtId="0" fontId="44" fillId="15" borderId="14" xfId="0" applyFont="1" applyFill="1" applyBorder="1" applyAlignment="1">
      <alignment horizontal="center"/>
    </xf>
    <xf numFmtId="0" fontId="43" fillId="0" borderId="11" xfId="0" applyFont="1" applyBorder="1"/>
    <xf numFmtId="0" fontId="43" fillId="14" borderId="1" xfId="0" applyFont="1" applyFill="1" applyBorder="1" applyAlignment="1">
      <alignment horizontal="right" vertical="center" wrapText="1"/>
    </xf>
    <xf numFmtId="0" fontId="43" fillId="0" borderId="11" xfId="0" applyFont="1" applyFill="1" applyBorder="1" applyAlignment="1">
      <alignment vertical="center"/>
    </xf>
    <xf numFmtId="0" fontId="43" fillId="0" borderId="1" xfId="0" applyFont="1" applyFill="1" applyBorder="1" applyAlignment="1">
      <alignment horizontal="right" vertical="center" wrapText="1"/>
    </xf>
    <xf numFmtId="1" fontId="43" fillId="0" borderId="0" xfId="120" applyNumberFormat="1" applyFont="1" applyFill="1" applyBorder="1" applyAlignment="1">
      <alignment horizontal="center" vertical="center"/>
    </xf>
    <xf numFmtId="3" fontId="43" fillId="0" borderId="1" xfId="0" applyNumberFormat="1" applyFont="1" applyBorder="1" applyAlignment="1">
      <alignment horizontal="center" vertical="center" wrapText="1"/>
    </xf>
    <xf numFmtId="4" fontId="43" fillId="0" borderId="1" xfId="0" applyNumberFormat="1" applyFont="1" applyBorder="1" applyAlignment="1">
      <alignment horizontal="center" vertical="center"/>
    </xf>
    <xf numFmtId="4" fontId="44" fillId="16" borderId="1" xfId="0" applyNumberFormat="1" applyFont="1" applyFill="1" applyBorder="1" applyAlignment="1">
      <alignment horizontal="center" vertical="center" wrapText="1"/>
    </xf>
    <xf numFmtId="10" fontId="44" fillId="16" borderId="1" xfId="0" applyNumberFormat="1" applyFont="1" applyFill="1" applyBorder="1" applyAlignment="1">
      <alignment horizontal="center" vertical="center"/>
    </xf>
    <xf numFmtId="170" fontId="43" fillId="0" borderId="1" xfId="0" applyNumberFormat="1" applyFont="1" applyFill="1" applyBorder="1" applyAlignment="1">
      <alignment horizontal="center" vertical="center"/>
    </xf>
    <xf numFmtId="173" fontId="43" fillId="0" borderId="1" xfId="0" applyNumberFormat="1" applyFont="1" applyFill="1" applyBorder="1" applyAlignment="1">
      <alignment horizontal="center" vertical="center"/>
    </xf>
    <xf numFmtId="0" fontId="43" fillId="15" borderId="0" xfId="0" applyFont="1" applyFill="1" applyAlignment="1"/>
    <xf numFmtId="0" fontId="44" fillId="0" borderId="1" xfId="0" applyFont="1" applyFill="1" applyBorder="1" applyAlignment="1">
      <alignment vertical="center" wrapText="1"/>
    </xf>
    <xf numFmtId="3" fontId="44" fillId="0" borderId="1" xfId="0" applyNumberFormat="1" applyFont="1" applyFill="1" applyBorder="1" applyAlignment="1">
      <alignment horizontal="center" vertical="center" wrapText="1"/>
    </xf>
    <xf numFmtId="0" fontId="43" fillId="0" borderId="0" xfId="0" applyFont="1" applyFill="1" applyAlignment="1"/>
    <xf numFmtId="0" fontId="36" fillId="15" borderId="0" xfId="0" applyFont="1" applyFill="1" applyAlignment="1"/>
    <xf numFmtId="0" fontId="36" fillId="0" borderId="0" xfId="0" applyFont="1" applyFill="1" applyAlignment="1"/>
    <xf numFmtId="188" fontId="37" fillId="15" borderId="1" xfId="0" applyNumberFormat="1" applyFont="1" applyFill="1" applyBorder="1" applyAlignment="1">
      <alignment horizontal="center" vertical="center" wrapText="1"/>
    </xf>
    <xf numFmtId="0" fontId="37" fillId="0" borderId="2" xfId="0" applyFont="1" applyFill="1" applyBorder="1" applyAlignment="1">
      <alignment horizontal="center" vertical="center" wrapText="1"/>
    </xf>
    <xf numFmtId="188" fontId="37" fillId="0" borderId="2" xfId="0" applyNumberFormat="1" applyFont="1" applyFill="1" applyBorder="1" applyAlignment="1">
      <alignment horizontal="center" vertical="center" wrapText="1"/>
    </xf>
    <xf numFmtId="0" fontId="37" fillId="0" borderId="1" xfId="0" applyFont="1" applyFill="1" applyBorder="1" applyAlignment="1">
      <alignment vertical="center" wrapText="1"/>
    </xf>
    <xf numFmtId="0" fontId="37" fillId="0" borderId="2" xfId="0" applyFont="1" applyFill="1" applyBorder="1" applyAlignment="1">
      <alignment vertical="center" wrapText="1"/>
    </xf>
    <xf numFmtId="188" fontId="37" fillId="0" borderId="2" xfId="0" applyNumberFormat="1" applyFont="1" applyFill="1" applyBorder="1" applyAlignment="1">
      <alignment vertical="center" wrapText="1"/>
    </xf>
    <xf numFmtId="0" fontId="36" fillId="0" borderId="1" xfId="0" applyFont="1" applyFill="1" applyBorder="1" applyAlignment="1">
      <alignment vertical="center" wrapText="1"/>
    </xf>
    <xf numFmtId="0" fontId="36" fillId="0" borderId="1" xfId="0" applyFont="1" applyFill="1" applyBorder="1" applyAlignment="1">
      <alignment horizontal="center" vertical="center" wrapText="1"/>
    </xf>
    <xf numFmtId="3" fontId="36" fillId="0" borderId="1" xfId="0" applyNumberFormat="1" applyFont="1" applyFill="1" applyBorder="1" applyAlignment="1">
      <alignment horizontal="center" vertical="center" wrapText="1"/>
    </xf>
    <xf numFmtId="182" fontId="36" fillId="17" borderId="1" xfId="0" applyNumberFormat="1" applyFont="1" applyFill="1" applyBorder="1" applyAlignment="1">
      <alignment horizontal="center" vertical="center" wrapText="1"/>
    </xf>
    <xf numFmtId="3" fontId="37" fillId="0" borderId="1" xfId="0" applyNumberFormat="1" applyFont="1" applyFill="1" applyBorder="1" applyAlignment="1">
      <alignment horizontal="center" vertical="center" wrapText="1"/>
    </xf>
    <xf numFmtId="0" fontId="37" fillId="0" borderId="1" xfId="0" applyFont="1" applyFill="1" applyBorder="1" applyAlignment="1">
      <alignment horizontal="center" vertical="center" wrapText="1"/>
    </xf>
    <xf numFmtId="188" fontId="37" fillId="0" borderId="1" xfId="0" applyNumberFormat="1" applyFont="1" applyFill="1" applyBorder="1" applyAlignment="1">
      <alignment horizontal="center" vertical="center" wrapText="1"/>
    </xf>
    <xf numFmtId="0" fontId="36" fillId="0" borderId="1" xfId="0" applyFont="1" applyFill="1" applyBorder="1" applyAlignment="1">
      <alignment horizontal="left" vertical="center" wrapText="1"/>
    </xf>
    <xf numFmtId="3" fontId="36" fillId="0" borderId="1" xfId="0" applyNumberFormat="1" applyFont="1" applyFill="1" applyBorder="1" applyAlignment="1">
      <alignment horizontal="left" vertical="center" wrapText="1"/>
    </xf>
    <xf numFmtId="0" fontId="36" fillId="0" borderId="1" xfId="0" applyFont="1" applyBorder="1" applyAlignment="1">
      <alignment horizontal="left" vertical="center"/>
    </xf>
    <xf numFmtId="0" fontId="36" fillId="0" borderId="1" xfId="0" applyFont="1" applyBorder="1" applyAlignment="1">
      <alignment horizontal="left" vertical="center" wrapText="1"/>
    </xf>
    <xf numFmtId="0" fontId="37" fillId="0" borderId="1" xfId="0" applyFont="1" applyFill="1" applyBorder="1" applyAlignment="1">
      <alignment horizontal="left" vertical="center" wrapText="1"/>
    </xf>
    <xf numFmtId="188" fontId="36" fillId="0" borderId="1" xfId="0" applyNumberFormat="1" applyFont="1" applyFill="1" applyBorder="1" applyAlignment="1">
      <alignment horizontal="center" vertical="center"/>
    </xf>
    <xf numFmtId="0" fontId="36" fillId="0" borderId="1" xfId="0" applyFont="1" applyFill="1" applyBorder="1" applyAlignment="1">
      <alignment horizontal="left" vertical="center" wrapText="1" indent="1"/>
    </xf>
    <xf numFmtId="1" fontId="36" fillId="0" borderId="1" xfId="0" applyNumberFormat="1" applyFont="1" applyFill="1" applyBorder="1" applyAlignment="1">
      <alignment horizontal="center" vertical="center" wrapText="1"/>
    </xf>
    <xf numFmtId="188" fontId="36" fillId="17" borderId="1" xfId="0" applyNumberFormat="1" applyFont="1" applyFill="1" applyBorder="1" applyAlignment="1">
      <alignment horizontal="center" vertical="center"/>
    </xf>
    <xf numFmtId="1" fontId="37" fillId="0" borderId="1" xfId="0" applyNumberFormat="1" applyFont="1" applyFill="1" applyBorder="1" applyAlignment="1">
      <alignment horizontal="center" wrapText="1"/>
    </xf>
    <xf numFmtId="0" fontId="37" fillId="0" borderId="1" xfId="0" applyFont="1" applyFill="1" applyBorder="1" applyAlignment="1">
      <alignment horizontal="center" wrapText="1"/>
    </xf>
    <xf numFmtId="182" fontId="37" fillId="0" borderId="1" xfId="0" applyNumberFormat="1" applyFont="1" applyFill="1" applyBorder="1" applyAlignment="1">
      <alignment horizontal="center" wrapText="1"/>
    </xf>
    <xf numFmtId="188" fontId="37" fillId="0" borderId="1" xfId="0" applyNumberFormat="1" applyFont="1" applyFill="1" applyBorder="1" applyAlignment="1">
      <alignment horizontal="center"/>
    </xf>
    <xf numFmtId="1" fontId="37" fillId="0" borderId="1" xfId="0" applyNumberFormat="1" applyFont="1" applyFill="1" applyBorder="1" applyAlignment="1">
      <alignment horizontal="center" vertical="center" wrapText="1"/>
    </xf>
    <xf numFmtId="0" fontId="36" fillId="0" borderId="1" xfId="0" applyFont="1" applyFill="1" applyBorder="1" applyAlignment="1" applyProtection="1">
      <alignment horizontal="left" vertical="center" wrapText="1"/>
    </xf>
    <xf numFmtId="1" fontId="36" fillId="0" borderId="1" xfId="0" applyNumberFormat="1" applyFont="1" applyFill="1" applyBorder="1" applyAlignment="1">
      <alignment horizontal="center" vertical="center"/>
    </xf>
    <xf numFmtId="1" fontId="37" fillId="0" borderId="1" xfId="0" applyNumberFormat="1" applyFont="1" applyFill="1" applyBorder="1" applyAlignment="1">
      <alignment horizontal="center" vertical="center"/>
    </xf>
    <xf numFmtId="182" fontId="37" fillId="0" borderId="1" xfId="0" applyNumberFormat="1" applyFont="1" applyFill="1" applyBorder="1" applyAlignment="1">
      <alignment horizontal="center" vertical="center"/>
    </xf>
    <xf numFmtId="0" fontId="37" fillId="0" borderId="1" xfId="0" applyFont="1" applyFill="1" applyBorder="1" applyAlignment="1" applyProtection="1">
      <alignment horizontal="left" vertical="center" wrapText="1"/>
    </xf>
    <xf numFmtId="0" fontId="37" fillId="0" borderId="1" xfId="0" applyFont="1" applyFill="1" applyBorder="1" applyAlignment="1" applyProtection="1">
      <alignment vertical="center"/>
    </xf>
    <xf numFmtId="3" fontId="37" fillId="0" borderId="1" xfId="0" applyNumberFormat="1" applyFont="1" applyFill="1" applyBorder="1" applyAlignment="1" applyProtection="1">
      <alignment vertical="center"/>
    </xf>
    <xf numFmtId="4" fontId="36" fillId="0" borderId="1" xfId="0" applyNumberFormat="1" applyFont="1" applyFill="1" applyBorder="1" applyAlignment="1">
      <alignment horizontal="left" vertical="center" wrapText="1"/>
    </xf>
    <xf numFmtId="3" fontId="36" fillId="0" borderId="1" xfId="0" applyNumberFormat="1" applyFont="1" applyFill="1" applyBorder="1" applyAlignment="1">
      <alignment horizontal="center" vertical="center"/>
    </xf>
    <xf numFmtId="3" fontId="36" fillId="13" borderId="1" xfId="0" applyNumberFormat="1" applyFont="1" applyFill="1" applyBorder="1" applyAlignment="1">
      <alignment horizontal="center" vertical="center"/>
    </xf>
    <xf numFmtId="188" fontId="37" fillId="0" borderId="1" xfId="0" applyNumberFormat="1" applyFont="1" applyFill="1" applyBorder="1" applyAlignment="1">
      <alignment horizontal="center" vertical="center"/>
    </xf>
    <xf numFmtId="179" fontId="37" fillId="0" borderId="1" xfId="0" applyNumberFormat="1" applyFont="1" applyFill="1" applyBorder="1" applyAlignment="1">
      <alignment horizontal="center" vertical="center"/>
    </xf>
    <xf numFmtId="179" fontId="37" fillId="0" borderId="1" xfId="0" applyNumberFormat="1" applyFont="1" applyFill="1" applyBorder="1" applyAlignment="1">
      <alignment horizontal="center" vertical="center" wrapText="1"/>
    </xf>
    <xf numFmtId="1" fontId="37" fillId="16" borderId="1" xfId="0" applyNumberFormat="1" applyFont="1" applyFill="1" applyBorder="1" applyAlignment="1">
      <alignment horizontal="center" vertical="center" wrapText="1"/>
    </xf>
    <xf numFmtId="0" fontId="37" fillId="16" borderId="1" xfId="0" applyFont="1" applyFill="1" applyBorder="1" applyAlignment="1">
      <alignment vertical="center" wrapText="1"/>
    </xf>
    <xf numFmtId="182" fontId="37" fillId="16" borderId="1" xfId="0" applyNumberFormat="1" applyFont="1" applyFill="1" applyBorder="1" applyAlignment="1">
      <alignment horizontal="center" vertical="center"/>
    </xf>
    <xf numFmtId="3" fontId="36" fillId="0" borderId="1" xfId="0" applyNumberFormat="1" applyFont="1" applyFill="1" applyBorder="1" applyAlignment="1" applyProtection="1">
      <alignment horizontal="left" vertical="center" wrapText="1"/>
    </xf>
    <xf numFmtId="1" fontId="37" fillId="16" borderId="9" xfId="0" applyNumberFormat="1" applyFont="1" applyFill="1" applyBorder="1" applyAlignment="1">
      <alignment horizontal="center" vertical="center" wrapText="1"/>
    </xf>
    <xf numFmtId="0" fontId="37" fillId="16" borderId="9" xfId="0" applyFont="1" applyFill="1" applyBorder="1" applyAlignment="1">
      <alignment vertical="center" wrapText="1"/>
    </xf>
    <xf numFmtId="0" fontId="37" fillId="16" borderId="8" xfId="0" applyFont="1" applyFill="1" applyBorder="1" applyAlignment="1">
      <alignment vertical="center" wrapText="1"/>
    </xf>
    <xf numFmtId="3" fontId="36" fillId="0" borderId="1" xfId="0" applyNumberFormat="1" applyFont="1" applyFill="1" applyBorder="1" applyAlignment="1" applyProtection="1">
      <alignment horizontal="center" vertical="center"/>
    </xf>
    <xf numFmtId="3" fontId="37" fillId="16" borderId="9" xfId="0" applyNumberFormat="1" applyFont="1" applyFill="1" applyBorder="1" applyAlignment="1">
      <alignment horizontal="center" vertical="center" wrapText="1"/>
    </xf>
    <xf numFmtId="3" fontId="37" fillId="16" borderId="9" xfId="0" applyNumberFormat="1" applyFont="1" applyFill="1" applyBorder="1" applyAlignment="1">
      <alignment horizontal="center" wrapText="1"/>
    </xf>
    <xf numFmtId="3" fontId="36" fillId="28" borderId="1" xfId="0" applyNumberFormat="1" applyFont="1" applyFill="1" applyBorder="1" applyAlignment="1">
      <alignment horizontal="center" vertical="center"/>
    </xf>
    <xf numFmtId="1" fontId="37" fillId="16" borderId="1" xfId="0" applyNumberFormat="1" applyFont="1" applyFill="1" applyBorder="1" applyAlignment="1">
      <alignment horizontal="center" vertical="center"/>
    </xf>
    <xf numFmtId="1" fontId="36" fillId="16" borderId="1" xfId="0" applyNumberFormat="1" applyFont="1" applyFill="1" applyBorder="1" applyAlignment="1">
      <alignment horizontal="center" vertical="center"/>
    </xf>
    <xf numFmtId="188" fontId="36" fillId="16" borderId="1" xfId="0" applyNumberFormat="1" applyFont="1" applyFill="1" applyBorder="1" applyAlignment="1">
      <alignment horizontal="center" vertical="center"/>
    </xf>
    <xf numFmtId="0" fontId="36" fillId="0" borderId="0" xfId="0" applyFont="1" applyFill="1" applyBorder="1" applyAlignment="1">
      <alignment horizontal="left" vertical="top" wrapText="1"/>
    </xf>
    <xf numFmtId="0" fontId="36" fillId="0" borderId="0" xfId="0" applyFont="1" applyFill="1" applyBorder="1" applyAlignment="1">
      <alignment horizontal="center" vertical="center" wrapText="1"/>
    </xf>
    <xf numFmtId="3" fontId="36" fillId="0" borderId="0" xfId="0" applyNumberFormat="1" applyFont="1" applyFill="1" applyBorder="1" applyAlignment="1">
      <alignment horizontal="center" vertical="center" wrapText="1"/>
    </xf>
    <xf numFmtId="188" fontId="36" fillId="0" borderId="0" xfId="0" applyNumberFormat="1" applyFont="1" applyFill="1" applyBorder="1" applyAlignment="1">
      <alignment horizontal="center" vertical="center"/>
    </xf>
    <xf numFmtId="188" fontId="36" fillId="17" borderId="1" xfId="0" applyNumberFormat="1" applyFont="1" applyFill="1" applyBorder="1" applyAlignment="1">
      <alignment horizontal="center" vertical="center" wrapText="1"/>
    </xf>
    <xf numFmtId="0" fontId="36" fillId="14" borderId="1" xfId="0" applyFont="1" applyFill="1" applyBorder="1" applyAlignment="1">
      <alignment horizontal="center" vertical="center" wrapText="1"/>
    </xf>
    <xf numFmtId="0" fontId="36" fillId="14" borderId="1" xfId="0" applyFont="1" applyFill="1" applyBorder="1" applyAlignment="1">
      <alignment vertical="center" wrapText="1"/>
    </xf>
    <xf numFmtId="0" fontId="36" fillId="17" borderId="1" xfId="0" applyFont="1" applyFill="1" applyBorder="1" applyAlignment="1">
      <alignment vertical="center" wrapText="1"/>
    </xf>
    <xf numFmtId="0" fontId="37" fillId="17" borderId="1" xfId="0" applyFont="1" applyFill="1" applyBorder="1" applyAlignment="1">
      <alignment horizontal="center" vertical="center" wrapText="1"/>
    </xf>
    <xf numFmtId="0" fontId="36" fillId="14" borderId="0" xfId="0" applyFont="1" applyFill="1"/>
    <xf numFmtId="0" fontId="36" fillId="14" borderId="1" xfId="0" applyFont="1" applyFill="1" applyBorder="1" applyAlignment="1">
      <alignment vertical="top" wrapText="1"/>
    </xf>
    <xf numFmtId="0" fontId="36" fillId="17" borderId="1" xfId="0" applyFont="1" applyFill="1" applyBorder="1" applyAlignment="1">
      <alignment horizontal="center" vertical="center" wrapText="1"/>
    </xf>
    <xf numFmtId="0" fontId="37" fillId="14" borderId="1" xfId="0" applyFont="1" applyFill="1" applyBorder="1" applyAlignment="1">
      <alignment horizontal="center" vertical="center"/>
    </xf>
    <xf numFmtId="0" fontId="36" fillId="14" borderId="0" xfId="0" applyFont="1" applyFill="1" applyAlignment="1">
      <alignment horizontal="center" vertical="center" wrapText="1"/>
    </xf>
    <xf numFmtId="0" fontId="36" fillId="0" borderId="0" xfId="0" applyFont="1" applyAlignment="1">
      <alignment vertical="center"/>
    </xf>
    <xf numFmtId="0" fontId="37" fillId="0" borderId="1" xfId="0" applyFont="1" applyFill="1" applyBorder="1" applyAlignment="1">
      <alignment horizontal="center" vertical="center"/>
    </xf>
    <xf numFmtId="188" fontId="36" fillId="0" borderId="0" xfId="0" applyNumberFormat="1" applyFont="1" applyFill="1" applyAlignment="1">
      <alignment horizontal="center" vertical="center"/>
    </xf>
    <xf numFmtId="0" fontId="36" fillId="0" borderId="1" xfId="0" applyFont="1" applyFill="1" applyBorder="1" applyAlignment="1">
      <alignment wrapText="1"/>
    </xf>
    <xf numFmtId="179" fontId="36" fillId="17" borderId="1" xfId="0" applyNumberFormat="1" applyFont="1" applyFill="1" applyBorder="1" applyAlignment="1">
      <alignment horizontal="center" vertical="center"/>
    </xf>
    <xf numFmtId="0" fontId="37" fillId="0" borderId="0" xfId="0" applyFont="1" applyFill="1" applyBorder="1" applyAlignment="1">
      <alignment horizontal="left" vertical="center" wrapText="1"/>
    </xf>
    <xf numFmtId="179" fontId="37" fillId="0" borderId="0" xfId="0" applyNumberFormat="1" applyFont="1" applyFill="1" applyBorder="1" applyAlignment="1">
      <alignment horizontal="center" vertical="center"/>
    </xf>
    <xf numFmtId="0" fontId="37" fillId="15" borderId="0" xfId="0" applyFont="1" applyFill="1" applyBorder="1" applyAlignment="1">
      <alignment horizontal="left" vertical="center" wrapText="1"/>
    </xf>
    <xf numFmtId="179" fontId="37" fillId="15" borderId="0" xfId="0" applyNumberFormat="1" applyFont="1" applyFill="1" applyBorder="1" applyAlignment="1">
      <alignment horizontal="center" vertical="center"/>
    </xf>
    <xf numFmtId="0" fontId="36" fillId="15" borderId="0" xfId="0" applyFont="1" applyFill="1" applyAlignment="1">
      <alignment horizontal="center" vertical="center"/>
    </xf>
    <xf numFmtId="188" fontId="36" fillId="15" borderId="0" xfId="0" applyNumberFormat="1" applyFont="1" applyFill="1" applyAlignment="1">
      <alignment horizontal="center" vertical="center"/>
    </xf>
    <xf numFmtId="0" fontId="36" fillId="15" borderId="0" xfId="0" applyFont="1" applyFill="1" applyAlignment="1">
      <alignment wrapText="1"/>
    </xf>
    <xf numFmtId="0" fontId="36" fillId="0" borderId="0" xfId="0" applyFont="1" applyFill="1" applyAlignment="1">
      <alignment wrapText="1"/>
    </xf>
    <xf numFmtId="0" fontId="36" fillId="15" borderId="0" xfId="0" applyFont="1" applyFill="1" applyBorder="1" applyAlignment="1">
      <alignment vertical="center"/>
    </xf>
    <xf numFmtId="0" fontId="36" fillId="15" borderId="0" xfId="0" applyFont="1" applyFill="1" applyBorder="1" applyAlignment="1">
      <alignment horizontal="center" vertical="center"/>
    </xf>
    <xf numFmtId="0" fontId="37" fillId="15" borderId="0" xfId="0" applyFont="1" applyFill="1" applyBorder="1" applyAlignment="1">
      <alignment horizontal="center" vertical="center"/>
    </xf>
    <xf numFmtId="0" fontId="37" fillId="0" borderId="1" xfId="0" applyFont="1" applyBorder="1" applyAlignment="1">
      <alignment vertical="center"/>
    </xf>
    <xf numFmtId="0" fontId="36" fillId="0" borderId="1" xfId="0" applyFont="1" applyBorder="1" applyAlignment="1">
      <alignment horizontal="center" vertical="center"/>
    </xf>
    <xf numFmtId="0" fontId="36" fillId="0" borderId="1" xfId="0" applyFont="1" applyFill="1" applyBorder="1" applyAlignment="1">
      <alignment horizontal="center" vertical="center"/>
    </xf>
    <xf numFmtId="0" fontId="36" fillId="17" borderId="1" xfId="0" applyFont="1" applyFill="1" applyBorder="1" applyAlignment="1">
      <alignment horizontal="center" vertical="center"/>
    </xf>
    <xf numFmtId="0" fontId="36" fillId="0" borderId="1" xfId="0" applyFont="1" applyBorder="1" applyAlignment="1">
      <alignment horizontal="center" vertical="center" wrapText="1"/>
    </xf>
    <xf numFmtId="0" fontId="36" fillId="0" borderId="0" xfId="0" applyFont="1" applyBorder="1" applyAlignment="1">
      <alignment horizontal="left" vertical="center" wrapText="1"/>
    </xf>
    <xf numFmtId="0" fontId="36" fillId="0" borderId="0" xfId="0" applyFont="1" applyBorder="1" applyAlignment="1">
      <alignment horizontal="center" vertical="center"/>
    </xf>
    <xf numFmtId="0" fontId="36" fillId="0" borderId="0" xfId="0" applyFont="1" applyFill="1" applyBorder="1" applyAlignment="1">
      <alignment horizontal="center" vertical="center"/>
    </xf>
    <xf numFmtId="0" fontId="36" fillId="0" borderId="1" xfId="0" applyFont="1" applyBorder="1" applyAlignment="1">
      <alignment vertical="center"/>
    </xf>
    <xf numFmtId="3" fontId="36" fillId="17" borderId="1" xfId="0" applyNumberFormat="1" applyFont="1" applyFill="1" applyBorder="1" applyAlignment="1">
      <alignment horizontal="center" vertical="center"/>
    </xf>
    <xf numFmtId="0" fontId="36" fillId="13" borderId="1" xfId="0" applyFont="1" applyFill="1" applyBorder="1" applyAlignment="1">
      <alignment horizontal="left" vertical="center" wrapText="1"/>
    </xf>
    <xf numFmtId="2" fontId="36" fillId="0" borderId="1" xfId="0" applyNumberFormat="1" applyFont="1" applyFill="1" applyBorder="1" applyAlignment="1">
      <alignment horizontal="center" vertical="center"/>
    </xf>
    <xf numFmtId="1" fontId="36" fillId="17" borderId="1" xfId="0" applyNumberFormat="1" applyFont="1" applyFill="1" applyBorder="1" applyAlignment="1">
      <alignment horizontal="center" vertical="center"/>
    </xf>
    <xf numFmtId="0" fontId="36" fillId="0" borderId="28" xfId="0" applyFont="1" applyBorder="1" applyAlignment="1">
      <alignment horizontal="left" vertical="center" wrapText="1"/>
    </xf>
    <xf numFmtId="0" fontId="37" fillId="0" borderId="1" xfId="0" applyFont="1" applyBorder="1" applyAlignment="1">
      <alignment horizontal="left" vertical="center" wrapText="1"/>
    </xf>
    <xf numFmtId="4" fontId="36" fillId="13" borderId="1" xfId="0" applyNumberFormat="1" applyFont="1" applyFill="1" applyBorder="1" applyAlignment="1">
      <alignment horizontal="left" vertical="center" wrapText="1"/>
    </xf>
    <xf numFmtId="0" fontId="37" fillId="0" borderId="1" xfId="0" applyFont="1" applyFill="1" applyBorder="1" applyAlignment="1">
      <alignment vertical="center"/>
    </xf>
    <xf numFmtId="0" fontId="36" fillId="0" borderId="0" xfId="0" applyFont="1" applyFill="1" applyAlignment="1">
      <alignment vertical="center"/>
    </xf>
    <xf numFmtId="0" fontId="36" fillId="0" borderId="0" xfId="0" applyFont="1" applyFill="1" applyBorder="1" applyAlignment="1">
      <alignment horizontal="left" vertical="center" wrapText="1"/>
    </xf>
    <xf numFmtId="0" fontId="37" fillId="0" borderId="1" xfId="0" applyFont="1" applyBorder="1" applyAlignment="1">
      <alignment vertical="center" wrapText="1"/>
    </xf>
    <xf numFmtId="3" fontId="37" fillId="0" borderId="1" xfId="0" applyNumberFormat="1" applyFont="1" applyFill="1" applyBorder="1" applyAlignment="1">
      <alignment horizontal="center" vertical="center"/>
    </xf>
    <xf numFmtId="3" fontId="37" fillId="15" borderId="1" xfId="0" applyNumberFormat="1" applyFont="1" applyFill="1" applyBorder="1" applyAlignment="1">
      <alignment horizontal="center" vertical="center"/>
    </xf>
    <xf numFmtId="0" fontId="36" fillId="0" borderId="0" xfId="98" applyFont="1" applyFill="1"/>
    <xf numFmtId="0" fontId="36" fillId="0" borderId="0" xfId="98" applyFont="1"/>
    <xf numFmtId="0" fontId="80" fillId="15" borderId="0" xfId="98" applyFont="1" applyFill="1" applyAlignment="1">
      <alignment horizontal="center" vertical="center"/>
    </xf>
    <xf numFmtId="0" fontId="36" fillId="14" borderId="0" xfId="98" applyFont="1" applyFill="1" applyBorder="1" applyAlignment="1">
      <alignment horizontal="justify" vertical="center"/>
    </xf>
    <xf numFmtId="3" fontId="36" fillId="14" borderId="0" xfId="98" applyNumberFormat="1" applyFont="1" applyFill="1" applyBorder="1" applyAlignment="1">
      <alignment horizontal="center" vertical="center" wrapText="1"/>
    </xf>
    <xf numFmtId="4" fontId="36" fillId="14" borderId="0" xfId="98" applyNumberFormat="1" applyFont="1" applyFill="1" applyBorder="1" applyAlignment="1">
      <alignment horizontal="center" vertical="center" wrapText="1"/>
    </xf>
    <xf numFmtId="0" fontId="36" fillId="0" borderId="0" xfId="98" applyFont="1" applyFill="1" applyBorder="1"/>
    <xf numFmtId="2" fontId="37" fillId="0" borderId="0" xfId="98" applyNumberFormat="1" applyFont="1" applyFill="1" applyBorder="1" applyAlignment="1">
      <alignment wrapText="1"/>
    </xf>
    <xf numFmtId="0" fontId="37" fillId="0" borderId="0" xfId="98" applyFont="1" applyFill="1" applyBorder="1" applyAlignment="1">
      <alignment horizontal="center"/>
    </xf>
    <xf numFmtId="4" fontId="36" fillId="0" borderId="0" xfId="98" applyNumberFormat="1" applyFont="1" applyFill="1" applyBorder="1"/>
    <xf numFmtId="0" fontId="36" fillId="14" borderId="0" xfId="98" applyFont="1" applyFill="1" applyAlignment="1">
      <alignment horizontal="center" vertical="center" wrapText="1"/>
    </xf>
    <xf numFmtId="0" fontId="37" fillId="15" borderId="3" xfId="98" applyFont="1" applyFill="1" applyBorder="1" applyAlignment="1">
      <alignment horizontal="center" vertical="center" wrapText="1"/>
    </xf>
    <xf numFmtId="0" fontId="36" fillId="14" borderId="0" xfId="98" applyFont="1" applyFill="1" applyBorder="1" applyAlignment="1">
      <alignment horizontal="center" vertical="center" wrapText="1"/>
    </xf>
    <xf numFmtId="0" fontId="36" fillId="0" borderId="1" xfId="98" applyFont="1" applyFill="1" applyBorder="1" applyAlignment="1">
      <alignment horizontal="left" vertical="center"/>
    </xf>
    <xf numFmtId="3" fontId="36" fillId="0" borderId="1" xfId="98" applyNumberFormat="1" applyFont="1" applyFill="1" applyBorder="1" applyAlignment="1">
      <alignment horizontal="center" vertical="center" wrapText="1"/>
    </xf>
    <xf numFmtId="0" fontId="37" fillId="0" borderId="1" xfId="98" applyFont="1" applyFill="1" applyBorder="1" applyAlignment="1">
      <alignment horizontal="left" vertical="center"/>
    </xf>
    <xf numFmtId="9" fontId="37" fillId="17" borderId="1" xfId="112" applyFont="1" applyFill="1" applyBorder="1" applyAlignment="1">
      <alignment horizontal="center" vertical="center" wrapText="1"/>
    </xf>
    <xf numFmtId="0" fontId="37" fillId="15" borderId="1" xfId="98" applyFont="1" applyFill="1" applyBorder="1" applyAlignment="1">
      <alignment horizontal="justify" vertical="center"/>
    </xf>
    <xf numFmtId="3" fontId="37" fillId="0" borderId="1" xfId="98" applyNumberFormat="1" applyFont="1" applyFill="1" applyBorder="1" applyAlignment="1">
      <alignment horizontal="center" vertical="center"/>
    </xf>
    <xf numFmtId="0" fontId="37" fillId="0" borderId="1" xfId="98" applyFont="1" applyFill="1" applyBorder="1" applyAlignment="1">
      <alignment vertical="center" wrapText="1"/>
    </xf>
    <xf numFmtId="3" fontId="37" fillId="0" borderId="1" xfId="98" applyNumberFormat="1" applyFont="1" applyFill="1" applyBorder="1" applyAlignment="1">
      <alignment horizontal="center" vertical="center" wrapText="1"/>
    </xf>
    <xf numFmtId="0" fontId="37" fillId="0" borderId="0" xfId="98" applyFont="1" applyFill="1" applyBorder="1" applyAlignment="1">
      <alignment horizontal="justify" vertical="center"/>
    </xf>
    <xf numFmtId="4" fontId="37" fillId="0" borderId="0" xfId="98" applyNumberFormat="1" applyFont="1" applyFill="1" applyBorder="1" applyAlignment="1">
      <alignment vertical="center"/>
    </xf>
    <xf numFmtId="0" fontId="37" fillId="0" borderId="1" xfId="98" applyFont="1" applyFill="1" applyBorder="1" applyAlignment="1">
      <alignment horizontal="justify" vertical="center"/>
    </xf>
    <xf numFmtId="0" fontId="36" fillId="0" borderId="0" xfId="98" applyFont="1" applyAlignment="1">
      <alignment vertical="center"/>
    </xf>
    <xf numFmtId="4" fontId="37" fillId="0" borderId="1" xfId="98" applyNumberFormat="1" applyFont="1" applyFill="1" applyBorder="1" applyAlignment="1">
      <alignment horizontal="center" vertical="center" wrapText="1"/>
    </xf>
    <xf numFmtId="0" fontId="80" fillId="14" borderId="0" xfId="98" applyFont="1" applyFill="1" applyAlignment="1">
      <alignment horizontal="center" vertical="center"/>
    </xf>
    <xf numFmtId="0" fontId="80" fillId="14" borderId="0" xfId="98" applyFont="1" applyFill="1" applyAlignment="1">
      <alignment horizontal="center" vertical="center" wrapText="1"/>
    </xf>
    <xf numFmtId="4" fontId="36" fillId="14" borderId="0" xfId="98" applyNumberFormat="1" applyFont="1" applyFill="1" applyBorder="1"/>
    <xf numFmtId="0" fontId="37" fillId="15" borderId="1" xfId="98" applyFont="1" applyFill="1" applyBorder="1" applyAlignment="1">
      <alignment horizontal="center" vertical="center" wrapText="1"/>
    </xf>
    <xf numFmtId="0" fontId="36" fillId="0" borderId="1" xfId="98" applyFont="1" applyFill="1" applyBorder="1" applyAlignment="1">
      <alignment horizontal="justify" vertical="center"/>
    </xf>
    <xf numFmtId="4" fontId="36" fillId="0" borderId="1" xfId="98" applyNumberFormat="1" applyFont="1" applyFill="1" applyBorder="1" applyAlignment="1">
      <alignment horizontal="center" vertical="center" wrapText="1"/>
    </xf>
    <xf numFmtId="0" fontId="36" fillId="0" borderId="1" xfId="98" applyFont="1" applyFill="1" applyBorder="1" applyAlignment="1">
      <alignment horizontal="left" vertical="center" wrapText="1"/>
    </xf>
    <xf numFmtId="4" fontId="37" fillId="15" borderId="1" xfId="98" applyNumberFormat="1" applyFont="1" applyFill="1" applyBorder="1" applyAlignment="1">
      <alignment horizontal="left" vertical="center" wrapText="1"/>
    </xf>
    <xf numFmtId="4" fontId="37" fillId="15" borderId="1" xfId="98" applyNumberFormat="1" applyFont="1" applyFill="1" applyBorder="1" applyAlignment="1">
      <alignment horizontal="center" vertical="center" wrapText="1"/>
    </xf>
    <xf numFmtId="3" fontId="37" fillId="15" borderId="1" xfId="98" applyNumberFormat="1" applyFont="1" applyFill="1" applyBorder="1" applyAlignment="1">
      <alignment horizontal="center" vertical="center" wrapText="1"/>
    </xf>
    <xf numFmtId="9" fontId="37" fillId="0" borderId="1" xfId="112" applyFont="1" applyFill="1" applyBorder="1" applyAlignment="1">
      <alignment horizontal="center" vertical="center" wrapText="1"/>
    </xf>
    <xf numFmtId="0" fontId="36" fillId="0" borderId="0" xfId="98" applyFont="1" applyAlignment="1">
      <alignment horizontal="center" vertical="center" wrapText="1"/>
    </xf>
    <xf numFmtId="0" fontId="37" fillId="14" borderId="0" xfId="98" applyFont="1" applyFill="1" applyBorder="1" applyAlignment="1">
      <alignment horizontal="justify" vertical="center"/>
    </xf>
    <xf numFmtId="4" fontId="37" fillId="14" borderId="0" xfId="98" applyNumberFormat="1" applyFont="1" applyFill="1" applyBorder="1" applyAlignment="1">
      <alignment horizontal="center" vertical="center" wrapText="1"/>
    </xf>
    <xf numFmtId="0" fontId="36" fillId="0" borderId="0" xfId="98" applyFont="1" applyBorder="1"/>
    <xf numFmtId="3" fontId="36" fillId="13" borderId="0" xfId="98" applyNumberFormat="1" applyFont="1" applyFill="1" applyBorder="1" applyAlignment="1">
      <alignment horizontal="center" vertical="center" wrapText="1"/>
    </xf>
    <xf numFmtId="4" fontId="36" fillId="13" borderId="0" xfId="98" applyNumberFormat="1" applyFont="1" applyFill="1" applyBorder="1" applyAlignment="1">
      <alignment horizontal="center" vertical="center" wrapText="1"/>
    </xf>
    <xf numFmtId="0" fontId="36" fillId="13" borderId="0" xfId="98" applyFont="1" applyFill="1" applyBorder="1" applyAlignment="1">
      <alignment horizontal="justify" vertical="center"/>
    </xf>
    <xf numFmtId="175" fontId="36" fillId="13" borderId="0" xfId="98" applyNumberFormat="1" applyFont="1" applyFill="1" applyBorder="1" applyAlignment="1">
      <alignment horizontal="center" vertical="center" wrapText="1"/>
    </xf>
    <xf numFmtId="165" fontId="36" fillId="13" borderId="0" xfId="98" applyNumberFormat="1" applyFont="1" applyFill="1" applyBorder="1" applyAlignment="1">
      <alignment horizontal="center" vertical="center" wrapText="1"/>
    </xf>
    <xf numFmtId="172" fontId="36" fillId="0" borderId="0" xfId="98" applyNumberFormat="1" applyFont="1"/>
    <xf numFmtId="9" fontId="37" fillId="13" borderId="0" xfId="98" applyNumberFormat="1" applyFont="1" applyFill="1" applyBorder="1" applyAlignment="1">
      <alignment horizontal="center" vertical="center" wrapText="1"/>
    </xf>
    <xf numFmtId="0" fontId="80" fillId="14" borderId="0" xfId="98" applyFont="1" applyFill="1" applyBorder="1" applyAlignment="1">
      <alignment horizontal="center" vertical="center"/>
    </xf>
    <xf numFmtId="0" fontId="80" fillId="14" borderId="0" xfId="98" applyFont="1" applyFill="1" applyBorder="1" applyAlignment="1">
      <alignment horizontal="center" vertical="center" wrapText="1"/>
    </xf>
    <xf numFmtId="4" fontId="37" fillId="0" borderId="0" xfId="98" applyNumberFormat="1" applyFont="1" applyFill="1" applyBorder="1" applyAlignment="1">
      <alignment horizontal="center" vertical="center" wrapText="1"/>
    </xf>
    <xf numFmtId="4" fontId="36" fillId="0" borderId="0" xfId="98" applyNumberFormat="1" applyFont="1" applyFill="1" applyBorder="1" applyAlignment="1">
      <alignment horizontal="center" vertical="center" wrapText="1"/>
    </xf>
    <xf numFmtId="0" fontId="36" fillId="0" borderId="0" xfId="98" applyFont="1" applyFill="1" applyBorder="1" applyAlignment="1">
      <alignment horizontal="center" vertical="center" wrapText="1"/>
    </xf>
    <xf numFmtId="9" fontId="37" fillId="0" borderId="0" xfId="98" applyNumberFormat="1" applyFont="1" applyFill="1" applyBorder="1" applyAlignment="1">
      <alignment horizontal="center" vertical="center" wrapText="1"/>
    </xf>
    <xf numFmtId="9" fontId="81" fillId="0" borderId="0" xfId="98" applyNumberFormat="1" applyFont="1" applyFill="1" applyBorder="1" applyAlignment="1">
      <alignment horizontal="left" vertical="center" wrapText="1"/>
    </xf>
    <xf numFmtId="2" fontId="37" fillId="0" borderId="0" xfId="98" applyNumberFormat="1" applyFont="1" applyFill="1" applyBorder="1" applyAlignment="1">
      <alignment horizontal="center" vertical="center" wrapText="1"/>
    </xf>
    <xf numFmtId="165" fontId="36" fillId="0" borderId="0" xfId="98" applyNumberFormat="1" applyFont="1" applyFill="1" applyBorder="1" applyAlignment="1">
      <alignment horizontal="center" vertical="center" wrapText="1"/>
    </xf>
    <xf numFmtId="0" fontId="36" fillId="0" borderId="0" xfId="98" applyFont="1" applyBorder="1" applyAlignment="1">
      <alignment horizontal="center" vertical="center" wrapText="1"/>
    </xf>
    <xf numFmtId="0" fontId="36" fillId="0" borderId="0" xfId="109" applyFont="1" applyBorder="1"/>
    <xf numFmtId="1" fontId="36" fillId="0" borderId="0" xfId="109" applyNumberFormat="1" applyFont="1" applyBorder="1" applyAlignment="1">
      <alignment horizontal="center"/>
    </xf>
    <xf numFmtId="2" fontId="36" fillId="0" borderId="0" xfId="109" applyNumberFormat="1" applyFont="1" applyBorder="1" applyAlignment="1">
      <alignment horizontal="center"/>
    </xf>
    <xf numFmtId="2" fontId="36" fillId="0" borderId="0" xfId="109" applyNumberFormat="1" applyFont="1" applyFill="1" applyBorder="1" applyAlignment="1">
      <alignment horizontal="center"/>
    </xf>
    <xf numFmtId="9" fontId="37" fillId="0" borderId="0" xfId="98" applyNumberFormat="1" applyFont="1" applyFill="1" applyBorder="1" applyAlignment="1">
      <alignment horizontal="left" vertical="center" wrapText="1"/>
    </xf>
    <xf numFmtId="3" fontId="36" fillId="0" borderId="0" xfId="98" applyNumberFormat="1" applyFont="1" applyFill="1" applyBorder="1" applyAlignment="1">
      <alignment horizontal="center" vertical="center" wrapText="1"/>
    </xf>
    <xf numFmtId="0" fontId="36" fillId="0" borderId="1" xfId="98" applyFont="1" applyFill="1" applyBorder="1" applyAlignment="1">
      <alignment horizontal="center" vertical="center" wrapText="1"/>
    </xf>
    <xf numFmtId="4" fontId="36" fillId="0" borderId="0" xfId="98" applyNumberFormat="1" applyFont="1" applyAlignment="1">
      <alignment horizontal="center" vertical="center" wrapText="1"/>
    </xf>
    <xf numFmtId="3" fontId="36" fillId="0" borderId="0" xfId="98" applyNumberFormat="1" applyFont="1" applyAlignment="1">
      <alignment horizontal="center" vertical="center" wrapText="1"/>
    </xf>
    <xf numFmtId="1" fontId="37" fillId="0" borderId="0" xfId="109" applyNumberFormat="1" applyFont="1" applyBorder="1" applyAlignment="1">
      <alignment horizontal="center"/>
    </xf>
    <xf numFmtId="9" fontId="36" fillId="0" borderId="0" xfId="117" applyFont="1" applyFill="1" applyBorder="1" applyAlignment="1">
      <alignment horizontal="center"/>
    </xf>
    <xf numFmtId="2" fontId="36" fillId="0" borderId="0" xfId="98" applyNumberFormat="1" applyFont="1" applyFill="1" applyBorder="1"/>
    <xf numFmtId="2" fontId="36" fillId="0" borderId="0" xfId="98" applyNumberFormat="1" applyFont="1" applyFill="1"/>
    <xf numFmtId="0" fontId="36" fillId="0" borderId="0" xfId="98" applyFont="1" applyFill="1" applyAlignment="1">
      <alignment horizontal="center" vertical="center" wrapText="1"/>
    </xf>
    <xf numFmtId="164" fontId="37" fillId="0" borderId="0" xfId="98" applyNumberFormat="1" applyFont="1" applyBorder="1"/>
    <xf numFmtId="1" fontId="36" fillId="0" borderId="0" xfId="98" applyNumberFormat="1" applyFont="1" applyAlignment="1">
      <alignment horizontal="center" vertical="center" wrapText="1"/>
    </xf>
    <xf numFmtId="1" fontId="36" fillId="0" borderId="0" xfId="98" applyNumberFormat="1" applyFont="1" applyFill="1" applyAlignment="1">
      <alignment horizontal="center" vertical="center" wrapText="1"/>
    </xf>
    <xf numFmtId="9" fontId="36" fillId="0" borderId="0" xfId="117" applyFont="1" applyBorder="1" applyAlignment="1">
      <alignment horizontal="center"/>
    </xf>
    <xf numFmtId="9" fontId="37" fillId="0" borderId="0" xfId="98" applyNumberFormat="1" applyFont="1" applyFill="1" applyBorder="1" applyAlignment="1">
      <alignment vertical="center"/>
    </xf>
    <xf numFmtId="0" fontId="37" fillId="0" borderId="0" xfId="98" applyFont="1" applyFill="1" applyBorder="1" applyAlignment="1">
      <alignment horizontal="center" vertical="center" wrapText="1"/>
    </xf>
    <xf numFmtId="9" fontId="36" fillId="0" borderId="0" xfId="98" applyNumberFormat="1" applyFont="1" applyAlignment="1">
      <alignment vertical="center"/>
    </xf>
    <xf numFmtId="9" fontId="36" fillId="17" borderId="1" xfId="98" applyNumberFormat="1" applyFont="1" applyFill="1" applyBorder="1" applyAlignment="1">
      <alignment horizontal="center" vertical="center" wrapText="1"/>
    </xf>
    <xf numFmtId="3" fontId="36" fillId="0" borderId="1" xfId="98" applyNumberFormat="1" applyFont="1" applyBorder="1" applyAlignment="1">
      <alignment horizontal="center" vertical="center" wrapText="1"/>
    </xf>
    <xf numFmtId="1" fontId="36" fillId="0" borderId="1" xfId="98" applyNumberFormat="1" applyFont="1" applyBorder="1" applyAlignment="1">
      <alignment horizontal="center" vertical="center" wrapText="1"/>
    </xf>
    <xf numFmtId="1" fontId="36" fillId="0" borderId="0" xfId="98" applyNumberFormat="1" applyFont="1" applyFill="1" applyBorder="1" applyAlignment="1">
      <alignment horizontal="center" vertical="center" wrapText="1"/>
    </xf>
    <xf numFmtId="9" fontId="36" fillId="0" borderId="1" xfId="98" applyNumberFormat="1" applyFont="1" applyBorder="1" applyAlignment="1">
      <alignment horizontal="center" vertical="center" wrapText="1"/>
    </xf>
    <xf numFmtId="9" fontId="36" fillId="0" borderId="0" xfId="98" applyNumberFormat="1" applyFont="1" applyBorder="1" applyAlignment="1">
      <alignment horizontal="center" vertical="center" wrapText="1"/>
    </xf>
    <xf numFmtId="3" fontId="36" fillId="0" borderId="0" xfId="98" applyNumberFormat="1" applyFont="1" applyBorder="1" applyAlignment="1">
      <alignment horizontal="center" vertical="center" wrapText="1"/>
    </xf>
    <xf numFmtId="1" fontId="36" fillId="0" borderId="0" xfId="98" applyNumberFormat="1" applyFont="1" applyBorder="1" applyAlignment="1">
      <alignment horizontal="center" vertical="center" wrapText="1"/>
    </xf>
    <xf numFmtId="172" fontId="36" fillId="0" borderId="1" xfId="98" applyNumberFormat="1" applyFont="1" applyBorder="1" applyAlignment="1">
      <alignment horizontal="center" vertical="center" wrapText="1"/>
    </xf>
    <xf numFmtId="0" fontId="36" fillId="13" borderId="0" xfId="98" applyFont="1" applyFill="1" applyBorder="1" applyAlignment="1">
      <alignment horizontal="justify"/>
    </xf>
    <xf numFmtId="3" fontId="36" fillId="14" borderId="0" xfId="98" applyNumberFormat="1" applyFont="1" applyFill="1" applyBorder="1"/>
    <xf numFmtId="4" fontId="36" fillId="13" borderId="0" xfId="98" applyNumberFormat="1" applyFont="1" applyFill="1" applyBorder="1"/>
    <xf numFmtId="9" fontId="37" fillId="13" borderId="0" xfId="98" applyNumberFormat="1" applyFont="1" applyFill="1" applyBorder="1" applyAlignment="1"/>
    <xf numFmtId="0" fontId="37" fillId="15" borderId="1" xfId="98" applyFont="1" applyFill="1" applyBorder="1" applyAlignment="1">
      <alignment horizontal="center" vertical="top" wrapText="1"/>
    </xf>
    <xf numFmtId="0" fontId="36" fillId="0" borderId="2" xfId="98" applyFont="1" applyFill="1" applyBorder="1" applyAlignment="1">
      <alignment horizontal="left" vertical="center"/>
    </xf>
    <xf numFmtId="4" fontId="36" fillId="0" borderId="2" xfId="98" applyNumberFormat="1" applyFont="1" applyFill="1" applyBorder="1" applyAlignment="1">
      <alignment horizontal="center" vertical="center"/>
    </xf>
    <xf numFmtId="3" fontId="36" fillId="0" borderId="2" xfId="98" applyNumberFormat="1" applyFont="1" applyFill="1" applyBorder="1" applyAlignment="1">
      <alignment horizontal="center" vertical="center"/>
    </xf>
    <xf numFmtId="3" fontId="36" fillId="0" borderId="1" xfId="98" applyNumberFormat="1" applyFont="1" applyFill="1" applyBorder="1" applyAlignment="1">
      <alignment horizontal="center" vertical="center"/>
    </xf>
    <xf numFmtId="2" fontId="36" fillId="0" borderId="0" xfId="98" applyNumberFormat="1" applyFont="1" applyBorder="1"/>
    <xf numFmtId="2" fontId="36" fillId="0" borderId="0" xfId="98" applyNumberFormat="1" applyFont="1"/>
    <xf numFmtId="4" fontId="36" fillId="0" borderId="1" xfId="98" applyNumberFormat="1" applyFont="1" applyFill="1" applyBorder="1" applyAlignment="1">
      <alignment horizontal="center" vertical="center"/>
    </xf>
    <xf numFmtId="4" fontId="37" fillId="15" borderId="1" xfId="98" applyNumberFormat="1" applyFont="1" applyFill="1" applyBorder="1" applyAlignment="1">
      <alignment horizontal="center" vertical="center"/>
    </xf>
    <xf numFmtId="0" fontId="36" fillId="13" borderId="0" xfId="98" applyFont="1" applyFill="1" applyAlignment="1">
      <alignment vertical="center"/>
    </xf>
    <xf numFmtId="0" fontId="36" fillId="13" borderId="0" xfId="98" applyFont="1" applyFill="1"/>
    <xf numFmtId="0" fontId="37" fillId="13" borderId="0" xfId="98" applyFont="1" applyFill="1"/>
    <xf numFmtId="9" fontId="37" fillId="0" borderId="0" xfId="98" applyNumberFormat="1" applyFont="1" applyFill="1" applyBorder="1" applyAlignment="1"/>
    <xf numFmtId="169" fontId="36" fillId="0" borderId="1" xfId="98" applyNumberFormat="1" applyFont="1" applyFill="1" applyBorder="1" applyAlignment="1">
      <alignment horizontal="center"/>
    </xf>
    <xf numFmtId="0" fontId="36" fillId="0" borderId="1" xfId="98" applyFont="1" applyFill="1" applyBorder="1" applyAlignment="1">
      <alignment horizontal="center"/>
    </xf>
    <xf numFmtId="173" fontId="36" fillId="0" borderId="1" xfId="98" applyNumberFormat="1" applyFont="1" applyFill="1" applyBorder="1" applyAlignment="1">
      <alignment horizontal="center"/>
    </xf>
    <xf numFmtId="2" fontId="36" fillId="0" borderId="1" xfId="98" applyNumberFormat="1" applyFont="1" applyFill="1" applyBorder="1" applyAlignment="1">
      <alignment horizontal="center"/>
    </xf>
    <xf numFmtId="2" fontId="36" fillId="0" borderId="3" xfId="98" applyNumberFormat="1" applyFont="1" applyFill="1" applyBorder="1" applyAlignment="1">
      <alignment horizontal="center"/>
    </xf>
    <xf numFmtId="0" fontId="36" fillId="0" borderId="4" xfId="98" applyFont="1" applyFill="1" applyBorder="1" applyAlignment="1">
      <alignment horizontal="left"/>
    </xf>
    <xf numFmtId="0" fontId="36" fillId="0" borderId="5" xfId="98" applyFont="1" applyFill="1" applyBorder="1" applyAlignment="1">
      <alignment horizontal="left"/>
    </xf>
    <xf numFmtId="2" fontId="36" fillId="0" borderId="6" xfId="98" applyNumberFormat="1" applyFont="1" applyFill="1" applyBorder="1" applyAlignment="1">
      <alignment horizontal="center"/>
    </xf>
    <xf numFmtId="0" fontId="36" fillId="0" borderId="7" xfId="98" applyFont="1" applyFill="1" applyBorder="1" applyAlignment="1">
      <alignment horizontal="center"/>
    </xf>
    <xf numFmtId="0" fontId="36" fillId="0" borderId="8" xfId="98" applyFont="1" applyFill="1" applyBorder="1" applyAlignment="1">
      <alignment horizontal="center"/>
    </xf>
    <xf numFmtId="0" fontId="37" fillId="0" borderId="7" xfId="98" applyFont="1" applyFill="1" applyBorder="1" applyAlignment="1">
      <alignment horizontal="left"/>
    </xf>
    <xf numFmtId="0" fontId="36" fillId="0" borderId="9" xfId="98" applyFont="1" applyFill="1" applyBorder="1"/>
    <xf numFmtId="164" fontId="36" fillId="0" borderId="8" xfId="98" applyNumberFormat="1" applyFont="1" applyFill="1" applyBorder="1"/>
    <xf numFmtId="2" fontId="37" fillId="15" borderId="7" xfId="98" applyNumberFormat="1" applyFont="1" applyFill="1" applyBorder="1" applyAlignment="1">
      <alignment vertical="center"/>
    </xf>
    <xf numFmtId="2" fontId="37" fillId="15" borderId="8" xfId="98" applyNumberFormat="1" applyFont="1" applyFill="1" applyBorder="1" applyAlignment="1">
      <alignment vertical="center"/>
    </xf>
    <xf numFmtId="0" fontId="36" fillId="15" borderId="0" xfId="98" applyFont="1" applyFill="1"/>
    <xf numFmtId="0" fontId="36" fillId="15" borderId="0" xfId="98" applyFont="1" applyFill="1" applyAlignment="1">
      <alignment vertical="center"/>
    </xf>
    <xf numFmtId="0" fontId="36" fillId="15" borderId="0" xfId="98" applyFont="1" applyFill="1" applyAlignment="1">
      <alignment horizontal="center" vertical="center" wrapText="1"/>
    </xf>
    <xf numFmtId="0" fontId="43" fillId="0" borderId="0" xfId="0" applyFont="1" applyFill="1" applyBorder="1" applyAlignment="1"/>
    <xf numFmtId="0" fontId="44" fillId="0" borderId="0" xfId="0" applyFont="1" applyFill="1" applyAlignment="1">
      <alignment horizontal="center"/>
    </xf>
    <xf numFmtId="171" fontId="43" fillId="0" borderId="0" xfId="112" applyNumberFormat="1" applyFont="1" applyFill="1"/>
    <xf numFmtId="9" fontId="43" fillId="0" borderId="0" xfId="112" applyFont="1" applyFill="1"/>
    <xf numFmtId="0" fontId="44" fillId="15" borderId="0" xfId="0" applyFont="1" applyFill="1" applyAlignment="1">
      <alignment horizontal="center" vertical="center" wrapText="1"/>
    </xf>
    <xf numFmtId="177" fontId="43" fillId="0" borderId="0" xfId="112" applyNumberFormat="1" applyFont="1" applyFill="1"/>
    <xf numFmtId="3" fontId="43" fillId="0" borderId="1" xfId="0" applyNumberFormat="1" applyFont="1" applyFill="1" applyBorder="1"/>
    <xf numFmtId="3" fontId="43" fillId="0" borderId="0" xfId="0" applyNumberFormat="1" applyFont="1" applyFill="1" applyAlignment="1">
      <alignment vertical="center"/>
    </xf>
    <xf numFmtId="9" fontId="43" fillId="0" borderId="0" xfId="112" applyFont="1" applyFill="1" applyAlignment="1">
      <alignment vertical="center"/>
    </xf>
    <xf numFmtId="0" fontId="44" fillId="0" borderId="0" xfId="0" applyFont="1" applyFill="1" applyBorder="1" applyAlignment="1"/>
    <xf numFmtId="0" fontId="44" fillId="0" borderId="0" xfId="0" applyFont="1" applyFill="1" applyAlignment="1"/>
    <xf numFmtId="0" fontId="43" fillId="0" borderId="1" xfId="0" applyFont="1" applyFill="1" applyBorder="1" applyAlignment="1"/>
    <xf numFmtId="3" fontId="43" fillId="0" borderId="0" xfId="0" applyNumberFormat="1" applyFont="1" applyFill="1" applyAlignment="1"/>
    <xf numFmtId="10" fontId="44" fillId="0" borderId="1" xfId="0" applyNumberFormat="1" applyFont="1" applyFill="1" applyBorder="1" applyAlignment="1">
      <alignment horizontal="center" vertical="center"/>
    </xf>
    <xf numFmtId="0" fontId="44" fillId="15" borderId="1" xfId="0" applyFont="1" applyFill="1" applyBorder="1" applyAlignment="1">
      <alignment vertical="center" wrapText="1"/>
    </xf>
    <xf numFmtId="0" fontId="43" fillId="0" borderId="0" xfId="0" applyFont="1" applyFill="1" applyAlignment="1">
      <alignment horizontal="right" vertical="top" wrapText="1"/>
    </xf>
    <xf numFmtId="10" fontId="44" fillId="0" borderId="0" xfId="0" applyNumberFormat="1" applyFont="1" applyFill="1" applyBorder="1" applyAlignment="1">
      <alignment horizontal="center" vertical="center"/>
    </xf>
    <xf numFmtId="0" fontId="44" fillId="0" borderId="1" xfId="0" applyFont="1" applyFill="1" applyBorder="1" applyAlignment="1">
      <alignment vertical="center"/>
    </xf>
    <xf numFmtId="0" fontId="43" fillId="0" borderId="1" xfId="0" applyFont="1" applyFill="1" applyBorder="1" applyAlignment="1">
      <alignment vertical="center"/>
    </xf>
    <xf numFmtId="0" fontId="43" fillId="15" borderId="0" xfId="0" applyFont="1" applyFill="1" applyBorder="1" applyAlignment="1">
      <alignment vertical="center"/>
    </xf>
    <xf numFmtId="0" fontId="43" fillId="15" borderId="0" xfId="0" applyFont="1" applyFill="1" applyBorder="1" applyAlignment="1">
      <alignment horizontal="center" vertical="center"/>
    </xf>
    <xf numFmtId="0" fontId="79" fillId="15" borderId="0" xfId="98" applyFont="1" applyFill="1" applyAlignment="1">
      <alignment vertical="center"/>
    </xf>
    <xf numFmtId="0" fontId="55" fillId="14" borderId="0" xfId="0" applyFont="1" applyFill="1" applyBorder="1" applyAlignment="1" applyProtection="1"/>
    <xf numFmtId="0" fontId="55" fillId="14" borderId="0" xfId="0" applyFont="1" applyFill="1" applyAlignment="1" applyProtection="1"/>
    <xf numFmtId="0" fontId="55" fillId="14" borderId="0" xfId="0" applyFont="1" applyFill="1" applyBorder="1" applyAlignment="1" applyProtection="1">
      <alignment horizontal="center"/>
    </xf>
    <xf numFmtId="0" fontId="56" fillId="14" borderId="0" xfId="0" applyFont="1" applyFill="1" applyBorder="1" applyAlignment="1" applyProtection="1">
      <alignment horizontal="left" vertical="center" wrapText="1"/>
    </xf>
    <xf numFmtId="0" fontId="55" fillId="14" borderId="0" xfId="0" applyFont="1" applyFill="1" applyBorder="1" applyAlignment="1" applyProtection="1">
      <alignment horizontal="center" vertical="center" wrapText="1"/>
    </xf>
    <xf numFmtId="0" fontId="55" fillId="14" borderId="0" xfId="0" applyFont="1" applyFill="1" applyBorder="1" applyAlignment="1" applyProtection="1">
      <alignment horizontal="left" vertical="center" wrapText="1"/>
    </xf>
    <xf numFmtId="0" fontId="56" fillId="14" borderId="0" xfId="0" applyFont="1" applyFill="1" applyBorder="1" applyAlignment="1" applyProtection="1">
      <alignment horizontal="center" vertical="center" wrapText="1"/>
    </xf>
    <xf numFmtId="0" fontId="55" fillId="14" borderId="0" xfId="0" applyFont="1" applyFill="1" applyBorder="1" applyAlignment="1" applyProtection="1">
      <alignment horizontal="center" vertical="center"/>
    </xf>
    <xf numFmtId="0" fontId="55" fillId="14" borderId="0" xfId="0" applyFont="1" applyFill="1" applyBorder="1" applyAlignment="1" applyProtection="1">
      <alignment horizontal="left" vertical="center"/>
    </xf>
    <xf numFmtId="0" fontId="37" fillId="15" borderId="1" xfId="0" applyFont="1" applyFill="1" applyBorder="1" applyAlignment="1">
      <alignment horizontal="center" vertical="center"/>
    </xf>
    <xf numFmtId="0" fontId="43" fillId="20" borderId="0" xfId="0" applyFont="1" applyFill="1" applyBorder="1" applyAlignment="1" applyProtection="1">
      <alignment horizontal="center" vertical="center" wrapText="1"/>
    </xf>
    <xf numFmtId="0" fontId="44" fillId="20" borderId="0" xfId="0" applyFont="1" applyFill="1" applyBorder="1" applyAlignment="1" applyProtection="1">
      <alignment vertical="center" wrapText="1"/>
    </xf>
    <xf numFmtId="49" fontId="43" fillId="14" borderId="0" xfId="0" applyNumberFormat="1" applyFont="1" applyFill="1" applyBorder="1" applyAlignment="1" applyProtection="1">
      <alignment horizontal="right" vertical="center"/>
    </xf>
    <xf numFmtId="49" fontId="55" fillId="14" borderId="0" xfId="0" applyNumberFormat="1" applyFont="1" applyFill="1" applyBorder="1" applyAlignment="1" applyProtection="1">
      <alignment vertical="center"/>
    </xf>
    <xf numFmtId="0" fontId="55" fillId="0" borderId="1" xfId="0" applyFont="1" applyFill="1" applyBorder="1" applyAlignment="1" applyProtection="1">
      <alignment vertical="center" wrapText="1"/>
    </xf>
    <xf numFmtId="0" fontId="78" fillId="15" borderId="0" xfId="0" applyFont="1" applyFill="1" applyAlignment="1">
      <alignment horizontal="center" vertical="center"/>
    </xf>
    <xf numFmtId="0" fontId="78" fillId="15" borderId="0" xfId="0" applyFont="1" applyFill="1" applyAlignment="1">
      <alignment vertical="center"/>
    </xf>
    <xf numFmtId="3" fontId="44" fillId="23" borderId="0" xfId="0" applyNumberFormat="1" applyFont="1" applyFill="1" applyAlignment="1">
      <alignment horizontal="center" vertical="center"/>
    </xf>
    <xf numFmtId="0" fontId="55" fillId="14" borderId="7" xfId="0" applyFont="1" applyFill="1" applyBorder="1" applyAlignment="1" applyProtection="1">
      <alignment horizontal="left" vertical="center"/>
    </xf>
    <xf numFmtId="0" fontId="55" fillId="14" borderId="9" xfId="0" applyFont="1" applyFill="1" applyBorder="1" applyAlignment="1" applyProtection="1">
      <alignment horizontal="left" vertical="center"/>
    </xf>
    <xf numFmtId="0" fontId="55" fillId="14" borderId="8" xfId="0" applyFont="1" applyFill="1" applyBorder="1" applyAlignment="1" applyProtection="1">
      <alignment horizontal="left" vertical="center"/>
    </xf>
    <xf numFmtId="0" fontId="55" fillId="17" borderId="7" xfId="0" applyFont="1" applyFill="1" applyBorder="1" applyAlignment="1" applyProtection="1">
      <alignment horizontal="center" vertical="center"/>
      <protection locked="0"/>
    </xf>
    <xf numFmtId="0" fontId="55" fillId="17" borderId="9" xfId="0" applyFont="1" applyFill="1" applyBorder="1" applyAlignment="1" applyProtection="1">
      <alignment horizontal="center" vertical="center"/>
      <protection locked="0"/>
    </xf>
    <xf numFmtId="0" fontId="55" fillId="17" borderId="8" xfId="0" applyFont="1" applyFill="1" applyBorder="1" applyAlignment="1" applyProtection="1">
      <alignment horizontal="center" vertical="center"/>
      <protection locked="0"/>
    </xf>
    <xf numFmtId="0" fontId="55" fillId="17" borderId="1" xfId="0" applyFont="1" applyFill="1" applyBorder="1" applyAlignment="1" applyProtection="1">
      <alignment horizontal="left" vertical="center" wrapText="1"/>
    </xf>
    <xf numFmtId="0" fontId="55" fillId="17" borderId="1" xfId="0" applyFont="1" applyFill="1" applyBorder="1" applyAlignment="1" applyProtection="1">
      <alignment horizontal="left" vertical="center" wrapText="1"/>
      <protection locked="0"/>
    </xf>
    <xf numFmtId="0" fontId="56" fillId="14" borderId="7" xfId="0" applyFont="1" applyFill="1" applyBorder="1" applyAlignment="1" applyProtection="1">
      <alignment horizontal="center" vertical="center" wrapText="1"/>
    </xf>
    <xf numFmtId="0" fontId="56" fillId="14" borderId="9" xfId="0" applyFont="1" applyFill="1" applyBorder="1" applyAlignment="1" applyProtection="1">
      <alignment horizontal="center" vertical="center" wrapText="1"/>
    </xf>
    <xf numFmtId="0" fontId="56" fillId="14" borderId="9" xfId="0" applyFont="1" applyFill="1" applyBorder="1" applyAlignment="1" applyProtection="1">
      <alignment vertical="center"/>
    </xf>
    <xf numFmtId="0" fontId="56" fillId="14" borderId="8" xfId="0" applyFont="1" applyFill="1" applyBorder="1" applyAlignment="1" applyProtection="1">
      <alignment vertical="center"/>
    </xf>
    <xf numFmtId="0" fontId="56" fillId="14" borderId="9" xfId="0" applyFont="1" applyFill="1" applyBorder="1" applyAlignment="1" applyProtection="1">
      <alignment vertical="center" wrapText="1"/>
    </xf>
    <xf numFmtId="0" fontId="56" fillId="14" borderId="8" xfId="0" applyFont="1" applyFill="1" applyBorder="1" applyAlignment="1" applyProtection="1">
      <alignment vertical="center" wrapText="1"/>
    </xf>
    <xf numFmtId="0" fontId="55" fillId="0" borderId="7" xfId="0" applyFont="1" applyFill="1" applyBorder="1" applyAlignment="1" applyProtection="1">
      <alignment horizontal="center" vertical="center" wrapText="1"/>
    </xf>
    <xf numFmtId="0" fontId="55" fillId="0" borderId="9" xfId="0" applyFont="1" applyFill="1" applyBorder="1" applyAlignment="1" applyProtection="1">
      <alignment horizontal="center" vertical="center" wrapText="1"/>
    </xf>
    <xf numFmtId="0" fontId="55" fillId="0" borderId="9" xfId="0" applyFont="1" applyFill="1" applyBorder="1" applyAlignment="1" applyProtection="1">
      <alignment vertical="center"/>
    </xf>
    <xf numFmtId="0" fontId="55" fillId="0" borderId="8" xfId="0" applyFont="1" applyFill="1" applyBorder="1" applyAlignment="1" applyProtection="1">
      <alignment vertical="center"/>
    </xf>
    <xf numFmtId="0" fontId="55" fillId="14" borderId="7" xfId="0" applyFont="1" applyFill="1" applyBorder="1" applyAlignment="1" applyProtection="1">
      <alignment horizontal="center" vertical="center" wrapText="1"/>
    </xf>
    <xf numFmtId="0" fontId="55" fillId="14" borderId="9" xfId="0" applyFont="1" applyFill="1" applyBorder="1" applyAlignment="1" applyProtection="1">
      <alignment horizontal="center" vertical="center" wrapText="1"/>
    </xf>
    <xf numFmtId="0" fontId="55" fillId="14" borderId="9" xfId="0" applyFont="1" applyFill="1" applyBorder="1" applyAlignment="1" applyProtection="1">
      <alignment vertical="center" wrapText="1"/>
    </xf>
    <xf numFmtId="0" fontId="55" fillId="14" borderId="8" xfId="0" applyFont="1" applyFill="1" applyBorder="1" applyAlignment="1" applyProtection="1">
      <alignment vertical="center" wrapText="1"/>
    </xf>
    <xf numFmtId="0" fontId="56" fillId="14" borderId="8" xfId="0" applyFont="1" applyFill="1" applyBorder="1" applyAlignment="1" applyProtection="1">
      <alignment horizontal="center" vertical="center" wrapText="1"/>
    </xf>
    <xf numFmtId="0" fontId="55" fillId="0" borderId="7" xfId="0" applyFont="1" applyFill="1" applyBorder="1" applyAlignment="1">
      <alignment horizontal="left" vertical="center" wrapText="1"/>
    </xf>
    <xf numFmtId="0" fontId="55" fillId="0" borderId="9" xfId="0" applyFont="1" applyFill="1" applyBorder="1" applyAlignment="1">
      <alignment horizontal="left" vertical="center" wrapText="1"/>
    </xf>
    <xf numFmtId="0" fontId="55" fillId="0" borderId="8" xfId="0" applyFont="1" applyFill="1" applyBorder="1" applyAlignment="1">
      <alignment horizontal="left" vertical="center" wrapText="1"/>
    </xf>
    <xf numFmtId="0" fontId="55" fillId="14" borderId="7" xfId="0" applyFont="1" applyFill="1" applyBorder="1" applyAlignment="1">
      <alignment horizontal="left" vertical="center" wrapText="1"/>
    </xf>
    <xf numFmtId="0" fontId="55" fillId="14" borderId="9" xfId="0" applyFont="1" applyFill="1" applyBorder="1" applyAlignment="1">
      <alignment horizontal="left" vertical="center" wrapText="1"/>
    </xf>
    <xf numFmtId="0" fontId="55" fillId="14" borderId="8" xfId="0" applyFont="1" applyFill="1" applyBorder="1" applyAlignment="1">
      <alignment horizontal="left" vertical="center" wrapText="1"/>
    </xf>
    <xf numFmtId="0" fontId="55" fillId="14" borderId="4" xfId="0" applyFont="1" applyFill="1" applyBorder="1" applyAlignment="1">
      <alignment horizontal="center" vertical="center" wrapText="1"/>
    </xf>
    <xf numFmtId="0" fontId="55" fillId="14" borderId="5" xfId="0" applyFont="1" applyFill="1" applyBorder="1" applyAlignment="1">
      <alignment horizontal="center" vertical="center" wrapText="1"/>
    </xf>
    <xf numFmtId="0" fontId="55" fillId="14" borderId="6" xfId="0" applyFont="1" applyFill="1" applyBorder="1" applyAlignment="1">
      <alignment horizontal="center" vertical="center" wrapText="1"/>
    </xf>
    <xf numFmtId="0" fontId="55" fillId="14" borderId="13" xfId="0" applyFont="1" applyFill="1" applyBorder="1" applyAlignment="1">
      <alignment horizontal="center" vertical="center" wrapText="1"/>
    </xf>
    <xf numFmtId="0" fontId="55" fillId="14" borderId="10" xfId="0" applyFont="1" applyFill="1" applyBorder="1" applyAlignment="1">
      <alignment horizontal="center" vertical="center" wrapText="1"/>
    </xf>
    <xf numFmtId="0" fontId="55" fillId="14" borderId="14" xfId="0" applyFont="1" applyFill="1" applyBorder="1" applyAlignment="1">
      <alignment horizontal="center" vertical="center" wrapText="1"/>
    </xf>
    <xf numFmtId="2" fontId="55" fillId="14" borderId="7" xfId="0" applyNumberFormat="1" applyFont="1" applyFill="1" applyBorder="1" applyAlignment="1" applyProtection="1">
      <alignment horizontal="center" vertical="center" wrapText="1"/>
    </xf>
    <xf numFmtId="2" fontId="55" fillId="14" borderId="9" xfId="0" applyNumberFormat="1" applyFont="1" applyFill="1" applyBorder="1" applyAlignment="1" applyProtection="1">
      <alignment horizontal="center" vertical="center" wrapText="1"/>
    </xf>
    <xf numFmtId="2" fontId="55" fillId="14" borderId="8" xfId="0" applyNumberFormat="1" applyFont="1" applyFill="1" applyBorder="1" applyAlignment="1" applyProtection="1">
      <alignment horizontal="center" vertical="center" wrapText="1"/>
    </xf>
    <xf numFmtId="3" fontId="55" fillId="14" borderId="1" xfId="0" applyNumberFormat="1" applyFont="1" applyFill="1" applyBorder="1" applyAlignment="1" applyProtection="1">
      <alignment horizontal="center" vertical="center" wrapText="1"/>
    </xf>
    <xf numFmtId="0" fontId="55" fillId="14" borderId="1" xfId="0" applyFont="1" applyFill="1" applyBorder="1" applyAlignment="1" applyProtection="1">
      <alignment horizontal="center" vertical="center" wrapText="1"/>
    </xf>
    <xf numFmtId="2" fontId="55" fillId="14" borderId="1" xfId="0" applyNumberFormat="1" applyFont="1" applyFill="1" applyBorder="1" applyAlignment="1" applyProtection="1">
      <alignment horizontal="center" vertical="center" wrapText="1"/>
    </xf>
    <xf numFmtId="0" fontId="55" fillId="14" borderId="8" xfId="0" applyFont="1" applyFill="1" applyBorder="1" applyAlignment="1" applyProtection="1">
      <alignment horizontal="center" vertical="center" wrapText="1"/>
    </xf>
    <xf numFmtId="185" fontId="55" fillId="17" borderId="7" xfId="0" applyNumberFormat="1" applyFont="1" applyFill="1" applyBorder="1" applyAlignment="1" applyProtection="1">
      <alignment horizontal="center" vertical="center" wrapText="1"/>
      <protection locked="0"/>
    </xf>
    <xf numFmtId="185" fontId="55" fillId="17" borderId="9" xfId="0" applyNumberFormat="1" applyFont="1" applyFill="1" applyBorder="1" applyAlignment="1" applyProtection="1">
      <alignment horizontal="center" vertical="center" wrapText="1"/>
      <protection locked="0"/>
    </xf>
    <xf numFmtId="185" fontId="55" fillId="17" borderId="8" xfId="0" applyNumberFormat="1" applyFont="1" applyFill="1" applyBorder="1" applyAlignment="1" applyProtection="1">
      <alignment horizontal="center" vertical="center" wrapText="1"/>
      <protection locked="0"/>
    </xf>
    <xf numFmtId="22" fontId="56" fillId="20" borderId="0" xfId="0" applyNumberFormat="1" applyFont="1" applyFill="1" applyBorder="1" applyAlignment="1" applyProtection="1">
      <alignment horizontal="left" vertical="center" wrapText="1"/>
    </xf>
    <xf numFmtId="0" fontId="56" fillId="20" borderId="0" xfId="0" applyFont="1" applyFill="1" applyBorder="1" applyAlignment="1" applyProtection="1">
      <alignment horizontal="left" vertical="center" wrapText="1"/>
    </xf>
    <xf numFmtId="0" fontId="56" fillId="20" borderId="0" xfId="0" applyFont="1" applyFill="1" applyBorder="1" applyAlignment="1" applyProtection="1">
      <alignment horizontal="right" vertical="center" wrapText="1"/>
    </xf>
    <xf numFmtId="0" fontId="55" fillId="14" borderId="0" xfId="0" applyFont="1" applyFill="1" applyBorder="1" applyAlignment="1" applyProtection="1">
      <alignment horizontal="center" vertical="center" wrapText="1"/>
      <protection locked="0"/>
    </xf>
    <xf numFmtId="0" fontId="55" fillId="17" borderId="7" xfId="0" applyFont="1" applyFill="1" applyBorder="1" applyAlignment="1">
      <alignment horizontal="left" vertical="center" wrapText="1"/>
    </xf>
    <xf numFmtId="0" fontId="55" fillId="17" borderId="9" xfId="0" applyFont="1" applyFill="1" applyBorder="1" applyAlignment="1">
      <alignment horizontal="left" vertical="center" wrapText="1"/>
    </xf>
    <xf numFmtId="0" fontId="55" fillId="17" borderId="8" xfId="0" applyFont="1" applyFill="1" applyBorder="1" applyAlignment="1">
      <alignment horizontal="left" vertical="center" wrapText="1"/>
    </xf>
    <xf numFmtId="0" fontId="56" fillId="15" borderId="1" xfId="0" applyFont="1" applyFill="1" applyBorder="1" applyAlignment="1" applyProtection="1">
      <alignment horizontal="center" vertical="center"/>
    </xf>
    <xf numFmtId="0" fontId="55" fillId="14" borderId="11" xfId="0" applyFont="1" applyFill="1" applyBorder="1" applyAlignment="1">
      <alignment horizontal="center" vertical="center" wrapText="1"/>
    </xf>
    <xf numFmtId="0" fontId="55" fillId="14" borderId="0" xfId="0" applyFont="1" applyFill="1" applyBorder="1" applyAlignment="1">
      <alignment horizontal="center" vertical="center" wrapText="1"/>
    </xf>
    <xf numFmtId="0" fontId="55" fillId="14" borderId="12" xfId="0" applyFont="1" applyFill="1" applyBorder="1" applyAlignment="1">
      <alignment horizontal="center" vertical="center" wrapText="1"/>
    </xf>
    <xf numFmtId="0" fontId="55" fillId="0" borderId="1" xfId="0" applyFont="1" applyFill="1" applyBorder="1" applyAlignment="1" applyProtection="1">
      <alignment horizontal="left" vertical="center" wrapText="1"/>
    </xf>
    <xf numFmtId="0" fontId="55" fillId="25" borderId="7" xfId="0" applyFont="1" applyFill="1" applyBorder="1" applyAlignment="1" applyProtection="1">
      <alignment horizontal="center" vertical="center" wrapText="1"/>
    </xf>
    <xf numFmtId="0" fontId="55" fillId="25" borderId="9" xfId="0" applyFont="1" applyFill="1" applyBorder="1" applyAlignment="1" applyProtection="1">
      <alignment horizontal="center" vertical="center" wrapText="1"/>
    </xf>
    <xf numFmtId="0" fontId="55" fillId="14" borderId="7" xfId="0" applyFont="1" applyFill="1" applyBorder="1" applyAlignment="1" applyProtection="1">
      <alignment horizontal="center" vertical="center"/>
    </xf>
    <xf numFmtId="0" fontId="55" fillId="14" borderId="9" xfId="0" applyFont="1" applyFill="1" applyBorder="1" applyAlignment="1" applyProtection="1">
      <alignment horizontal="center" vertical="center"/>
    </xf>
    <xf numFmtId="0" fontId="55" fillId="14" borderId="8" xfId="0" applyFont="1" applyFill="1" applyBorder="1" applyAlignment="1" applyProtection="1">
      <alignment horizontal="center" vertical="center"/>
    </xf>
    <xf numFmtId="0" fontId="55" fillId="14" borderId="9" xfId="0" applyFont="1" applyFill="1" applyBorder="1" applyAlignment="1" applyProtection="1">
      <alignment vertical="center"/>
    </xf>
    <xf numFmtId="0" fontId="55" fillId="14" borderId="8" xfId="0" applyFont="1" applyFill="1" applyBorder="1" applyAlignment="1" applyProtection="1">
      <alignment vertical="center"/>
    </xf>
    <xf numFmtId="0" fontId="61" fillId="14" borderId="0" xfId="0" applyFont="1" applyFill="1" applyBorder="1" applyAlignment="1" applyProtection="1">
      <alignment horizontal="center" vertical="center" wrapText="1"/>
    </xf>
    <xf numFmtId="0" fontId="55" fillId="0" borderId="4" xfId="0" applyFont="1" applyFill="1" applyBorder="1" applyAlignment="1">
      <alignment horizontal="center" vertical="center" wrapText="1"/>
    </xf>
    <xf numFmtId="0" fontId="55" fillId="0" borderId="5" xfId="0" applyFont="1" applyFill="1" applyBorder="1" applyAlignment="1">
      <alignment horizontal="center" vertical="center" wrapText="1"/>
    </xf>
    <xf numFmtId="0" fontId="55" fillId="0" borderId="6" xfId="0" applyFont="1" applyFill="1" applyBorder="1" applyAlignment="1">
      <alignment horizontal="center" vertical="center" wrapText="1"/>
    </xf>
    <xf numFmtId="0" fontId="55" fillId="0" borderId="11" xfId="0" applyFont="1" applyFill="1" applyBorder="1" applyAlignment="1">
      <alignment horizontal="center" vertical="center" wrapText="1"/>
    </xf>
    <xf numFmtId="0" fontId="55" fillId="0" borderId="0" xfId="0" applyFont="1" applyFill="1" applyBorder="1" applyAlignment="1">
      <alignment horizontal="center" vertical="center" wrapText="1"/>
    </xf>
    <xf numFmtId="0" fontId="55" fillId="0" borderId="12" xfId="0" applyFont="1" applyFill="1" applyBorder="1" applyAlignment="1">
      <alignment horizontal="center" vertical="center" wrapText="1"/>
    </xf>
    <xf numFmtId="0" fontId="55" fillId="0" borderId="13" xfId="0" applyFont="1" applyFill="1" applyBorder="1" applyAlignment="1">
      <alignment horizontal="center" vertical="center" wrapText="1"/>
    </xf>
    <xf numFmtId="0" fontId="55" fillId="0" borderId="10" xfId="0" applyFont="1" applyFill="1" applyBorder="1" applyAlignment="1">
      <alignment horizontal="center" vertical="center" wrapText="1"/>
    </xf>
    <xf numFmtId="0" fontId="55" fillId="0" borderId="14" xfId="0" applyFont="1" applyFill="1" applyBorder="1" applyAlignment="1">
      <alignment horizontal="center" vertical="center" wrapText="1"/>
    </xf>
    <xf numFmtId="2" fontId="55" fillId="14" borderId="7" xfId="0" applyNumberFormat="1" applyFont="1" applyFill="1" applyBorder="1" applyAlignment="1" applyProtection="1">
      <alignment horizontal="center" vertical="center"/>
    </xf>
    <xf numFmtId="10" fontId="55" fillId="0" borderId="7" xfId="0" applyNumberFormat="1" applyFont="1" applyFill="1" applyBorder="1" applyAlignment="1" applyProtection="1">
      <alignment horizontal="center" vertical="center" wrapText="1"/>
    </xf>
    <xf numFmtId="0" fontId="55" fillId="0" borderId="8" xfId="0" applyFont="1" applyFill="1" applyBorder="1" applyAlignment="1" applyProtection="1">
      <alignment horizontal="center" vertical="center" wrapText="1"/>
    </xf>
    <xf numFmtId="0" fontId="56" fillId="14" borderId="0" xfId="0" applyFont="1" applyFill="1" applyBorder="1" applyAlignment="1" applyProtection="1">
      <alignment horizontal="left" vertical="center" wrapText="1"/>
    </xf>
    <xf numFmtId="0" fontId="56" fillId="17" borderId="7" xfId="0" applyFont="1" applyFill="1" applyBorder="1" applyAlignment="1" applyProtection="1">
      <alignment horizontal="center" vertical="center"/>
      <protection locked="0"/>
    </xf>
    <xf numFmtId="0" fontId="56" fillId="17" borderId="8" xfId="0" applyFont="1" applyFill="1" applyBorder="1" applyAlignment="1" applyProtection="1">
      <alignment horizontal="center" vertical="center"/>
      <protection locked="0"/>
    </xf>
    <xf numFmtId="0" fontId="56" fillId="17" borderId="7" xfId="0" applyFont="1" applyFill="1" applyBorder="1" applyAlignment="1" applyProtection="1">
      <alignment horizontal="center" vertical="center" wrapText="1"/>
      <protection locked="0"/>
    </xf>
    <xf numFmtId="0" fontId="56" fillId="17" borderId="8" xfId="0" applyFont="1" applyFill="1" applyBorder="1" applyAlignment="1" applyProtection="1">
      <alignment horizontal="center" vertical="center" wrapText="1"/>
      <protection locked="0"/>
    </xf>
    <xf numFmtId="0" fontId="55" fillId="17" borderId="7" xfId="0" applyFont="1" applyFill="1" applyBorder="1" applyAlignment="1" applyProtection="1">
      <alignment horizontal="center" vertical="center" wrapText="1"/>
      <protection locked="0"/>
    </xf>
    <xf numFmtId="0" fontId="55" fillId="17" borderId="9" xfId="0" applyFont="1" applyFill="1" applyBorder="1" applyAlignment="1" applyProtection="1">
      <alignment horizontal="center" vertical="center" wrapText="1"/>
      <protection locked="0"/>
    </xf>
    <xf numFmtId="0" fontId="56" fillId="15" borderId="7" xfId="0" applyFont="1" applyFill="1" applyBorder="1" applyAlignment="1" applyProtection="1">
      <alignment horizontal="center" vertical="center" wrapText="1"/>
    </xf>
    <xf numFmtId="0" fontId="56" fillId="15" borderId="9" xfId="0" applyFont="1" applyFill="1" applyBorder="1" applyAlignment="1" applyProtection="1">
      <alignment horizontal="center" vertical="center" wrapText="1"/>
    </xf>
    <xf numFmtId="0" fontId="56" fillId="15" borderId="8" xfId="0" applyFont="1" applyFill="1" applyBorder="1" applyAlignment="1" applyProtection="1">
      <alignment horizontal="center" vertical="center" wrapText="1"/>
    </xf>
    <xf numFmtId="0" fontId="56" fillId="15" borderId="1" xfId="0" applyFont="1" applyFill="1" applyBorder="1" applyAlignment="1" applyProtection="1">
      <alignment horizontal="center" vertical="center" wrapText="1"/>
    </xf>
    <xf numFmtId="0" fontId="55" fillId="0" borderId="1" xfId="0" applyFont="1" applyFill="1" applyBorder="1" applyAlignment="1" applyProtection="1">
      <alignment horizontal="center" vertical="center" wrapText="1"/>
    </xf>
    <xf numFmtId="10" fontId="55" fillId="0" borderId="7" xfId="0" applyNumberFormat="1" applyFont="1" applyFill="1" applyBorder="1" applyAlignment="1" applyProtection="1">
      <alignment horizontal="center" vertical="center"/>
    </xf>
    <xf numFmtId="0" fontId="55" fillId="0" borderId="9" xfId="0" applyFont="1" applyFill="1" applyBorder="1" applyAlignment="1" applyProtection="1">
      <alignment horizontal="center" vertical="center"/>
    </xf>
    <xf numFmtId="0" fontId="55" fillId="0" borderId="8" xfId="0" applyFont="1" applyFill="1" applyBorder="1" applyAlignment="1" applyProtection="1">
      <alignment horizontal="center" vertical="center"/>
    </xf>
    <xf numFmtId="2" fontId="55" fillId="0" borderId="7" xfId="0" applyNumberFormat="1" applyFont="1" applyFill="1" applyBorder="1" applyAlignment="1" applyProtection="1">
      <alignment horizontal="center" vertical="center" wrapText="1"/>
    </xf>
    <xf numFmtId="170" fontId="55" fillId="14" borderId="7" xfId="0" applyNumberFormat="1" applyFont="1" applyFill="1" applyBorder="1" applyAlignment="1" applyProtection="1">
      <alignment horizontal="center" vertical="center"/>
    </xf>
    <xf numFmtId="170" fontId="55" fillId="14" borderId="9" xfId="0" applyNumberFormat="1" applyFont="1" applyFill="1" applyBorder="1" applyAlignment="1" applyProtection="1">
      <alignment horizontal="center" vertical="center"/>
    </xf>
    <xf numFmtId="170" fontId="55" fillId="14" borderId="8" xfId="0" applyNumberFormat="1" applyFont="1" applyFill="1" applyBorder="1" applyAlignment="1" applyProtection="1">
      <alignment horizontal="center" vertical="center"/>
    </xf>
    <xf numFmtId="170" fontId="55" fillId="14" borderId="7" xfId="0" applyNumberFormat="1" applyFont="1" applyFill="1" applyBorder="1" applyAlignment="1" applyProtection="1">
      <alignment horizontal="center" vertical="center" wrapText="1"/>
    </xf>
    <xf numFmtId="170" fontId="55" fillId="14" borderId="9" xfId="0" applyNumberFormat="1" applyFont="1" applyFill="1" applyBorder="1" applyAlignment="1" applyProtection="1">
      <alignment horizontal="center" vertical="center" wrapText="1"/>
    </xf>
    <xf numFmtId="170" fontId="55" fillId="14" borderId="8" xfId="0" applyNumberFormat="1" applyFont="1" applyFill="1" applyBorder="1" applyAlignment="1" applyProtection="1">
      <alignment horizontal="center" vertical="center" wrapText="1"/>
    </xf>
    <xf numFmtId="9" fontId="55" fillId="0" borderId="7" xfId="0" applyNumberFormat="1" applyFont="1" applyFill="1" applyBorder="1" applyAlignment="1" applyProtection="1">
      <alignment horizontal="center" vertical="center"/>
    </xf>
    <xf numFmtId="9" fontId="55" fillId="0" borderId="9" xfId="0" applyNumberFormat="1" applyFont="1" applyFill="1" applyBorder="1" applyAlignment="1" applyProtection="1">
      <alignment horizontal="center" vertical="center"/>
    </xf>
    <xf numFmtId="9" fontId="55" fillId="0" borderId="8" xfId="0" applyNumberFormat="1" applyFont="1" applyFill="1" applyBorder="1" applyAlignment="1" applyProtection="1">
      <alignment horizontal="center" vertical="center"/>
    </xf>
    <xf numFmtId="9" fontId="55" fillId="0" borderId="7" xfId="0" applyNumberFormat="1" applyFont="1" applyFill="1" applyBorder="1" applyAlignment="1" applyProtection="1">
      <alignment horizontal="center" vertical="center" wrapText="1"/>
    </xf>
    <xf numFmtId="9" fontId="55" fillId="0" borderId="9" xfId="0" applyNumberFormat="1" applyFont="1" applyFill="1" applyBorder="1" applyAlignment="1" applyProtection="1">
      <alignment horizontal="center" vertical="center" wrapText="1"/>
    </xf>
    <xf numFmtId="9" fontId="55" fillId="0" borderId="8" xfId="0" applyNumberFormat="1" applyFont="1" applyFill="1" applyBorder="1" applyAlignment="1" applyProtection="1">
      <alignment horizontal="center" vertical="center" wrapText="1"/>
    </xf>
    <xf numFmtId="2" fontId="55" fillId="14" borderId="7" xfId="0" applyNumberFormat="1" applyFont="1" applyFill="1" applyBorder="1" applyAlignment="1" applyProtection="1">
      <alignment horizontal="center" vertical="center" wrapText="1"/>
      <protection locked="0"/>
    </xf>
    <xf numFmtId="2" fontId="55" fillId="14" borderId="9" xfId="0" applyNumberFormat="1" applyFont="1" applyFill="1" applyBorder="1" applyAlignment="1" applyProtection="1">
      <alignment horizontal="center" vertical="center" wrapText="1"/>
      <protection locked="0"/>
    </xf>
    <xf numFmtId="2" fontId="55" fillId="14" borderId="8" xfId="0" applyNumberFormat="1" applyFont="1" applyFill="1" applyBorder="1" applyAlignment="1" applyProtection="1">
      <alignment horizontal="center" vertical="center" wrapText="1"/>
      <protection locked="0"/>
    </xf>
    <xf numFmtId="0" fontId="56" fillId="14" borderId="0" xfId="0" applyNumberFormat="1" applyFont="1" applyFill="1" applyBorder="1" applyAlignment="1" applyProtection="1">
      <alignment horizontal="center" vertical="center" wrapText="1"/>
      <protection locked="0"/>
    </xf>
    <xf numFmtId="0" fontId="55" fillId="0" borderId="4" xfId="0" applyFont="1" applyFill="1" applyBorder="1" applyAlignment="1" applyProtection="1">
      <alignment horizontal="center" vertical="center" wrapText="1"/>
    </xf>
    <xf numFmtId="0" fontId="55" fillId="0" borderId="5" xfId="0" applyFont="1" applyFill="1" applyBorder="1" applyAlignment="1" applyProtection="1">
      <alignment horizontal="center" vertical="center" wrapText="1"/>
    </xf>
    <xf numFmtId="0" fontId="55" fillId="0" borderId="6" xfId="0" applyFont="1" applyFill="1" applyBorder="1" applyAlignment="1" applyProtection="1">
      <alignment horizontal="center" vertical="center" wrapText="1"/>
    </xf>
    <xf numFmtId="0" fontId="55" fillId="0" borderId="11" xfId="0" applyFont="1" applyFill="1" applyBorder="1" applyAlignment="1" applyProtection="1">
      <alignment horizontal="center" vertical="center" wrapText="1"/>
    </xf>
    <xf numFmtId="0" fontId="55" fillId="0" borderId="0" xfId="0" applyFont="1" applyFill="1" applyBorder="1" applyAlignment="1" applyProtection="1">
      <alignment horizontal="center" vertical="center" wrapText="1"/>
    </xf>
    <xf numFmtId="0" fontId="55" fillId="0" borderId="12" xfId="0" applyFont="1" applyFill="1" applyBorder="1" applyAlignment="1" applyProtection="1">
      <alignment horizontal="center" vertical="center" wrapText="1"/>
    </xf>
    <xf numFmtId="0" fontId="55" fillId="0" borderId="13" xfId="0" applyFont="1" applyFill="1" applyBorder="1" applyAlignment="1" applyProtection="1">
      <alignment horizontal="center" vertical="center" wrapText="1"/>
    </xf>
    <xf numFmtId="0" fontId="55" fillId="0" borderId="10" xfId="0" applyFont="1" applyFill="1" applyBorder="1" applyAlignment="1" applyProtection="1">
      <alignment horizontal="center" vertical="center" wrapText="1"/>
    </xf>
    <xf numFmtId="0" fontId="55" fillId="0" borderId="14" xfId="0" applyFont="1" applyFill="1" applyBorder="1" applyAlignment="1" applyProtection="1">
      <alignment horizontal="center" vertical="center" wrapText="1"/>
    </xf>
    <xf numFmtId="0" fontId="55" fillId="14" borderId="7" xfId="0" applyFont="1" applyFill="1" applyBorder="1" applyAlignment="1" applyProtection="1">
      <alignment horizontal="center" vertical="center" wrapText="1"/>
      <protection locked="0"/>
    </xf>
    <xf numFmtId="0" fontId="55" fillId="14" borderId="9" xfId="0" applyFont="1" applyFill="1" applyBorder="1" applyAlignment="1" applyProtection="1">
      <alignment horizontal="center" vertical="center" wrapText="1"/>
      <protection locked="0"/>
    </xf>
    <xf numFmtId="0" fontId="55" fillId="14" borderId="8" xfId="0" applyFont="1" applyFill="1" applyBorder="1" applyAlignment="1" applyProtection="1">
      <alignment horizontal="center" vertical="center" wrapText="1"/>
      <protection locked="0"/>
    </xf>
    <xf numFmtId="0" fontId="55" fillId="14" borderId="1" xfId="0" applyFont="1" applyFill="1" applyBorder="1" applyAlignment="1" applyProtection="1">
      <alignment horizontal="center" vertical="center" wrapText="1"/>
      <protection locked="0"/>
    </xf>
    <xf numFmtId="49" fontId="55" fillId="17" borderId="7" xfId="0" applyNumberFormat="1" applyFont="1" applyFill="1" applyBorder="1" applyAlignment="1" applyProtection="1">
      <alignment horizontal="center" vertical="center" wrapText="1"/>
      <protection locked="0"/>
    </xf>
    <xf numFmtId="49" fontId="55" fillId="17" borderId="9" xfId="0" applyNumberFormat="1" applyFont="1" applyFill="1" applyBorder="1" applyAlignment="1" applyProtection="1">
      <alignment horizontal="center" vertical="center" wrapText="1"/>
      <protection locked="0"/>
    </xf>
    <xf numFmtId="49" fontId="55" fillId="17" borderId="8" xfId="0" applyNumberFormat="1" applyFont="1" applyFill="1" applyBorder="1" applyAlignment="1" applyProtection="1">
      <alignment horizontal="center" vertical="center" wrapText="1"/>
      <protection locked="0"/>
    </xf>
    <xf numFmtId="49" fontId="55" fillId="14" borderId="7" xfId="0" applyNumberFormat="1" applyFont="1" applyFill="1" applyBorder="1" applyAlignment="1">
      <alignment horizontal="center" vertical="center" wrapText="1"/>
    </xf>
    <xf numFmtId="0" fontId="55" fillId="14" borderId="9" xfId="0" applyFont="1" applyFill="1" applyBorder="1" applyAlignment="1">
      <alignment horizontal="center" vertical="center" wrapText="1"/>
    </xf>
    <xf numFmtId="0" fontId="55" fillId="14" borderId="8" xfId="0" applyFont="1" applyFill="1" applyBorder="1" applyAlignment="1">
      <alignment horizontal="center" vertical="center" wrapText="1"/>
    </xf>
    <xf numFmtId="2" fontId="56" fillId="0" borderId="1" xfId="0" applyNumberFormat="1" applyFont="1" applyFill="1" applyBorder="1" applyAlignment="1" applyProtection="1">
      <alignment horizontal="center" vertical="center" wrapText="1"/>
    </xf>
    <xf numFmtId="0" fontId="55" fillId="14" borderId="7" xfId="0" applyNumberFormat="1" applyFont="1" applyFill="1" applyBorder="1" applyAlignment="1" applyProtection="1">
      <alignment horizontal="center" vertical="center" wrapText="1"/>
    </xf>
    <xf numFmtId="0" fontId="55" fillId="14" borderId="9" xfId="0" applyNumberFormat="1" applyFont="1" applyFill="1" applyBorder="1" applyAlignment="1" applyProtection="1">
      <alignment horizontal="center" vertical="center" wrapText="1"/>
    </xf>
    <xf numFmtId="0" fontId="55" fillId="14" borderId="8" xfId="0" applyNumberFormat="1" applyFont="1" applyFill="1" applyBorder="1" applyAlignment="1" applyProtection="1">
      <alignment horizontal="center" vertical="center" wrapText="1"/>
    </xf>
    <xf numFmtId="0" fontId="55" fillId="0" borderId="0" xfId="0" applyFont="1" applyFill="1" applyBorder="1" applyAlignment="1" applyProtection="1">
      <alignment horizontal="center" vertical="center" wrapText="1"/>
      <protection locked="0"/>
    </xf>
    <xf numFmtId="3" fontId="55" fillId="14" borderId="1" xfId="0" applyNumberFormat="1" applyFont="1" applyFill="1" applyBorder="1" applyAlignment="1" applyProtection="1">
      <alignment horizontal="center" vertical="center"/>
      <protection locked="0"/>
    </xf>
    <xf numFmtId="2" fontId="55" fillId="14" borderId="9" xfId="0" applyNumberFormat="1" applyFont="1" applyFill="1" applyBorder="1" applyAlignment="1" applyProtection="1">
      <alignment horizontal="center" vertical="center"/>
    </xf>
    <xf numFmtId="2" fontId="55" fillId="14" borderId="8" xfId="0" applyNumberFormat="1" applyFont="1" applyFill="1" applyBorder="1" applyAlignment="1" applyProtection="1">
      <alignment horizontal="center" vertical="center"/>
    </xf>
    <xf numFmtId="0" fontId="56" fillId="15" borderId="7" xfId="0" applyFont="1" applyFill="1" applyBorder="1" applyAlignment="1" applyProtection="1">
      <alignment horizontal="center" vertical="center"/>
    </xf>
    <xf numFmtId="0" fontId="56" fillId="15" borderId="9" xfId="0" applyFont="1" applyFill="1" applyBorder="1" applyAlignment="1" applyProtection="1">
      <alignment horizontal="center" vertical="center"/>
    </xf>
    <xf numFmtId="0" fontId="56" fillId="15" borderId="8" xfId="0" applyFont="1" applyFill="1" applyBorder="1" applyAlignment="1" applyProtection="1">
      <alignment horizontal="center" vertical="center"/>
    </xf>
    <xf numFmtId="2" fontId="55" fillId="17" borderId="7" xfId="0" applyNumberFormat="1" applyFont="1" applyFill="1" applyBorder="1" applyAlignment="1" applyProtection="1">
      <alignment horizontal="center" vertical="center" wrapText="1"/>
      <protection locked="0"/>
    </xf>
    <xf numFmtId="2" fontId="55" fillId="17" borderId="9" xfId="0" applyNumberFormat="1" applyFont="1" applyFill="1" applyBorder="1" applyAlignment="1" applyProtection="1">
      <alignment horizontal="center" vertical="center" wrapText="1"/>
      <protection locked="0"/>
    </xf>
    <xf numFmtId="2" fontId="55" fillId="17" borderId="8" xfId="0" applyNumberFormat="1" applyFont="1" applyFill="1" applyBorder="1" applyAlignment="1" applyProtection="1">
      <alignment horizontal="center" vertical="center" wrapText="1"/>
      <protection locked="0"/>
    </xf>
    <xf numFmtId="2" fontId="55" fillId="0" borderId="7" xfId="0" applyNumberFormat="1" applyFont="1" applyFill="1" applyBorder="1" applyAlignment="1" applyProtection="1">
      <alignment horizontal="center" vertical="center" wrapText="1"/>
      <protection locked="0"/>
    </xf>
    <xf numFmtId="2" fontId="55" fillId="0" borderId="9" xfId="0" applyNumberFormat="1" applyFont="1" applyFill="1" applyBorder="1" applyAlignment="1" applyProtection="1">
      <alignment horizontal="center" vertical="center" wrapText="1"/>
      <protection locked="0"/>
    </xf>
    <xf numFmtId="2" fontId="55" fillId="0" borderId="8" xfId="0" applyNumberFormat="1" applyFont="1" applyFill="1" applyBorder="1" applyAlignment="1" applyProtection="1">
      <alignment horizontal="center" vertical="center" wrapText="1"/>
      <protection locked="0"/>
    </xf>
    <xf numFmtId="0" fontId="55" fillId="14" borderId="0" xfId="0" applyFont="1" applyFill="1" applyBorder="1" applyAlignment="1" applyProtection="1">
      <alignment horizontal="center" vertical="center" wrapText="1"/>
    </xf>
    <xf numFmtId="0" fontId="55" fillId="22" borderId="1" xfId="0" applyFont="1" applyFill="1" applyBorder="1" applyAlignment="1">
      <alignment horizontal="center" vertical="center" wrapText="1"/>
    </xf>
    <xf numFmtId="0" fontId="56" fillId="17" borderId="1" xfId="0" applyFont="1" applyFill="1" applyBorder="1" applyAlignment="1" applyProtection="1">
      <alignment horizontal="center" vertical="center" wrapText="1"/>
      <protection locked="0"/>
    </xf>
    <xf numFmtId="0" fontId="56" fillId="17" borderId="1" xfId="0" applyFont="1" applyFill="1" applyBorder="1" applyAlignment="1" applyProtection="1">
      <alignment horizontal="center" vertical="center"/>
      <protection locked="0"/>
    </xf>
    <xf numFmtId="0" fontId="56" fillId="14" borderId="1" xfId="0" applyNumberFormat="1" applyFont="1" applyFill="1" applyBorder="1" applyAlignment="1" applyProtection="1">
      <alignment horizontal="left" vertical="center"/>
    </xf>
    <xf numFmtId="0" fontId="55" fillId="14" borderId="9" xfId="0" applyFont="1" applyFill="1" applyBorder="1" applyAlignment="1" applyProtection="1">
      <alignment horizontal="left" vertical="center" wrapText="1"/>
    </xf>
    <xf numFmtId="1" fontId="55" fillId="17" borderId="1" xfId="0" applyNumberFormat="1" applyFont="1" applyFill="1" applyBorder="1" applyAlignment="1" applyProtection="1">
      <alignment horizontal="center" vertical="center"/>
      <protection locked="0"/>
    </xf>
    <xf numFmtId="0" fontId="55" fillId="14" borderId="7" xfId="0" applyFont="1" applyFill="1" applyBorder="1" applyAlignment="1">
      <alignment horizontal="center" vertical="center" wrapText="1"/>
    </xf>
    <xf numFmtId="0" fontId="55" fillId="14" borderId="1" xfId="0" applyFont="1" applyFill="1" applyBorder="1" applyAlignment="1" applyProtection="1">
      <alignment horizontal="left" vertical="center" wrapText="1"/>
    </xf>
    <xf numFmtId="3" fontId="56" fillId="15" borderId="1" xfId="0" applyNumberFormat="1" applyFont="1" applyFill="1" applyBorder="1" applyAlignment="1" applyProtection="1">
      <alignment horizontal="center" vertical="center" wrapText="1"/>
    </xf>
    <xf numFmtId="3" fontId="55" fillId="14" borderId="1" xfId="0" applyNumberFormat="1" applyFont="1" applyFill="1" applyBorder="1" applyAlignment="1" applyProtection="1">
      <alignment horizontal="center" vertical="center"/>
    </xf>
    <xf numFmtId="0" fontId="56" fillId="14" borderId="7" xfId="0" applyFont="1" applyFill="1" applyBorder="1" applyAlignment="1" applyProtection="1">
      <alignment horizontal="left" vertical="center" wrapText="1"/>
    </xf>
    <xf numFmtId="0" fontId="56" fillId="14" borderId="9" xfId="0" applyFont="1" applyFill="1" applyBorder="1" applyAlignment="1" applyProtection="1">
      <alignment horizontal="left" vertical="center" wrapText="1"/>
    </xf>
    <xf numFmtId="0" fontId="56" fillId="14" borderId="8" xfId="0" applyFont="1" applyFill="1" applyBorder="1" applyAlignment="1" applyProtection="1">
      <alignment horizontal="left" vertical="center" wrapText="1"/>
    </xf>
    <xf numFmtId="3" fontId="56" fillId="14" borderId="1" xfId="0" applyNumberFormat="1" applyFont="1" applyFill="1" applyBorder="1" applyAlignment="1" applyProtection="1">
      <alignment horizontal="center" vertical="center"/>
    </xf>
    <xf numFmtId="0" fontId="56" fillId="14" borderId="1" xfId="0" applyFont="1" applyFill="1" applyBorder="1" applyAlignment="1" applyProtection="1">
      <alignment horizontal="left" vertical="center" wrapText="1"/>
    </xf>
    <xf numFmtId="0" fontId="55" fillId="14" borderId="5" xfId="0" applyFont="1" applyFill="1" applyBorder="1" applyAlignment="1" applyProtection="1">
      <alignment horizontal="left" vertical="center" wrapText="1"/>
    </xf>
    <xf numFmtId="0" fontId="55" fillId="14" borderId="10" xfId="0" applyFont="1" applyFill="1" applyBorder="1" applyAlignment="1" applyProtection="1">
      <alignment horizontal="left" vertical="center" wrapText="1"/>
    </xf>
    <xf numFmtId="1" fontId="55" fillId="17" borderId="4" xfId="0" applyNumberFormat="1" applyFont="1" applyFill="1" applyBorder="1" applyAlignment="1" applyProtection="1">
      <alignment horizontal="center" vertical="center"/>
      <protection locked="0"/>
    </xf>
    <xf numFmtId="1" fontId="55" fillId="17" borderId="5" xfId="0" applyNumberFormat="1" applyFont="1" applyFill="1" applyBorder="1" applyAlignment="1" applyProtection="1">
      <alignment horizontal="center" vertical="center"/>
      <protection locked="0"/>
    </xf>
    <xf numFmtId="1" fontId="55" fillId="17" borderId="13" xfId="0" applyNumberFormat="1" applyFont="1" applyFill="1" applyBorder="1" applyAlignment="1" applyProtection="1">
      <alignment horizontal="center" vertical="center"/>
      <protection locked="0"/>
    </xf>
    <xf numFmtId="1" fontId="55" fillId="17" borderId="10" xfId="0" applyNumberFormat="1" applyFont="1" applyFill="1" applyBorder="1" applyAlignment="1" applyProtection="1">
      <alignment horizontal="center" vertical="center"/>
      <protection locked="0"/>
    </xf>
    <xf numFmtId="0" fontId="55" fillId="14" borderId="0" xfId="0" applyFont="1" applyFill="1" applyBorder="1" applyAlignment="1" applyProtection="1">
      <alignment horizontal="left" vertical="center" wrapText="1"/>
    </xf>
    <xf numFmtId="1" fontId="55" fillId="14" borderId="15" xfId="0" applyNumberFormat="1" applyFont="1" applyFill="1" applyBorder="1" applyAlignment="1">
      <alignment horizontal="center" vertical="center"/>
    </xf>
    <xf numFmtId="0" fontId="55" fillId="14" borderId="11" xfId="0" applyFont="1" applyFill="1" applyBorder="1" applyAlignment="1">
      <alignment horizontal="center" vertical="center"/>
    </xf>
    <xf numFmtId="1" fontId="55" fillId="14" borderId="1" xfId="0" applyNumberFormat="1" applyFont="1" applyFill="1" applyBorder="1" applyAlignment="1">
      <alignment horizontal="center" vertical="center"/>
    </xf>
    <xf numFmtId="0" fontId="55" fillId="14" borderId="7" xfId="0" applyFont="1" applyFill="1" applyBorder="1" applyAlignment="1">
      <alignment horizontal="center" vertical="center"/>
    </xf>
    <xf numFmtId="0" fontId="55" fillId="14" borderId="1" xfId="0" applyFont="1" applyFill="1" applyBorder="1" applyAlignment="1">
      <alignment horizontal="center" vertical="center" wrapText="1"/>
    </xf>
    <xf numFmtId="1" fontId="55" fillId="17" borderId="15" xfId="0" applyNumberFormat="1" applyFont="1" applyFill="1" applyBorder="1" applyAlignment="1" applyProtection="1">
      <alignment horizontal="center" vertical="center"/>
      <protection locked="0"/>
    </xf>
    <xf numFmtId="0" fontId="55" fillId="17" borderId="11" xfId="0" applyFont="1" applyFill="1" applyBorder="1" applyAlignment="1" applyProtection="1">
      <alignment horizontal="center" vertical="center"/>
      <protection locked="0"/>
    </xf>
    <xf numFmtId="0" fontId="56" fillId="14" borderId="4" xfId="0" applyFont="1" applyFill="1" applyBorder="1" applyAlignment="1" applyProtection="1">
      <alignment horizontal="center" vertical="center" wrapText="1"/>
    </xf>
    <xf numFmtId="0" fontId="56" fillId="14" borderId="5" xfId="0" applyFont="1" applyFill="1" applyBorder="1" applyAlignment="1" applyProtection="1">
      <alignment horizontal="center" vertical="center" wrapText="1"/>
    </xf>
    <xf numFmtId="0" fontId="56" fillId="14" borderId="6" xfId="0" applyFont="1" applyFill="1" applyBorder="1" applyAlignment="1" applyProtection="1">
      <alignment horizontal="center" vertical="center" wrapText="1"/>
    </xf>
    <xf numFmtId="0" fontId="56" fillId="14" borderId="11"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12" xfId="0" applyFont="1" applyFill="1" applyBorder="1" applyAlignment="1" applyProtection="1">
      <alignment horizontal="center" vertical="center" wrapText="1"/>
    </xf>
    <xf numFmtId="0" fontId="56" fillId="14" borderId="13" xfId="0" applyFont="1" applyFill="1" applyBorder="1" applyAlignment="1" applyProtection="1">
      <alignment horizontal="center" vertical="center" wrapText="1"/>
    </xf>
    <xf numFmtId="0" fontId="56" fillId="14" borderId="10" xfId="0" applyFont="1" applyFill="1" applyBorder="1" applyAlignment="1" applyProtection="1">
      <alignment horizontal="center" vertical="center" wrapText="1"/>
    </xf>
    <xf numFmtId="0" fontId="56" fillId="14" borderId="14" xfId="0" applyFont="1" applyFill="1" applyBorder="1" applyAlignment="1" applyProtection="1">
      <alignment horizontal="center" vertical="center" wrapText="1"/>
    </xf>
    <xf numFmtId="0" fontId="55" fillId="17" borderId="1" xfId="0" applyFont="1" applyFill="1" applyBorder="1" applyAlignment="1" applyProtection="1">
      <alignment horizontal="center" vertical="center" wrapText="1"/>
      <protection locked="0"/>
    </xf>
    <xf numFmtId="0" fontId="55" fillId="17" borderId="1" xfId="0" applyFont="1" applyFill="1" applyBorder="1" applyAlignment="1" applyProtection="1">
      <alignment horizontal="center" vertical="center"/>
      <protection locked="0"/>
    </xf>
    <xf numFmtId="3" fontId="56" fillId="14" borderId="1" xfId="0" applyNumberFormat="1" applyFont="1" applyFill="1" applyBorder="1" applyAlignment="1" applyProtection="1">
      <alignment horizontal="center" vertical="center"/>
      <protection locked="0"/>
    </xf>
    <xf numFmtId="3" fontId="55" fillId="17" borderId="7" xfId="0" applyNumberFormat="1" applyFont="1" applyFill="1" applyBorder="1" applyAlignment="1" applyProtection="1">
      <alignment horizontal="center" vertical="center"/>
      <protection locked="0"/>
    </xf>
    <xf numFmtId="3" fontId="55" fillId="17" borderId="9" xfId="0" applyNumberFormat="1" applyFont="1" applyFill="1" applyBorder="1" applyAlignment="1" applyProtection="1">
      <alignment horizontal="center" vertical="center"/>
      <protection locked="0"/>
    </xf>
    <xf numFmtId="3" fontId="55" fillId="17" borderId="8" xfId="0" applyNumberFormat="1" applyFont="1" applyFill="1" applyBorder="1" applyAlignment="1" applyProtection="1">
      <alignment horizontal="center" vertical="center"/>
      <protection locked="0"/>
    </xf>
    <xf numFmtId="3" fontId="55" fillId="17" borderId="1" xfId="0" applyNumberFormat="1" applyFont="1" applyFill="1" applyBorder="1" applyAlignment="1" applyProtection="1">
      <alignment horizontal="center" vertical="center"/>
      <protection locked="0"/>
    </xf>
    <xf numFmtId="3" fontId="56" fillId="14" borderId="1" xfId="0" applyNumberFormat="1" applyFont="1" applyFill="1" applyBorder="1" applyAlignment="1" applyProtection="1">
      <alignment horizontal="center" vertical="center" wrapText="1"/>
    </xf>
    <xf numFmtId="3" fontId="55" fillId="17" borderId="1" xfId="0" applyNumberFormat="1" applyFont="1" applyFill="1" applyBorder="1" applyAlignment="1" applyProtection="1">
      <alignment horizontal="center" vertical="center" wrapText="1"/>
      <protection locked="0"/>
    </xf>
    <xf numFmtId="0" fontId="56" fillId="14" borderId="1" xfId="0" applyFont="1" applyFill="1" applyBorder="1" applyAlignment="1" applyProtection="1">
      <alignment horizontal="center" vertical="center" wrapText="1"/>
    </xf>
    <xf numFmtId="0" fontId="55" fillId="14" borderId="2" xfId="0" applyFont="1" applyFill="1" applyBorder="1" applyAlignment="1" applyProtection="1">
      <alignment horizontal="left" vertical="center" wrapText="1"/>
    </xf>
    <xf numFmtId="3" fontId="56" fillId="14" borderId="7" xfId="0" applyNumberFormat="1" applyFont="1" applyFill="1" applyBorder="1" applyAlignment="1" applyProtection="1">
      <alignment horizontal="center" vertical="center"/>
    </xf>
    <xf numFmtId="3" fontId="56" fillId="14" borderId="9" xfId="0" applyNumberFormat="1" applyFont="1" applyFill="1" applyBorder="1" applyAlignment="1" applyProtection="1">
      <alignment horizontal="center" vertical="center"/>
    </xf>
    <xf numFmtId="3" fontId="56" fillId="14" borderId="8" xfId="0" applyNumberFormat="1" applyFont="1" applyFill="1" applyBorder="1" applyAlignment="1" applyProtection="1">
      <alignment horizontal="center" vertical="center"/>
    </xf>
    <xf numFmtId="49" fontId="55" fillId="14" borderId="7" xfId="0" applyNumberFormat="1" applyFont="1" applyFill="1" applyBorder="1" applyAlignment="1" applyProtection="1">
      <alignment horizontal="center" vertical="center" wrapText="1"/>
    </xf>
    <xf numFmtId="49" fontId="55" fillId="14" borderId="9" xfId="0" applyNumberFormat="1" applyFont="1" applyFill="1" applyBorder="1" applyAlignment="1" applyProtection="1">
      <alignment horizontal="center" vertical="center" wrapText="1"/>
    </xf>
    <xf numFmtId="49" fontId="55" fillId="14" borderId="8" xfId="0" applyNumberFormat="1" applyFont="1" applyFill="1" applyBorder="1" applyAlignment="1" applyProtection="1">
      <alignment horizontal="center" vertical="center" wrapText="1"/>
    </xf>
    <xf numFmtId="49" fontId="56" fillId="14" borderId="7" xfId="0" applyNumberFormat="1" applyFont="1" applyFill="1" applyBorder="1" applyAlignment="1" applyProtection="1">
      <alignment horizontal="left" vertical="center" wrapText="1"/>
    </xf>
    <xf numFmtId="0" fontId="55" fillId="0" borderId="7" xfId="0" applyFont="1" applyFill="1" applyBorder="1" applyAlignment="1" applyProtection="1">
      <alignment horizontal="left" vertical="center" wrapText="1"/>
    </xf>
    <xf numFmtId="0" fontId="55" fillId="0" borderId="9" xfId="0" applyFont="1" applyFill="1" applyBorder="1" applyAlignment="1" applyProtection="1">
      <alignment horizontal="left" vertical="center" wrapText="1"/>
    </xf>
    <xf numFmtId="0" fontId="55" fillId="0" borderId="8" xfId="0" applyFont="1" applyFill="1" applyBorder="1" applyAlignment="1" applyProtection="1">
      <alignment horizontal="left" vertical="center" wrapText="1"/>
    </xf>
    <xf numFmtId="0" fontId="55" fillId="17" borderId="8" xfId="0" applyFont="1" applyFill="1" applyBorder="1" applyAlignment="1" applyProtection="1">
      <alignment horizontal="center" vertical="center" wrapText="1"/>
      <protection locked="0"/>
    </xf>
    <xf numFmtId="0" fontId="55" fillId="0" borderId="7" xfId="0" applyFont="1" applyFill="1" applyBorder="1" applyAlignment="1" applyProtection="1">
      <alignment horizontal="center" vertical="center" wrapText="1"/>
      <protection locked="0"/>
    </xf>
    <xf numFmtId="0" fontId="55" fillId="0" borderId="8" xfId="0" applyFont="1" applyFill="1" applyBorder="1" applyAlignment="1" applyProtection="1">
      <alignment horizontal="center" vertical="center" wrapText="1"/>
      <protection locked="0"/>
    </xf>
    <xf numFmtId="0" fontId="55" fillId="0" borderId="9" xfId="0" applyFont="1" applyFill="1" applyBorder="1" applyAlignment="1" applyProtection="1">
      <alignment horizontal="center" vertical="center" wrapText="1"/>
      <protection locked="0"/>
    </xf>
    <xf numFmtId="0" fontId="55" fillId="14" borderId="1" xfId="0" applyFont="1" applyFill="1" applyBorder="1" applyAlignment="1" applyProtection="1">
      <alignment horizontal="left" vertical="center"/>
    </xf>
    <xf numFmtId="0" fontId="55" fillId="14" borderId="1" xfId="0" applyFont="1" applyFill="1" applyBorder="1" applyAlignment="1" applyProtection="1">
      <alignment horizontal="center" vertical="center"/>
    </xf>
    <xf numFmtId="0" fontId="55" fillId="14" borderId="0" xfId="0" applyFont="1" applyFill="1" applyBorder="1" applyAlignment="1" applyProtection="1">
      <alignment horizontal="right" vertical="center" wrapText="1"/>
    </xf>
    <xf numFmtId="0" fontId="55" fillId="14" borderId="12" xfId="0" applyFont="1" applyFill="1" applyBorder="1" applyAlignment="1" applyProtection="1">
      <alignment horizontal="right" vertical="center" wrapText="1"/>
    </xf>
    <xf numFmtId="0" fontId="56" fillId="14" borderId="7" xfId="0" applyFont="1" applyFill="1" applyBorder="1" applyAlignment="1">
      <alignment horizontal="left" vertical="center" wrapText="1"/>
    </xf>
    <xf numFmtId="0" fontId="56" fillId="14" borderId="9" xfId="0" applyFont="1" applyFill="1" applyBorder="1" applyAlignment="1">
      <alignment horizontal="left" vertical="center" wrapText="1"/>
    </xf>
    <xf numFmtId="0" fontId="56" fillId="14" borderId="8" xfId="0" applyFont="1" applyFill="1" applyBorder="1" applyAlignment="1">
      <alignment horizontal="left" vertical="center" wrapText="1"/>
    </xf>
    <xf numFmtId="0" fontId="55" fillId="17" borderId="1" xfId="0" applyFont="1" applyFill="1" applyBorder="1" applyAlignment="1" applyProtection="1">
      <alignment horizontal="center" vertical="center"/>
    </xf>
    <xf numFmtId="0" fontId="82" fillId="20" borderId="0" xfId="0" applyFont="1" applyFill="1" applyBorder="1" applyAlignment="1" applyProtection="1">
      <alignment horizontal="center" vertical="center" wrapText="1"/>
    </xf>
    <xf numFmtId="0" fontId="63" fillId="20" borderId="0" xfId="0" applyFont="1" applyFill="1" applyBorder="1" applyAlignment="1" applyProtection="1">
      <alignment horizontal="center" vertical="center" wrapText="1"/>
    </xf>
    <xf numFmtId="0" fontId="43" fillId="20" borderId="0" xfId="0" applyFont="1" applyFill="1" applyBorder="1" applyAlignment="1" applyProtection="1">
      <alignment horizontal="center" vertical="center" wrapText="1"/>
    </xf>
    <xf numFmtId="0" fontId="44" fillId="20" borderId="0" xfId="0" applyFont="1" applyFill="1" applyBorder="1" applyAlignment="1" applyProtection="1">
      <alignment horizontal="center" vertical="center" wrapText="1"/>
    </xf>
    <xf numFmtId="0" fontId="56" fillId="14" borderId="3" xfId="0" applyFont="1" applyFill="1" applyBorder="1" applyAlignment="1" applyProtection="1">
      <alignment horizontal="center" vertical="center" wrapText="1"/>
    </xf>
    <xf numFmtId="0" fontId="56" fillId="14" borderId="7" xfId="0" applyFont="1" applyFill="1" applyBorder="1" applyAlignment="1" applyProtection="1">
      <alignment horizontal="center" vertical="center" wrapText="1"/>
      <protection locked="0"/>
    </xf>
    <xf numFmtId="0" fontId="56" fillId="14" borderId="9" xfId="0" applyFont="1" applyFill="1" applyBorder="1" applyAlignment="1" applyProtection="1">
      <alignment horizontal="center" vertical="center" wrapText="1"/>
      <protection locked="0"/>
    </xf>
    <xf numFmtId="0" fontId="56" fillId="14" borderId="8" xfId="0" applyFont="1" applyFill="1" applyBorder="1" applyAlignment="1" applyProtection="1">
      <alignment horizontal="center" vertical="center" wrapText="1"/>
      <protection locked="0"/>
    </xf>
    <xf numFmtId="3" fontId="55" fillId="0" borderId="1" xfId="0" applyNumberFormat="1" applyFont="1" applyFill="1" applyBorder="1" applyAlignment="1" applyProtection="1">
      <alignment horizontal="center" vertical="center" wrapText="1"/>
    </xf>
    <xf numFmtId="2" fontId="55" fillId="0" borderId="1" xfId="0" applyNumberFormat="1" applyFont="1" applyFill="1" applyBorder="1" applyAlignment="1" applyProtection="1">
      <alignment horizontal="center" vertical="center" wrapText="1"/>
    </xf>
    <xf numFmtId="10" fontId="55" fillId="0" borderId="1" xfId="0" applyNumberFormat="1" applyFont="1" applyFill="1" applyBorder="1" applyAlignment="1" applyProtection="1">
      <alignment horizontal="center" vertical="center" wrapText="1"/>
    </xf>
    <xf numFmtId="0" fontId="56" fillId="0" borderId="7" xfId="0" applyFont="1" applyFill="1" applyBorder="1" applyAlignment="1" applyProtection="1">
      <alignment horizontal="center" vertical="center" wrapText="1"/>
    </xf>
    <xf numFmtId="0" fontId="56" fillId="0" borderId="9" xfId="0" applyFont="1" applyFill="1" applyBorder="1" applyAlignment="1" applyProtection="1">
      <alignment horizontal="center" vertical="center" wrapText="1"/>
    </xf>
    <xf numFmtId="0" fontId="56" fillId="0" borderId="8" xfId="0" applyFont="1" applyFill="1" applyBorder="1" applyAlignment="1" applyProtection="1">
      <alignment horizontal="center" vertical="center" wrapText="1"/>
    </xf>
    <xf numFmtId="183" fontId="55" fillId="14" borderId="1" xfId="0" applyNumberFormat="1" applyFont="1" applyFill="1" applyBorder="1" applyAlignment="1" applyProtection="1">
      <alignment horizontal="center" vertical="center" wrapText="1"/>
      <protection locked="0"/>
    </xf>
    <xf numFmtId="0" fontId="55" fillId="0" borderId="1" xfId="0" applyFont="1" applyFill="1" applyBorder="1" applyAlignment="1" applyProtection="1">
      <alignment horizontal="center" vertical="center"/>
      <protection locked="0"/>
    </xf>
    <xf numFmtId="0" fontId="56" fillId="14" borderId="7" xfId="0" applyFont="1" applyFill="1" applyBorder="1" applyAlignment="1" applyProtection="1">
      <alignment horizontal="left" vertical="center"/>
    </xf>
    <xf numFmtId="0" fontId="56" fillId="14" borderId="9" xfId="0" applyFont="1" applyFill="1" applyBorder="1" applyAlignment="1" applyProtection="1">
      <alignment horizontal="left" vertical="center"/>
    </xf>
    <xf numFmtId="4" fontId="55" fillId="14" borderId="1" xfId="0" applyNumberFormat="1" applyFont="1" applyFill="1" applyBorder="1" applyAlignment="1" applyProtection="1">
      <alignment horizontal="center" vertical="center" wrapText="1"/>
    </xf>
    <xf numFmtId="0" fontId="55" fillId="14" borderId="7" xfId="0" applyFont="1" applyFill="1" applyBorder="1" applyAlignment="1" applyProtection="1">
      <alignment horizontal="left" vertical="center" wrapText="1"/>
    </xf>
    <xf numFmtId="0" fontId="55" fillId="14" borderId="8" xfId="0" applyFont="1" applyFill="1" applyBorder="1" applyAlignment="1" applyProtection="1">
      <alignment horizontal="left" vertical="center" wrapText="1"/>
    </xf>
    <xf numFmtId="1" fontId="55" fillId="14" borderId="7" xfId="0" applyNumberFormat="1" applyFont="1" applyFill="1" applyBorder="1" applyAlignment="1" applyProtection="1">
      <alignment horizontal="center" vertical="center" wrapText="1"/>
    </xf>
    <xf numFmtId="1" fontId="55" fillId="14" borderId="9" xfId="0" applyNumberFormat="1" applyFont="1" applyFill="1" applyBorder="1" applyAlignment="1" applyProtection="1">
      <alignment horizontal="center" vertical="center" wrapText="1"/>
    </xf>
    <xf numFmtId="1" fontId="55" fillId="14" borderId="8" xfId="0" applyNumberFormat="1" applyFont="1" applyFill="1" applyBorder="1" applyAlignment="1" applyProtection="1">
      <alignment horizontal="center" vertical="center" wrapText="1"/>
    </xf>
    <xf numFmtId="1" fontId="55" fillId="14" borderId="1" xfId="0" applyNumberFormat="1" applyFont="1" applyFill="1" applyBorder="1" applyAlignment="1" applyProtection="1">
      <alignment horizontal="center" vertical="center" wrapText="1"/>
    </xf>
    <xf numFmtId="0" fontId="56" fillId="14" borderId="8" xfId="0" applyFont="1" applyFill="1" applyBorder="1" applyAlignment="1" applyProtection="1">
      <alignment horizontal="left" vertical="center"/>
    </xf>
    <xf numFmtId="0" fontId="55" fillId="0" borderId="7" xfId="0" applyFont="1" applyFill="1" applyBorder="1" applyAlignment="1" applyProtection="1">
      <alignment horizontal="left" vertical="center"/>
    </xf>
    <xf numFmtId="0" fontId="55" fillId="0" borderId="9" xfId="0" applyFont="1" applyFill="1" applyBorder="1" applyAlignment="1" applyProtection="1">
      <alignment horizontal="left" vertical="center"/>
    </xf>
    <xf numFmtId="0" fontId="55" fillId="0" borderId="8" xfId="0" applyFont="1" applyFill="1" applyBorder="1" applyAlignment="1" applyProtection="1">
      <alignment horizontal="left" vertical="center"/>
    </xf>
    <xf numFmtId="2" fontId="55" fillId="0" borderId="1" xfId="0" applyNumberFormat="1" applyFont="1" applyFill="1" applyBorder="1" applyAlignment="1" applyProtection="1">
      <alignment horizontal="center" vertical="center" wrapText="1"/>
      <protection locked="0"/>
    </xf>
    <xf numFmtId="0" fontId="55" fillId="0" borderId="1" xfId="0" applyFont="1" applyFill="1" applyBorder="1" applyAlignment="1" applyProtection="1">
      <alignment horizontal="center" vertical="center" wrapText="1"/>
      <protection locked="0"/>
    </xf>
    <xf numFmtId="10" fontId="55" fillId="0" borderId="7" xfId="114" applyNumberFormat="1" applyFont="1" applyFill="1" applyBorder="1" applyAlignment="1" applyProtection="1">
      <alignment horizontal="center" vertical="center" wrapText="1"/>
    </xf>
    <xf numFmtId="10" fontId="55" fillId="0" borderId="9" xfId="114" applyNumberFormat="1" applyFont="1" applyFill="1" applyBorder="1" applyAlignment="1" applyProtection="1">
      <alignment horizontal="center" vertical="center" wrapText="1"/>
    </xf>
    <xf numFmtId="10" fontId="55" fillId="0" borderId="8" xfId="114" applyNumberFormat="1" applyFont="1" applyFill="1" applyBorder="1" applyAlignment="1" applyProtection="1">
      <alignment horizontal="center" vertical="center" wrapText="1"/>
    </xf>
    <xf numFmtId="183" fontId="55" fillId="17" borderId="1" xfId="0" applyNumberFormat="1" applyFont="1" applyFill="1" applyBorder="1" applyAlignment="1" applyProtection="1">
      <alignment horizontal="center" vertical="center" wrapText="1"/>
      <protection locked="0"/>
    </xf>
    <xf numFmtId="10" fontId="55" fillId="0" borderId="7" xfId="114" applyNumberFormat="1" applyFont="1" applyFill="1" applyBorder="1" applyAlignment="1" applyProtection="1">
      <alignment horizontal="center" vertical="center" wrapText="1"/>
      <protection locked="0"/>
    </xf>
    <xf numFmtId="10" fontId="55" fillId="0" borderId="9" xfId="114" applyNumberFormat="1" applyFont="1" applyFill="1" applyBorder="1" applyAlignment="1" applyProtection="1">
      <alignment horizontal="center" vertical="center" wrapText="1"/>
      <protection locked="0"/>
    </xf>
    <xf numFmtId="10" fontId="55" fillId="0" borderId="8" xfId="114" applyNumberFormat="1" applyFont="1" applyFill="1" applyBorder="1" applyAlignment="1" applyProtection="1">
      <alignment horizontal="center" vertical="center" wrapText="1"/>
      <protection locked="0"/>
    </xf>
    <xf numFmtId="0" fontId="55" fillId="14" borderId="0" xfId="0" applyFont="1" applyFill="1" applyBorder="1" applyAlignment="1" applyProtection="1">
      <alignment horizontal="center" vertical="center"/>
    </xf>
    <xf numFmtId="0" fontId="55" fillId="0" borderId="0" xfId="0" applyFont="1" applyFill="1" applyBorder="1" applyAlignment="1" applyProtection="1">
      <alignment horizontal="center" vertical="center"/>
    </xf>
    <xf numFmtId="2" fontId="55" fillId="17" borderId="1" xfId="0" applyNumberFormat="1" applyFont="1" applyFill="1" applyBorder="1" applyAlignment="1" applyProtection="1">
      <alignment horizontal="center" vertical="center" wrapText="1"/>
      <protection locked="0"/>
    </xf>
    <xf numFmtId="1" fontId="55" fillId="14" borderId="1" xfId="0" applyNumberFormat="1" applyFont="1" applyFill="1" applyBorder="1" applyAlignment="1" applyProtection="1">
      <alignment horizontal="center" vertical="center"/>
    </xf>
    <xf numFmtId="170" fontId="55" fillId="14" borderId="0" xfId="0" applyNumberFormat="1" applyFont="1" applyFill="1" applyBorder="1" applyAlignment="1" applyProtection="1">
      <alignment horizontal="center" vertical="center"/>
    </xf>
    <xf numFmtId="9" fontId="55" fillId="17" borderId="1" xfId="114" applyFont="1" applyFill="1" applyBorder="1" applyAlignment="1" applyProtection="1">
      <alignment horizontal="center" vertical="center" wrapText="1"/>
      <protection locked="0"/>
    </xf>
    <xf numFmtId="0" fontId="55" fillId="14" borderId="7" xfId="0" applyFont="1" applyFill="1" applyBorder="1" applyAlignment="1" applyProtection="1">
      <alignment horizontal="left" vertical="center" wrapText="1" indent="3"/>
    </xf>
    <xf numFmtId="0" fontId="55" fillId="14" borderId="9" xfId="0" applyFont="1" applyFill="1" applyBorder="1" applyAlignment="1" applyProtection="1">
      <alignment horizontal="left" vertical="center" wrapText="1" indent="3"/>
    </xf>
    <xf numFmtId="0" fontId="55" fillId="14" borderId="8" xfId="0" applyFont="1" applyFill="1" applyBorder="1" applyAlignment="1" applyProtection="1">
      <alignment horizontal="left" vertical="center" wrapText="1" indent="3"/>
    </xf>
    <xf numFmtId="2" fontId="55" fillId="14" borderId="0" xfId="0" applyNumberFormat="1" applyFont="1" applyFill="1" applyBorder="1" applyAlignment="1" applyProtection="1">
      <alignment horizontal="center" vertical="center"/>
    </xf>
    <xf numFmtId="2" fontId="55" fillId="14" borderId="1" xfId="0" applyNumberFormat="1" applyFont="1" applyFill="1" applyBorder="1" applyAlignment="1" applyProtection="1">
      <alignment horizontal="center" vertical="center"/>
    </xf>
    <xf numFmtId="1" fontId="55" fillId="14" borderId="1" xfId="0" applyNumberFormat="1" applyFont="1" applyFill="1" applyBorder="1" applyAlignment="1" applyProtection="1">
      <alignment horizontal="center" vertical="center"/>
      <protection locked="0"/>
    </xf>
    <xf numFmtId="0" fontId="55" fillId="14" borderId="1" xfId="0" applyFont="1" applyFill="1" applyBorder="1" applyAlignment="1" applyProtection="1">
      <alignment horizontal="left" vertical="center" wrapText="1"/>
      <protection locked="0"/>
    </xf>
    <xf numFmtId="3" fontId="55" fillId="14" borderId="7" xfId="0" applyNumberFormat="1" applyFont="1" applyFill="1" applyBorder="1" applyAlignment="1" applyProtection="1">
      <alignment horizontal="center" vertical="center" wrapText="1"/>
    </xf>
    <xf numFmtId="3" fontId="55" fillId="14" borderId="9" xfId="0" applyNumberFormat="1" applyFont="1" applyFill="1" applyBorder="1" applyAlignment="1" applyProtection="1">
      <alignment horizontal="center" vertical="center" wrapText="1"/>
    </xf>
    <xf numFmtId="3" fontId="55" fillId="14" borderId="8" xfId="0" applyNumberFormat="1" applyFont="1" applyFill="1" applyBorder="1" applyAlignment="1" applyProtection="1">
      <alignment horizontal="center" vertical="center" wrapText="1"/>
    </xf>
    <xf numFmtId="2" fontId="55" fillId="14" borderId="7" xfId="114" applyNumberFormat="1" applyFont="1" applyFill="1" applyBorder="1" applyAlignment="1" applyProtection="1">
      <alignment horizontal="center" vertical="center"/>
    </xf>
    <xf numFmtId="2" fontId="55" fillId="14" borderId="9" xfId="114" applyNumberFormat="1" applyFont="1" applyFill="1" applyBorder="1" applyAlignment="1" applyProtection="1">
      <alignment horizontal="center" vertical="center"/>
    </xf>
    <xf numFmtId="2" fontId="55" fillId="14" borderId="8" xfId="114" applyNumberFormat="1" applyFont="1" applyFill="1" applyBorder="1" applyAlignment="1" applyProtection="1">
      <alignment horizontal="center" vertical="center"/>
    </xf>
    <xf numFmtId="2" fontId="55" fillId="14" borderId="7" xfId="114" applyNumberFormat="1" applyFont="1" applyFill="1" applyBorder="1" applyAlignment="1" applyProtection="1">
      <alignment horizontal="center" vertical="center" wrapText="1"/>
    </xf>
    <xf numFmtId="2" fontId="55" fillId="14" borderId="9" xfId="114" applyNumberFormat="1" applyFont="1" applyFill="1" applyBorder="1" applyAlignment="1" applyProtection="1">
      <alignment horizontal="center" vertical="center" wrapText="1"/>
    </xf>
    <xf numFmtId="2" fontId="55" fillId="14" borderId="8" xfId="114" applyNumberFormat="1" applyFont="1" applyFill="1" applyBorder="1" applyAlignment="1" applyProtection="1">
      <alignment horizontal="center" vertical="center" wrapText="1"/>
    </xf>
    <xf numFmtId="0" fontId="55" fillId="14" borderId="1" xfId="0" applyNumberFormat="1" applyFont="1" applyFill="1" applyBorder="1" applyAlignment="1">
      <alignment horizontal="left" vertical="center" wrapText="1"/>
    </xf>
    <xf numFmtId="0" fontId="55" fillId="14" borderId="1" xfId="0" applyFont="1" applyFill="1" applyBorder="1" applyAlignment="1">
      <alignment horizontal="left" vertical="center" wrapText="1"/>
    </xf>
    <xf numFmtId="0" fontId="56" fillId="14" borderId="1" xfId="0" applyFont="1" applyFill="1" applyBorder="1" applyAlignment="1">
      <alignment horizontal="center" vertical="center" wrapText="1"/>
    </xf>
    <xf numFmtId="0" fontId="55" fillId="14" borderId="4" xfId="0" applyFont="1" applyFill="1" applyBorder="1" applyAlignment="1">
      <alignment horizontal="left" vertical="center" wrapText="1"/>
    </xf>
    <xf numFmtId="0" fontId="55" fillId="14" borderId="5" xfId="0" applyFont="1" applyFill="1" applyBorder="1" applyAlignment="1">
      <alignment horizontal="left" vertical="center" wrapText="1"/>
    </xf>
    <xf numFmtId="0" fontId="55" fillId="14" borderId="6" xfId="0" applyFont="1" applyFill="1" applyBorder="1" applyAlignment="1">
      <alignment horizontal="left" vertical="center" wrapText="1"/>
    </xf>
    <xf numFmtId="0" fontId="55" fillId="14" borderId="11" xfId="0" applyFont="1" applyFill="1" applyBorder="1" applyAlignment="1">
      <alignment horizontal="left" vertical="center" wrapText="1"/>
    </xf>
    <xf numFmtId="0" fontId="55" fillId="14" borderId="0" xfId="0" applyFont="1" applyFill="1" applyBorder="1" applyAlignment="1">
      <alignment horizontal="left" vertical="center" wrapText="1"/>
    </xf>
    <xf numFmtId="0" fontId="55" fillId="14" borderId="12" xfId="0" applyFont="1" applyFill="1" applyBorder="1" applyAlignment="1">
      <alignment horizontal="left" vertical="center" wrapText="1"/>
    </xf>
    <xf numFmtId="0" fontId="55" fillId="14" borderId="13" xfId="0" applyFont="1" applyFill="1" applyBorder="1" applyAlignment="1">
      <alignment horizontal="left" vertical="center" wrapText="1"/>
    </xf>
    <xf numFmtId="0" fontId="55" fillId="14" borderId="10" xfId="0" applyFont="1" applyFill="1" applyBorder="1" applyAlignment="1">
      <alignment horizontal="left" vertical="center" wrapText="1"/>
    </xf>
    <xf numFmtId="0" fontId="55" fillId="14" borderId="14" xfId="0" applyFont="1" applyFill="1" applyBorder="1" applyAlignment="1">
      <alignment horizontal="left" vertical="center" wrapText="1"/>
    </xf>
    <xf numFmtId="0" fontId="56" fillId="14" borderId="1" xfId="0" applyFont="1" applyFill="1" applyBorder="1" applyAlignment="1">
      <alignment horizontal="center" vertical="center"/>
    </xf>
    <xf numFmtId="49" fontId="55" fillId="14" borderId="10" xfId="0" applyNumberFormat="1" applyFont="1" applyFill="1" applyBorder="1" applyAlignment="1" applyProtection="1">
      <alignment horizontal="center" vertical="center"/>
      <protection locked="0"/>
    </xf>
    <xf numFmtId="0" fontId="55" fillId="14" borderId="4" xfId="0" applyFont="1" applyFill="1" applyBorder="1" applyAlignment="1" applyProtection="1">
      <alignment horizontal="left" vertical="center"/>
    </xf>
    <xf numFmtId="0" fontId="55" fillId="14" borderId="5" xfId="0" applyFont="1" applyFill="1" applyBorder="1" applyAlignment="1" applyProtection="1">
      <alignment horizontal="left" vertical="center"/>
    </xf>
    <xf numFmtId="0" fontId="55" fillId="14" borderId="6" xfId="0" applyFont="1" applyFill="1" applyBorder="1" applyAlignment="1" applyProtection="1">
      <alignment horizontal="left" vertical="center"/>
    </xf>
    <xf numFmtId="0" fontId="55" fillId="14" borderId="11" xfId="0" applyFont="1" applyFill="1" applyBorder="1" applyAlignment="1" applyProtection="1">
      <alignment horizontal="left" vertical="center"/>
    </xf>
    <xf numFmtId="0" fontId="55" fillId="14" borderId="0" xfId="0" applyFont="1" applyFill="1" applyBorder="1" applyAlignment="1" applyProtection="1">
      <alignment horizontal="left" vertical="center"/>
    </xf>
    <xf numFmtId="0" fontId="55" fillId="14" borderId="12" xfId="0" applyFont="1" applyFill="1" applyBorder="1" applyAlignment="1" applyProtection="1">
      <alignment horizontal="left" vertical="center"/>
    </xf>
    <xf numFmtId="0" fontId="55" fillId="14" borderId="13" xfId="0" applyFont="1" applyFill="1" applyBorder="1" applyAlignment="1" applyProtection="1">
      <alignment horizontal="left" vertical="center"/>
    </xf>
    <xf numFmtId="0" fontId="55" fillId="14" borderId="10" xfId="0" applyFont="1" applyFill="1" applyBorder="1" applyAlignment="1" applyProtection="1">
      <alignment horizontal="left" vertical="center"/>
    </xf>
    <xf numFmtId="0" fontId="55" fillId="14" borderId="14" xfId="0" applyFont="1" applyFill="1" applyBorder="1" applyAlignment="1" applyProtection="1">
      <alignment horizontal="left" vertical="center"/>
    </xf>
    <xf numFmtId="2" fontId="56" fillId="0" borderId="7" xfId="0" applyNumberFormat="1" applyFont="1" applyFill="1" applyBorder="1" applyAlignment="1" applyProtection="1">
      <alignment horizontal="center" vertical="center"/>
    </xf>
    <xf numFmtId="2" fontId="56" fillId="0" borderId="9" xfId="0" applyNumberFormat="1" applyFont="1" applyFill="1" applyBorder="1" applyAlignment="1" applyProtection="1">
      <alignment horizontal="center" vertical="center"/>
    </xf>
    <xf numFmtId="2" fontId="56" fillId="0" borderId="8" xfId="0" applyNumberFormat="1" applyFont="1" applyFill="1" applyBorder="1" applyAlignment="1" applyProtection="1">
      <alignment horizontal="center" vertical="center"/>
    </xf>
    <xf numFmtId="0" fontId="55" fillId="0" borderId="3" xfId="0" applyFont="1" applyBorder="1" applyAlignment="1" applyProtection="1">
      <alignment horizontal="center" vertical="center" wrapText="1"/>
      <protection locked="0"/>
    </xf>
    <xf numFmtId="0" fontId="55" fillId="0" borderId="15" xfId="0" applyFont="1" applyBorder="1" applyAlignment="1" applyProtection="1">
      <alignment horizontal="center" vertical="center" wrapText="1"/>
      <protection locked="0"/>
    </xf>
    <xf numFmtId="0" fontId="55" fillId="0" borderId="2" xfId="0" applyFont="1" applyBorder="1" applyAlignment="1" applyProtection="1">
      <alignment horizontal="center" vertical="center" wrapText="1"/>
      <protection locked="0"/>
    </xf>
    <xf numFmtId="0" fontId="56" fillId="14" borderId="3" xfId="0" applyFont="1" applyFill="1" applyBorder="1" applyAlignment="1">
      <alignment horizontal="center" vertical="center"/>
    </xf>
    <xf numFmtId="0" fontId="56" fillId="14" borderId="15" xfId="0" applyFont="1" applyFill="1" applyBorder="1" applyAlignment="1">
      <alignment horizontal="center" vertical="center"/>
    </xf>
    <xf numFmtId="0" fontId="56" fillId="14" borderId="2" xfId="0" applyFont="1" applyFill="1" applyBorder="1" applyAlignment="1">
      <alignment horizontal="center" vertical="center"/>
    </xf>
    <xf numFmtId="9" fontId="55" fillId="14" borderId="1" xfId="0" applyNumberFormat="1" applyFont="1" applyFill="1" applyBorder="1" applyAlignment="1" applyProtection="1">
      <alignment horizontal="center" vertical="center" wrapText="1"/>
    </xf>
    <xf numFmtId="2" fontId="55" fillId="14" borderId="1" xfId="114" applyNumberFormat="1" applyFont="1" applyFill="1" applyBorder="1" applyAlignment="1" applyProtection="1">
      <alignment horizontal="center" vertical="center" wrapText="1"/>
    </xf>
    <xf numFmtId="0" fontId="56" fillId="14" borderId="3" xfId="0" applyFont="1" applyFill="1" applyBorder="1" applyAlignment="1">
      <alignment horizontal="center" vertical="center" wrapText="1"/>
    </xf>
    <xf numFmtId="0" fontId="56" fillId="14" borderId="15" xfId="0" applyFont="1" applyFill="1" applyBorder="1" applyAlignment="1">
      <alignment horizontal="center" vertical="center" wrapText="1"/>
    </xf>
    <xf numFmtId="0" fontId="56" fillId="14" borderId="2" xfId="0" applyFont="1" applyFill="1" applyBorder="1" applyAlignment="1">
      <alignment horizontal="center" vertical="center" wrapText="1"/>
    </xf>
    <xf numFmtId="0" fontId="56" fillId="15" borderId="1" xfId="0" applyFont="1" applyFill="1" applyBorder="1" applyAlignment="1">
      <alignment horizontal="center" vertical="center" wrapText="1"/>
    </xf>
    <xf numFmtId="0" fontId="56" fillId="15" borderId="7" xfId="0" applyFont="1" applyFill="1" applyBorder="1" applyAlignment="1">
      <alignment horizontal="center" vertical="center" wrapText="1"/>
    </xf>
    <xf numFmtId="0" fontId="56" fillId="15" borderId="9" xfId="0" applyFont="1" applyFill="1" applyBorder="1" applyAlignment="1">
      <alignment horizontal="center" vertical="center" wrapText="1"/>
    </xf>
    <xf numFmtId="0" fontId="56" fillId="15" borderId="8" xfId="0" applyFont="1" applyFill="1" applyBorder="1" applyAlignment="1">
      <alignment horizontal="center" vertical="center" wrapText="1"/>
    </xf>
    <xf numFmtId="0" fontId="55" fillId="14" borderId="1" xfId="0" applyFont="1" applyFill="1" applyBorder="1" applyAlignment="1" applyProtection="1">
      <alignment vertical="center"/>
    </xf>
    <xf numFmtId="0" fontId="55" fillId="22" borderId="1" xfId="0" applyFont="1" applyFill="1" applyBorder="1" applyAlignment="1">
      <alignment horizontal="left" vertical="center" wrapText="1"/>
    </xf>
    <xf numFmtId="0" fontId="56" fillId="0" borderId="4" xfId="0" applyFont="1" applyFill="1" applyBorder="1" applyAlignment="1" applyProtection="1">
      <alignment horizontal="center" vertical="center" wrapText="1"/>
    </xf>
    <xf numFmtId="0" fontId="56" fillId="0" borderId="5" xfId="0" applyFont="1" applyFill="1" applyBorder="1" applyAlignment="1" applyProtection="1">
      <alignment horizontal="center" vertical="center" wrapText="1"/>
    </xf>
    <xf numFmtId="0" fontId="56" fillId="0" borderId="6" xfId="0" applyFont="1" applyFill="1" applyBorder="1" applyAlignment="1" applyProtection="1">
      <alignment horizontal="center" vertical="center" wrapText="1"/>
    </xf>
    <xf numFmtId="0" fontId="56" fillId="0" borderId="11" xfId="0" applyFont="1" applyFill="1" applyBorder="1" applyAlignment="1" applyProtection="1">
      <alignment horizontal="center" vertical="center" wrapText="1"/>
    </xf>
    <xf numFmtId="0" fontId="56" fillId="0" borderId="0" xfId="0" applyFont="1" applyFill="1" applyBorder="1" applyAlignment="1" applyProtection="1">
      <alignment horizontal="center" vertical="center" wrapText="1"/>
    </xf>
    <xf numFmtId="0" fontId="56" fillId="0" borderId="12" xfId="0" applyFont="1" applyFill="1" applyBorder="1" applyAlignment="1" applyProtection="1">
      <alignment horizontal="center" vertical="center" wrapText="1"/>
    </xf>
    <xf numFmtId="0" fontId="56" fillId="0" borderId="13" xfId="0" applyFont="1" applyFill="1" applyBorder="1" applyAlignment="1" applyProtection="1">
      <alignment horizontal="center" vertical="center" wrapText="1"/>
    </xf>
    <xf numFmtId="0" fontId="56" fillId="0" borderId="10" xfId="0" applyFont="1" applyFill="1" applyBorder="1" applyAlignment="1" applyProtection="1">
      <alignment horizontal="center" vertical="center" wrapText="1"/>
    </xf>
    <xf numFmtId="0" fontId="56" fillId="0" borderId="14" xfId="0" applyFont="1" applyFill="1" applyBorder="1" applyAlignment="1" applyProtection="1">
      <alignment horizontal="center" vertical="center" wrapText="1"/>
    </xf>
    <xf numFmtId="0" fontId="55" fillId="17" borderId="1" xfId="0" applyFont="1" applyFill="1" applyBorder="1" applyAlignment="1" applyProtection="1">
      <alignment horizontal="center" vertical="center" wrapText="1"/>
      <protection hidden="1"/>
    </xf>
    <xf numFmtId="184" fontId="55" fillId="14" borderId="0" xfId="0" applyNumberFormat="1" applyFont="1" applyFill="1" applyBorder="1" applyAlignment="1" applyProtection="1">
      <alignment horizontal="center" vertical="center" wrapText="1"/>
      <protection locked="0"/>
    </xf>
    <xf numFmtId="2" fontId="55" fillId="0" borderId="7" xfId="0" applyNumberFormat="1" applyFont="1" applyFill="1" applyBorder="1" applyAlignment="1" applyProtection="1">
      <alignment horizontal="center" vertical="center"/>
    </xf>
    <xf numFmtId="39" fontId="55" fillId="14" borderId="7" xfId="0" applyNumberFormat="1" applyFont="1" applyFill="1" applyBorder="1" applyAlignment="1" applyProtection="1">
      <alignment horizontal="center" vertical="center"/>
    </xf>
    <xf numFmtId="184" fontId="55" fillId="14" borderId="7" xfId="0" applyNumberFormat="1" applyFont="1" applyFill="1" applyBorder="1" applyAlignment="1" applyProtection="1">
      <alignment horizontal="center" vertical="center" wrapText="1"/>
    </xf>
    <xf numFmtId="184" fontId="55" fillId="14" borderId="9" xfId="0" applyNumberFormat="1" applyFont="1" applyFill="1" applyBorder="1" applyAlignment="1" applyProtection="1">
      <alignment horizontal="center" vertical="center" wrapText="1"/>
    </xf>
    <xf numFmtId="184" fontId="55" fillId="14" borderId="8" xfId="0" applyNumberFormat="1" applyFont="1" applyFill="1" applyBorder="1" applyAlignment="1" applyProtection="1">
      <alignment horizontal="center" vertical="center" wrapText="1"/>
    </xf>
    <xf numFmtId="0" fontId="55" fillId="14" borderId="0" xfId="0" applyFont="1" applyFill="1" applyBorder="1" applyAlignment="1" applyProtection="1">
      <alignment horizontal="right" vertical="center" wrapText="1"/>
      <protection locked="0"/>
    </xf>
    <xf numFmtId="0" fontId="55" fillId="14" borderId="12" xfId="0" applyFont="1" applyFill="1" applyBorder="1" applyAlignment="1" applyProtection="1">
      <alignment horizontal="right" vertical="center" wrapText="1"/>
      <protection locked="0"/>
    </xf>
    <xf numFmtId="3" fontId="55" fillId="14" borderId="7" xfId="0" applyNumberFormat="1" applyFont="1" applyFill="1" applyBorder="1" applyAlignment="1" applyProtection="1">
      <alignment horizontal="center" vertical="center"/>
    </xf>
    <xf numFmtId="0" fontId="56" fillId="15" borderId="4" xfId="0" applyFont="1" applyFill="1" applyBorder="1" applyAlignment="1" applyProtection="1">
      <alignment horizontal="center" vertical="center" wrapText="1"/>
    </xf>
    <xf numFmtId="0" fontId="56" fillId="15" borderId="5" xfId="0" applyFont="1" applyFill="1" applyBorder="1" applyAlignment="1" applyProtection="1">
      <alignment horizontal="center" vertical="center" wrapText="1"/>
    </xf>
    <xf numFmtId="0" fontId="56" fillId="15" borderId="6" xfId="0" applyFont="1" applyFill="1" applyBorder="1" applyAlignment="1" applyProtection="1">
      <alignment horizontal="center" vertical="center" wrapText="1"/>
    </xf>
    <xf numFmtId="0" fontId="56" fillId="15" borderId="13" xfId="0" applyFont="1" applyFill="1" applyBorder="1" applyAlignment="1" applyProtection="1">
      <alignment horizontal="center" vertical="center" wrapText="1"/>
    </xf>
    <xf numFmtId="0" fontId="56" fillId="15" borderId="10" xfId="0" applyFont="1" applyFill="1" applyBorder="1" applyAlignment="1" applyProtection="1">
      <alignment horizontal="center" vertical="center" wrapText="1"/>
    </xf>
    <xf numFmtId="0" fontId="56" fillId="15" borderId="14" xfId="0" applyFont="1" applyFill="1" applyBorder="1" applyAlignment="1" applyProtection="1">
      <alignment horizontal="center" vertical="center" wrapText="1"/>
    </xf>
    <xf numFmtId="1" fontId="55" fillId="14" borderId="4" xfId="0" applyNumberFormat="1" applyFont="1" applyFill="1" applyBorder="1" applyAlignment="1" applyProtection="1">
      <alignment horizontal="center" vertical="center" wrapText="1"/>
    </xf>
    <xf numFmtId="0" fontId="55" fillId="14" borderId="5" xfId="0" applyFont="1" applyFill="1" applyBorder="1" applyAlignment="1" applyProtection="1">
      <alignment horizontal="center" vertical="center" wrapText="1"/>
    </xf>
    <xf numFmtId="0" fontId="55" fillId="14" borderId="6" xfId="0" applyFont="1" applyFill="1" applyBorder="1" applyAlignment="1" applyProtection="1">
      <alignment horizontal="center" vertical="center" wrapText="1"/>
    </xf>
    <xf numFmtId="0" fontId="55" fillId="14" borderId="0" xfId="0" applyFont="1" applyFill="1" applyBorder="1" applyAlignment="1" applyProtection="1">
      <alignment horizontal="right" vertical="center"/>
      <protection locked="0"/>
    </xf>
    <xf numFmtId="0" fontId="55" fillId="14" borderId="12" xfId="0" applyFont="1" applyFill="1" applyBorder="1" applyAlignment="1" applyProtection="1">
      <alignment horizontal="right" vertical="center"/>
      <protection locked="0"/>
    </xf>
    <xf numFmtId="182" fontId="55" fillId="14" borderId="1" xfId="0" applyNumberFormat="1" applyFont="1" applyFill="1" applyBorder="1" applyAlignment="1" applyProtection="1">
      <alignment horizontal="center" vertical="center" wrapText="1"/>
    </xf>
    <xf numFmtId="179" fontId="55" fillId="14" borderId="1" xfId="0" applyNumberFormat="1" applyFont="1" applyFill="1" applyBorder="1" applyAlignment="1" applyProtection="1">
      <alignment horizontal="center" vertical="center" wrapText="1"/>
      <protection locked="0"/>
    </xf>
    <xf numFmtId="49" fontId="55" fillId="14" borderId="1" xfId="0" applyNumberFormat="1" applyFont="1" applyFill="1" applyBorder="1" applyAlignment="1" applyProtection="1">
      <alignment horizontal="center" vertical="center"/>
    </xf>
    <xf numFmtId="49" fontId="55" fillId="14" borderId="7" xfId="0" applyNumberFormat="1" applyFont="1" applyFill="1" applyBorder="1" applyAlignment="1" applyProtection="1">
      <alignment horizontal="center" vertical="center"/>
    </xf>
    <xf numFmtId="49" fontId="55" fillId="14" borderId="9" xfId="0" applyNumberFormat="1" applyFont="1" applyFill="1" applyBorder="1" applyAlignment="1" applyProtection="1">
      <alignment horizontal="center" vertical="center"/>
    </xf>
    <xf numFmtId="49" fontId="55" fillId="14" borderId="8" xfId="0" applyNumberFormat="1" applyFont="1" applyFill="1" applyBorder="1" applyAlignment="1" applyProtection="1">
      <alignment horizontal="center" vertical="center"/>
    </xf>
    <xf numFmtId="49" fontId="56" fillId="15" borderId="1" xfId="0" applyNumberFormat="1" applyFont="1" applyFill="1" applyBorder="1" applyAlignment="1" applyProtection="1">
      <alignment horizontal="center" vertical="center" wrapText="1"/>
    </xf>
    <xf numFmtId="2" fontId="56" fillId="15" borderId="1" xfId="0" applyNumberFormat="1" applyFont="1" applyFill="1" applyBorder="1" applyAlignment="1" applyProtection="1">
      <alignment horizontal="center" vertical="center" wrapText="1"/>
    </xf>
    <xf numFmtId="0" fontId="56" fillId="14" borderId="1" xfId="0" applyFont="1" applyFill="1" applyBorder="1" applyAlignment="1" applyProtection="1">
      <alignment horizontal="center" vertical="center"/>
    </xf>
    <xf numFmtId="2" fontId="56" fillId="15" borderId="1" xfId="0" applyNumberFormat="1" applyFont="1" applyFill="1" applyBorder="1" applyAlignment="1" applyProtection="1">
      <alignment horizontal="center" vertical="center"/>
    </xf>
    <xf numFmtId="179" fontId="56" fillId="14" borderId="1" xfId="0" applyNumberFormat="1" applyFont="1" applyFill="1" applyBorder="1" applyAlignment="1" applyProtection="1">
      <alignment horizontal="center" vertical="center" wrapText="1"/>
      <protection locked="0"/>
    </xf>
    <xf numFmtId="49" fontId="55" fillId="14" borderId="1" xfId="0" applyNumberFormat="1" applyFont="1" applyFill="1" applyBorder="1" applyAlignment="1" applyProtection="1">
      <alignment horizontal="left" vertical="center"/>
    </xf>
    <xf numFmtId="49" fontId="56" fillId="14" borderId="7" xfId="0" applyNumberFormat="1" applyFont="1" applyFill="1" applyBorder="1" applyAlignment="1" applyProtection="1">
      <alignment horizontal="center" vertical="center"/>
    </xf>
    <xf numFmtId="49" fontId="56" fillId="14" borderId="9" xfId="0" applyNumberFormat="1" applyFont="1" applyFill="1" applyBorder="1" applyAlignment="1" applyProtection="1">
      <alignment horizontal="center" vertical="center"/>
    </xf>
    <xf numFmtId="49" fontId="56" fillId="14" borderId="8" xfId="0" applyNumberFormat="1" applyFont="1" applyFill="1" applyBorder="1" applyAlignment="1" applyProtection="1">
      <alignment horizontal="center" vertical="center"/>
    </xf>
    <xf numFmtId="2" fontId="56" fillId="14" borderId="7" xfId="0" applyNumberFormat="1" applyFont="1" applyFill="1" applyBorder="1" applyAlignment="1" applyProtection="1">
      <alignment horizontal="center" vertical="center" wrapText="1"/>
    </xf>
    <xf numFmtId="2" fontId="56" fillId="14" borderId="8" xfId="0" applyNumberFormat="1" applyFont="1" applyFill="1" applyBorder="1" applyAlignment="1" applyProtection="1">
      <alignment horizontal="center" vertical="center" wrapText="1"/>
    </xf>
    <xf numFmtId="179" fontId="56" fillId="14" borderId="1" xfId="0" applyNumberFormat="1" applyFont="1" applyFill="1" applyBorder="1" applyAlignment="1" applyProtection="1">
      <alignment horizontal="center" vertical="center" wrapText="1"/>
    </xf>
    <xf numFmtId="179" fontId="55" fillId="14" borderId="1" xfId="0" applyNumberFormat="1" applyFont="1" applyFill="1" applyBorder="1" applyAlignment="1" applyProtection="1">
      <alignment horizontal="center" vertical="center" wrapText="1"/>
    </xf>
    <xf numFmtId="0" fontId="56" fillId="15" borderId="11" xfId="0" applyFont="1" applyFill="1" applyBorder="1" applyAlignment="1" applyProtection="1">
      <alignment horizontal="center" vertical="center" wrapText="1"/>
    </xf>
    <xf numFmtId="0" fontId="56" fillId="15" borderId="0" xfId="0" applyFont="1" applyFill="1" applyBorder="1" applyAlignment="1" applyProtection="1">
      <alignment horizontal="center" vertical="center" wrapText="1"/>
    </xf>
    <xf numFmtId="0" fontId="56" fillId="15" borderId="12" xfId="0" applyFont="1" applyFill="1" applyBorder="1" applyAlignment="1" applyProtection="1">
      <alignment horizontal="center" vertical="center" wrapText="1"/>
    </xf>
    <xf numFmtId="49" fontId="56" fillId="0" borderId="7" xfId="0" applyNumberFormat="1" applyFont="1" applyFill="1" applyBorder="1" applyAlignment="1" applyProtection="1">
      <alignment horizontal="left" vertical="center" wrapText="1"/>
    </xf>
    <xf numFmtId="0" fontId="56" fillId="0" borderId="9" xfId="0" applyFont="1" applyFill="1" applyBorder="1" applyAlignment="1" applyProtection="1">
      <alignment horizontal="left" vertical="center" wrapText="1"/>
    </xf>
    <xf numFmtId="0" fontId="56" fillId="0" borderId="8" xfId="0" applyFont="1" applyFill="1" applyBorder="1" applyAlignment="1" applyProtection="1">
      <alignment horizontal="left" vertical="center" wrapText="1"/>
    </xf>
    <xf numFmtId="0" fontId="56" fillId="0" borderId="1" xfId="0" applyNumberFormat="1" applyFont="1" applyFill="1" applyBorder="1" applyAlignment="1" applyProtection="1">
      <alignment horizontal="center" vertical="center" wrapText="1"/>
      <protection locked="0"/>
    </xf>
    <xf numFmtId="0" fontId="56" fillId="15" borderId="1" xfId="0" applyNumberFormat="1" applyFont="1" applyFill="1" applyBorder="1" applyAlignment="1" applyProtection="1">
      <alignment horizontal="center" vertical="center" wrapText="1"/>
    </xf>
    <xf numFmtId="0" fontId="56" fillId="15" borderId="1" xfId="0" applyNumberFormat="1" applyFont="1" applyFill="1" applyBorder="1" applyAlignment="1" applyProtection="1">
      <alignment horizontal="center" vertical="center"/>
    </xf>
    <xf numFmtId="1" fontId="55" fillId="0" borderId="1" xfId="0" quotePrefix="1" applyNumberFormat="1" applyFont="1" applyFill="1" applyBorder="1" applyAlignment="1" applyProtection="1">
      <alignment horizontal="center" vertical="center" wrapText="1"/>
      <protection locked="0"/>
    </xf>
    <xf numFmtId="1" fontId="55" fillId="0" borderId="1" xfId="0" applyNumberFormat="1" applyFont="1" applyFill="1" applyBorder="1" applyAlignment="1" applyProtection="1">
      <alignment horizontal="center" vertical="center" wrapText="1"/>
      <protection locked="0"/>
    </xf>
    <xf numFmtId="0" fontId="55" fillId="14" borderId="1" xfId="0" applyNumberFormat="1" applyFont="1" applyFill="1" applyBorder="1" applyAlignment="1" applyProtection="1">
      <alignment horizontal="left" vertical="center"/>
    </xf>
    <xf numFmtId="0" fontId="55" fillId="14" borderId="1" xfId="0" applyNumberFormat="1"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protection locked="0"/>
    </xf>
    <xf numFmtId="0" fontId="55" fillId="14" borderId="1" xfId="0" applyNumberFormat="1" applyFont="1" applyFill="1" applyBorder="1" applyAlignment="1" applyProtection="1">
      <alignment horizontal="center" vertical="center"/>
    </xf>
    <xf numFmtId="49" fontId="56" fillId="14" borderId="1" xfId="0" applyNumberFormat="1" applyFont="1" applyFill="1" applyBorder="1" applyAlignment="1" applyProtection="1">
      <alignment horizontal="left" vertical="center"/>
    </xf>
    <xf numFmtId="3" fontId="56" fillId="15" borderId="9" xfId="0" applyNumberFormat="1" applyFont="1" applyFill="1" applyBorder="1" applyAlignment="1" applyProtection="1">
      <alignment horizontal="center" vertical="center"/>
    </xf>
    <xf numFmtId="3" fontId="56" fillId="15" borderId="8" xfId="0" applyNumberFormat="1" applyFont="1" applyFill="1" applyBorder="1" applyAlignment="1" applyProtection="1">
      <alignment horizontal="center" vertical="center"/>
    </xf>
    <xf numFmtId="3" fontId="56" fillId="15" borderId="1" xfId="0" applyNumberFormat="1" applyFont="1" applyFill="1" applyBorder="1" applyAlignment="1" applyProtection="1">
      <alignment horizontal="center" vertical="center"/>
    </xf>
    <xf numFmtId="3" fontId="56" fillId="15" borderId="7" xfId="0" applyNumberFormat="1" applyFont="1" applyFill="1" applyBorder="1" applyAlignment="1" applyProtection="1">
      <alignment horizontal="center" vertical="center"/>
    </xf>
    <xf numFmtId="0" fontId="55" fillId="14" borderId="7" xfId="0" applyNumberFormat="1" applyFont="1" applyFill="1" applyBorder="1" applyAlignment="1" applyProtection="1">
      <alignment horizontal="center" vertical="center"/>
    </xf>
    <xf numFmtId="0" fontId="55" fillId="14" borderId="9" xfId="0" applyNumberFormat="1" applyFont="1" applyFill="1" applyBorder="1" applyAlignment="1" applyProtection="1">
      <alignment horizontal="center" vertical="center"/>
    </xf>
    <xf numFmtId="0" fontId="55" fillId="14" borderId="8" xfId="0" applyNumberFormat="1" applyFont="1" applyFill="1" applyBorder="1" applyAlignment="1" applyProtection="1">
      <alignment horizontal="center" vertical="center"/>
    </xf>
    <xf numFmtId="0" fontId="56" fillId="14" borderId="0" xfId="0" applyNumberFormat="1" applyFont="1" applyFill="1" applyBorder="1" applyAlignment="1" applyProtection="1">
      <alignment horizontal="center" vertical="center"/>
      <protection locked="0"/>
    </xf>
    <xf numFmtId="0" fontId="56" fillId="14" borderId="10" xfId="0" applyFont="1" applyFill="1" applyBorder="1" applyAlignment="1" applyProtection="1">
      <alignment horizontal="left" vertical="center" wrapText="1"/>
    </xf>
    <xf numFmtId="3" fontId="55" fillId="14" borderId="9" xfId="0" applyNumberFormat="1" applyFont="1" applyFill="1" applyBorder="1" applyAlignment="1" applyProtection="1">
      <alignment horizontal="center" vertical="center"/>
    </xf>
    <xf numFmtId="3" fontId="55" fillId="14" borderId="8" xfId="0" applyNumberFormat="1" applyFont="1" applyFill="1" applyBorder="1" applyAlignment="1" applyProtection="1">
      <alignment horizontal="center" vertical="center"/>
    </xf>
    <xf numFmtId="1" fontId="56" fillId="0" borderId="7" xfId="0" applyNumberFormat="1" applyFont="1" applyFill="1" applyBorder="1" applyAlignment="1" applyProtection="1">
      <alignment horizontal="center" vertical="center"/>
      <protection locked="0"/>
    </xf>
    <xf numFmtId="1" fontId="56" fillId="0" borderId="9" xfId="0" applyNumberFormat="1" applyFont="1" applyFill="1" applyBorder="1" applyAlignment="1" applyProtection="1">
      <alignment horizontal="center" vertical="center"/>
      <protection locked="0"/>
    </xf>
    <xf numFmtId="1" fontId="56" fillId="0" borderId="8" xfId="0" applyNumberFormat="1" applyFont="1" applyFill="1" applyBorder="1" applyAlignment="1" applyProtection="1">
      <alignment horizontal="center" vertical="center"/>
      <protection locked="0"/>
    </xf>
    <xf numFmtId="0" fontId="55" fillId="14" borderId="9" xfId="0" applyFont="1" applyFill="1" applyBorder="1" applyAlignment="1" applyProtection="1">
      <alignment horizontal="center" vertical="center"/>
      <protection locked="0"/>
    </xf>
    <xf numFmtId="0" fontId="55" fillId="14" borderId="8" xfId="0" applyFont="1" applyFill="1" applyBorder="1" applyAlignment="1" applyProtection="1">
      <alignment horizontal="center" vertical="center"/>
      <protection locked="0"/>
    </xf>
    <xf numFmtId="0" fontId="55" fillId="15" borderId="1" xfId="0" applyFont="1" applyFill="1" applyBorder="1" applyAlignment="1" applyProtection="1">
      <alignment horizontal="left" vertical="center" wrapText="1"/>
    </xf>
    <xf numFmtId="0" fontId="55" fillId="17" borderId="4" xfId="0" applyFont="1" applyFill="1" applyBorder="1" applyAlignment="1" applyProtection="1">
      <alignment horizontal="center" vertical="center"/>
      <protection locked="0"/>
    </xf>
    <xf numFmtId="0" fontId="55" fillId="17" borderId="5" xfId="0" applyFont="1" applyFill="1" applyBorder="1" applyAlignment="1" applyProtection="1">
      <alignment horizontal="center" vertical="center"/>
      <protection locked="0"/>
    </xf>
    <xf numFmtId="0" fontId="55" fillId="17" borderId="6" xfId="0" applyFont="1" applyFill="1" applyBorder="1" applyAlignment="1" applyProtection="1">
      <alignment horizontal="center" vertical="center"/>
      <protection locked="0"/>
    </xf>
    <xf numFmtId="0" fontId="55" fillId="26" borderId="7" xfId="0" applyFont="1" applyFill="1" applyBorder="1" applyAlignment="1" applyProtection="1">
      <alignment horizontal="center" vertical="center"/>
    </xf>
    <xf numFmtId="0" fontId="55" fillId="26" borderId="9" xfId="0" applyFont="1" applyFill="1" applyBorder="1" applyAlignment="1" applyProtection="1">
      <alignment horizontal="center" vertical="center"/>
    </xf>
    <xf numFmtId="0" fontId="55" fillId="26" borderId="8" xfId="0" applyFont="1" applyFill="1" applyBorder="1" applyAlignment="1" applyProtection="1">
      <alignment horizontal="center" vertical="center"/>
    </xf>
    <xf numFmtId="0" fontId="55" fillId="14" borderId="4" xfId="0" applyFont="1" applyFill="1" applyBorder="1" applyAlignment="1" applyProtection="1">
      <alignment horizontal="center" vertical="center" wrapText="1"/>
    </xf>
    <xf numFmtId="0" fontId="55" fillId="14" borderId="11" xfId="0" applyFont="1" applyFill="1" applyBorder="1" applyAlignment="1" applyProtection="1">
      <alignment horizontal="center" vertical="center" wrapText="1"/>
    </xf>
    <xf numFmtId="0" fontId="55" fillId="14" borderId="12" xfId="0" applyFont="1" applyFill="1" applyBorder="1" applyAlignment="1" applyProtection="1">
      <alignment horizontal="center" vertical="center" wrapText="1"/>
    </xf>
    <xf numFmtId="0" fontId="55" fillId="17" borderId="4" xfId="0" applyFont="1" applyFill="1" applyBorder="1" applyAlignment="1" applyProtection="1">
      <alignment horizontal="center" vertical="center" wrapText="1"/>
      <protection locked="0"/>
    </xf>
    <xf numFmtId="0" fontId="55" fillId="17" borderId="5" xfId="0" applyFont="1" applyFill="1" applyBorder="1" applyAlignment="1" applyProtection="1">
      <alignment horizontal="center" vertical="center" wrapText="1"/>
      <protection locked="0"/>
    </xf>
    <xf numFmtId="0" fontId="55" fillId="17" borderId="6" xfId="0" applyFont="1" applyFill="1" applyBorder="1" applyAlignment="1" applyProtection="1">
      <alignment horizontal="center" vertical="center" wrapText="1"/>
      <protection locked="0"/>
    </xf>
    <xf numFmtId="0" fontId="55" fillId="17" borderId="13" xfId="0" applyFont="1" applyFill="1" applyBorder="1" applyAlignment="1" applyProtection="1">
      <alignment horizontal="center" vertical="center" wrapText="1"/>
      <protection locked="0"/>
    </xf>
    <xf numFmtId="0" fontId="55" fillId="17" borderId="10" xfId="0" applyFont="1" applyFill="1" applyBorder="1" applyAlignment="1" applyProtection="1">
      <alignment horizontal="center" vertical="center" wrapText="1"/>
      <protection locked="0"/>
    </xf>
    <xf numFmtId="0" fontId="55" fillId="17" borderId="14" xfId="0" applyFont="1" applyFill="1" applyBorder="1" applyAlignment="1" applyProtection="1">
      <alignment horizontal="center" vertical="center" wrapText="1"/>
      <protection locked="0"/>
    </xf>
    <xf numFmtId="4" fontId="55" fillId="14" borderId="0" xfId="0" applyNumberFormat="1" applyFont="1" applyFill="1" applyBorder="1" applyAlignment="1" applyProtection="1">
      <alignment horizontal="center" vertical="center" wrapText="1"/>
    </xf>
    <xf numFmtId="2" fontId="55" fillId="0" borderId="4" xfId="0" applyNumberFormat="1" applyFont="1" applyFill="1" applyBorder="1" applyAlignment="1" applyProtection="1">
      <alignment horizontal="center" vertical="center"/>
      <protection locked="0"/>
    </xf>
    <xf numFmtId="0" fontId="55" fillId="0" borderId="5" xfId="0" applyFont="1" applyFill="1" applyBorder="1" applyAlignment="1" applyProtection="1">
      <alignment horizontal="center" vertical="center"/>
      <protection locked="0"/>
    </xf>
    <xf numFmtId="0" fontId="55" fillId="0" borderId="6" xfId="0" applyFont="1" applyFill="1" applyBorder="1" applyAlignment="1" applyProtection="1">
      <alignment horizontal="center" vertical="center"/>
      <protection locked="0"/>
    </xf>
    <xf numFmtId="0" fontId="55" fillId="0" borderId="1" xfId="0" applyFont="1" applyFill="1" applyBorder="1" applyAlignment="1" applyProtection="1">
      <alignment horizontal="center" vertical="center"/>
    </xf>
    <xf numFmtId="0" fontId="55" fillId="14" borderId="0" xfId="0" quotePrefix="1" applyFont="1" applyFill="1" applyBorder="1" applyAlignment="1" applyProtection="1">
      <alignment horizontal="center" vertical="center" wrapText="1"/>
    </xf>
    <xf numFmtId="4" fontId="55" fillId="14" borderId="7" xfId="0" applyNumberFormat="1" applyFont="1" applyFill="1" applyBorder="1" applyAlignment="1" applyProtection="1">
      <alignment horizontal="center" vertical="center"/>
    </xf>
    <xf numFmtId="4" fontId="55" fillId="14" borderId="9" xfId="0" applyNumberFormat="1" applyFont="1" applyFill="1" applyBorder="1" applyAlignment="1" applyProtection="1">
      <alignment horizontal="center" vertical="center"/>
    </xf>
    <xf numFmtId="0" fontId="56" fillId="15" borderId="4" xfId="0" applyFont="1" applyFill="1" applyBorder="1" applyAlignment="1" applyProtection="1">
      <alignment horizontal="center" vertical="center" textRotation="90" wrapText="1"/>
    </xf>
    <xf numFmtId="0" fontId="55" fillId="15" borderId="5" xfId="0" applyFont="1" applyFill="1" applyBorder="1" applyAlignment="1" applyProtection="1">
      <alignment horizontal="center" vertical="center" textRotation="90" wrapText="1"/>
    </xf>
    <xf numFmtId="0" fontId="55" fillId="15" borderId="6" xfId="0" applyFont="1" applyFill="1" applyBorder="1" applyAlignment="1" applyProtection="1">
      <alignment horizontal="center" vertical="center" textRotation="90" wrapText="1"/>
    </xf>
    <xf numFmtId="0" fontId="55" fillId="15" borderId="11" xfId="0" applyFont="1" applyFill="1" applyBorder="1" applyAlignment="1" applyProtection="1">
      <alignment horizontal="center" vertical="center" textRotation="90" wrapText="1"/>
    </xf>
    <xf numFmtId="0" fontId="55" fillId="15" borderId="0" xfId="0" applyFont="1" applyFill="1" applyAlignment="1" applyProtection="1">
      <alignment horizontal="center" vertical="center" textRotation="90" wrapText="1"/>
    </xf>
    <xf numFmtId="0" fontId="55" fillId="15" borderId="12" xfId="0" applyFont="1" applyFill="1" applyBorder="1" applyAlignment="1" applyProtection="1">
      <alignment horizontal="center" vertical="center" textRotation="90" wrapText="1"/>
    </xf>
    <xf numFmtId="0" fontId="55" fillId="26" borderId="1" xfId="0" applyFont="1" applyFill="1" applyBorder="1" applyAlignment="1" applyProtection="1">
      <alignment horizontal="center" vertical="center"/>
    </xf>
    <xf numFmtId="0" fontId="56" fillId="15" borderId="4" xfId="0" applyFont="1" applyFill="1" applyBorder="1" applyAlignment="1" applyProtection="1">
      <alignment horizontal="center" vertical="center"/>
    </xf>
    <xf numFmtId="0" fontId="56" fillId="15" borderId="5" xfId="0" applyFont="1" applyFill="1" applyBorder="1" applyAlignment="1" applyProtection="1">
      <alignment horizontal="center" vertical="center"/>
    </xf>
    <xf numFmtId="0" fontId="56" fillId="15" borderId="6" xfId="0" applyFont="1" applyFill="1" applyBorder="1" applyAlignment="1" applyProtection="1">
      <alignment horizontal="center" vertical="center"/>
    </xf>
    <xf numFmtId="0" fontId="56" fillId="15" borderId="5" xfId="0" applyFont="1" applyFill="1" applyBorder="1" applyAlignment="1" applyProtection="1">
      <alignment horizontal="center" vertical="center" textRotation="90" wrapText="1"/>
    </xf>
    <xf numFmtId="0" fontId="56" fillId="15" borderId="6" xfId="0" applyFont="1" applyFill="1" applyBorder="1" applyAlignment="1" applyProtection="1">
      <alignment horizontal="center" vertical="center" textRotation="90" wrapText="1"/>
    </xf>
    <xf numFmtId="0" fontId="56" fillId="15" borderId="11" xfId="0" applyFont="1" applyFill="1" applyBorder="1" applyAlignment="1" applyProtection="1">
      <alignment horizontal="center" vertical="center" textRotation="90" wrapText="1"/>
    </xf>
    <xf numFmtId="0" fontId="56" fillId="15" borderId="0" xfId="0" applyFont="1" applyFill="1" applyBorder="1" applyAlignment="1" applyProtection="1">
      <alignment horizontal="center" vertical="center" textRotation="90" wrapText="1"/>
    </xf>
    <xf numFmtId="0" fontId="56" fillId="15" borderId="12" xfId="0" applyFont="1" applyFill="1" applyBorder="1" applyAlignment="1" applyProtection="1">
      <alignment horizontal="center" vertical="center" textRotation="90" wrapText="1"/>
    </xf>
    <xf numFmtId="0" fontId="56" fillId="15" borderId="13" xfId="0" applyFont="1" applyFill="1" applyBorder="1" applyAlignment="1" applyProtection="1">
      <alignment horizontal="center" vertical="center" textRotation="90" wrapText="1"/>
    </xf>
    <xf numFmtId="0" fontId="56" fillId="15" borderId="10" xfId="0" applyFont="1" applyFill="1" applyBorder="1" applyAlignment="1" applyProtection="1">
      <alignment horizontal="center" vertical="center" textRotation="90" wrapText="1"/>
    </xf>
    <xf numFmtId="0" fontId="56" fillId="15" borderId="14" xfId="0" applyFont="1" applyFill="1" applyBorder="1" applyAlignment="1" applyProtection="1">
      <alignment horizontal="center" vertical="center" textRotation="90" wrapText="1"/>
    </xf>
    <xf numFmtId="0" fontId="55" fillId="14" borderId="3" xfId="0" applyFont="1" applyFill="1" applyBorder="1" applyAlignment="1" applyProtection="1">
      <alignment horizontal="left" vertical="center" wrapText="1"/>
    </xf>
    <xf numFmtId="3" fontId="55" fillId="0" borderId="1" xfId="0" applyNumberFormat="1" applyFont="1" applyFill="1" applyBorder="1" applyAlignment="1" applyProtection="1">
      <alignment horizontal="center" vertical="center"/>
      <protection locked="0"/>
    </xf>
    <xf numFmtId="1" fontId="55" fillId="14" borderId="13" xfId="0" applyNumberFormat="1" applyFont="1" applyFill="1" applyBorder="1" applyAlignment="1">
      <alignment horizontal="center" vertical="center"/>
    </xf>
    <xf numFmtId="0" fontId="55" fillId="14" borderId="10" xfId="0" applyFont="1" applyFill="1" applyBorder="1" applyAlignment="1">
      <alignment horizontal="center" vertical="center"/>
    </xf>
    <xf numFmtId="1" fontId="55" fillId="14" borderId="4" xfId="0" applyNumberFormat="1" applyFont="1" applyFill="1" applyBorder="1" applyAlignment="1">
      <alignment horizontal="center" vertical="center"/>
    </xf>
    <xf numFmtId="0" fontId="55" fillId="14" borderId="5" xfId="0" applyFont="1" applyFill="1" applyBorder="1" applyAlignment="1">
      <alignment horizontal="center" vertical="center"/>
    </xf>
    <xf numFmtId="0" fontId="74" fillId="0" borderId="0" xfId="0" applyFont="1" applyBorder="1" applyAlignment="1">
      <alignment horizontal="left" vertical="center"/>
    </xf>
    <xf numFmtId="0" fontId="55" fillId="17" borderId="7" xfId="0" applyFont="1" applyFill="1" applyBorder="1" applyAlignment="1" applyProtection="1">
      <alignment horizontal="center" vertical="center"/>
    </xf>
    <xf numFmtId="0" fontId="55" fillId="17" borderId="9" xfId="0" applyFont="1" applyFill="1" applyBorder="1" applyAlignment="1" applyProtection="1">
      <alignment horizontal="center" vertical="center"/>
    </xf>
    <xf numFmtId="0" fontId="55" fillId="17" borderId="8" xfId="0" applyFont="1" applyFill="1" applyBorder="1" applyAlignment="1" applyProtection="1">
      <alignment horizontal="center" vertical="center"/>
    </xf>
    <xf numFmtId="0" fontId="56" fillId="14" borderId="5" xfId="0" applyFont="1" applyFill="1" applyBorder="1" applyAlignment="1" applyProtection="1">
      <alignment horizontal="center" vertical="center"/>
    </xf>
    <xf numFmtId="179" fontId="55" fillId="14" borderId="7" xfId="0" applyNumberFormat="1" applyFont="1" applyFill="1" applyBorder="1" applyAlignment="1" applyProtection="1">
      <alignment horizontal="center" vertical="center" wrapText="1"/>
      <protection locked="0"/>
    </xf>
    <xf numFmtId="179" fontId="55" fillId="14" borderId="9" xfId="0" applyNumberFormat="1" applyFont="1" applyFill="1" applyBorder="1" applyAlignment="1" applyProtection="1">
      <alignment horizontal="center" vertical="center" wrapText="1"/>
      <protection locked="0"/>
    </xf>
    <xf numFmtId="179" fontId="55" fillId="14" borderId="8" xfId="0" applyNumberFormat="1" applyFont="1" applyFill="1" applyBorder="1" applyAlignment="1" applyProtection="1">
      <alignment horizontal="center" vertical="center" wrapText="1"/>
      <protection locked="0"/>
    </xf>
    <xf numFmtId="0" fontId="56" fillId="14" borderId="0" xfId="0" applyFont="1" applyFill="1" applyBorder="1" applyAlignment="1" applyProtection="1">
      <alignment horizontal="center" wrapText="1"/>
      <protection locked="0"/>
    </xf>
    <xf numFmtId="49" fontId="56" fillId="15" borderId="1" xfId="0" applyNumberFormat="1" applyFont="1" applyFill="1" applyBorder="1" applyAlignment="1" applyProtection="1">
      <alignment horizontal="center" vertical="center"/>
    </xf>
    <xf numFmtId="1" fontId="55" fillId="0" borderId="1" xfId="0" applyNumberFormat="1" applyFont="1" applyFill="1" applyBorder="1" applyAlignment="1" applyProtection="1">
      <alignment horizontal="center" vertical="center" wrapText="1"/>
    </xf>
    <xf numFmtId="0" fontId="55" fillId="14" borderId="13" xfId="0" applyFont="1" applyFill="1" applyBorder="1" applyAlignment="1" applyProtection="1">
      <alignment horizontal="center" vertical="center" wrapText="1"/>
    </xf>
    <xf numFmtId="0" fontId="55" fillId="14" borderId="10" xfId="0" applyFont="1" applyFill="1" applyBorder="1" applyAlignment="1" applyProtection="1">
      <alignment horizontal="center" vertical="center" wrapText="1"/>
    </xf>
    <xf numFmtId="0" fontId="55" fillId="14" borderId="14" xfId="0" applyFont="1" applyFill="1" applyBorder="1" applyAlignment="1" applyProtection="1">
      <alignment horizontal="center" vertical="center" wrapText="1"/>
    </xf>
    <xf numFmtId="1" fontId="55" fillId="0" borderId="4" xfId="0" applyNumberFormat="1" applyFont="1" applyFill="1" applyBorder="1" applyAlignment="1" applyProtection="1">
      <alignment horizontal="center" vertical="center" wrapText="1"/>
    </xf>
    <xf numFmtId="0" fontId="44" fillId="0" borderId="7" xfId="0" applyFont="1" applyFill="1" applyBorder="1" applyAlignment="1" applyProtection="1">
      <alignment horizontal="center" vertical="center" wrapText="1"/>
    </xf>
    <xf numFmtId="0" fontId="44" fillId="0" borderId="9" xfId="0" applyFont="1" applyFill="1" applyBorder="1" applyAlignment="1" applyProtection="1">
      <alignment horizontal="center" vertical="center" wrapText="1"/>
    </xf>
    <xf numFmtId="0" fontId="44" fillId="0" borderId="8" xfId="0" applyFont="1" applyFill="1" applyBorder="1" applyAlignment="1" applyProtection="1">
      <alignment horizontal="center" vertical="center" wrapText="1"/>
    </xf>
    <xf numFmtId="182" fontId="55" fillId="0" borderId="1" xfId="0" applyNumberFormat="1" applyFont="1" applyFill="1" applyBorder="1" applyAlignment="1" applyProtection="1">
      <alignment horizontal="center" vertical="center" wrapText="1"/>
    </xf>
    <xf numFmtId="0" fontId="56" fillId="17" borderId="9" xfId="0" applyFont="1" applyFill="1" applyBorder="1" applyAlignment="1" applyProtection="1">
      <alignment horizontal="center" vertical="center" wrapText="1"/>
      <protection locked="0"/>
    </xf>
    <xf numFmtId="0" fontId="56" fillId="15" borderId="1" xfId="0" applyFont="1" applyFill="1" applyBorder="1" applyAlignment="1" applyProtection="1">
      <alignment horizontal="center" vertical="center" wrapText="1"/>
      <protection locked="0"/>
    </xf>
    <xf numFmtId="0" fontId="44" fillId="0" borderId="1" xfId="0" applyFont="1" applyFill="1" applyBorder="1" applyAlignment="1" applyProtection="1">
      <alignment horizontal="center" vertical="center" wrapText="1"/>
    </xf>
    <xf numFmtId="0" fontId="56" fillId="17" borderId="4" xfId="0" applyFont="1" applyFill="1" applyBorder="1" applyAlignment="1" applyProtection="1">
      <alignment horizontal="center" vertical="center" wrapText="1"/>
      <protection locked="0"/>
    </xf>
    <xf numFmtId="0" fontId="56" fillId="17" borderId="5" xfId="0" applyFont="1" applyFill="1" applyBorder="1" applyAlignment="1" applyProtection="1">
      <alignment horizontal="center" vertical="center" wrapText="1"/>
      <protection locked="0"/>
    </xf>
    <xf numFmtId="0" fontId="56" fillId="17" borderId="6" xfId="0" applyFont="1" applyFill="1" applyBorder="1" applyAlignment="1" applyProtection="1">
      <alignment horizontal="center" vertical="center" wrapText="1"/>
      <protection locked="0"/>
    </xf>
    <xf numFmtId="1" fontId="76" fillId="0" borderId="1" xfId="0" applyNumberFormat="1" applyFont="1" applyFill="1" applyBorder="1" applyAlignment="1" applyProtection="1">
      <alignment horizontal="center" vertical="center" wrapText="1"/>
    </xf>
    <xf numFmtId="1" fontId="56" fillId="17" borderId="4" xfId="0" applyNumberFormat="1" applyFont="1" applyFill="1" applyBorder="1" applyAlignment="1" applyProtection="1">
      <alignment horizontal="center" vertical="center" wrapText="1"/>
      <protection locked="0"/>
    </xf>
    <xf numFmtId="1" fontId="56" fillId="17" borderId="1" xfId="0" applyNumberFormat="1" applyFont="1" applyFill="1" applyBorder="1" applyAlignment="1" applyProtection="1">
      <alignment horizontal="center" vertical="center" wrapText="1"/>
      <protection locked="0"/>
    </xf>
    <xf numFmtId="1" fontId="55" fillId="0" borderId="5" xfId="0" applyNumberFormat="1" applyFont="1" applyFill="1" applyBorder="1" applyAlignment="1" applyProtection="1">
      <alignment horizontal="center" vertical="center" wrapText="1"/>
    </xf>
    <xf numFmtId="0" fontId="55" fillId="14" borderId="11" xfId="0" applyFont="1" applyFill="1" applyBorder="1" applyAlignment="1" applyProtection="1">
      <alignment horizontal="center" vertical="center" wrapText="1"/>
      <protection locked="0"/>
    </xf>
    <xf numFmtId="0" fontId="55" fillId="14" borderId="12" xfId="0" applyFont="1" applyFill="1" applyBorder="1" applyAlignment="1" applyProtection="1">
      <alignment horizontal="center" vertical="center" wrapText="1"/>
      <protection locked="0"/>
    </xf>
    <xf numFmtId="0" fontId="55" fillId="14" borderId="0" xfId="0" applyFont="1" applyFill="1" applyBorder="1" applyAlignment="1" applyProtection="1">
      <alignment horizontal="center" vertical="center"/>
      <protection locked="0"/>
    </xf>
    <xf numFmtId="0" fontId="55" fillId="17" borderId="3" xfId="0" applyFont="1" applyFill="1" applyBorder="1" applyAlignment="1" applyProtection="1">
      <alignment horizontal="center" vertical="center"/>
      <protection locked="0"/>
    </xf>
    <xf numFmtId="0" fontId="56" fillId="15" borderId="1" xfId="0" applyFont="1" applyFill="1" applyBorder="1" applyAlignment="1" applyProtection="1">
      <alignment horizontal="center" vertical="center" textRotation="90" wrapText="1"/>
    </xf>
    <xf numFmtId="2" fontId="55" fillId="14" borderId="7" xfId="0" applyNumberFormat="1" applyFont="1" applyFill="1" applyBorder="1" applyAlignment="1" applyProtection="1">
      <alignment horizontal="center" vertical="center"/>
      <protection locked="0"/>
    </xf>
    <xf numFmtId="2" fontId="55" fillId="14" borderId="9" xfId="0" applyNumberFormat="1" applyFont="1" applyFill="1" applyBorder="1" applyAlignment="1" applyProtection="1">
      <alignment horizontal="center" vertical="center"/>
      <protection locked="0"/>
    </xf>
    <xf numFmtId="2" fontId="55" fillId="14" borderId="8" xfId="0" applyNumberFormat="1" applyFont="1" applyFill="1" applyBorder="1" applyAlignment="1" applyProtection="1">
      <alignment horizontal="center" vertical="center"/>
      <protection locked="0"/>
    </xf>
    <xf numFmtId="183" fontId="55" fillId="14" borderId="7" xfId="0" applyNumberFormat="1" applyFont="1" applyFill="1" applyBorder="1" applyAlignment="1" applyProtection="1">
      <alignment horizontal="center" vertical="center"/>
    </xf>
    <xf numFmtId="183" fontId="55" fillId="14" borderId="9" xfId="0" applyNumberFormat="1" applyFont="1" applyFill="1" applyBorder="1" applyAlignment="1" applyProtection="1">
      <alignment horizontal="center" vertical="center"/>
    </xf>
    <xf numFmtId="49" fontId="56" fillId="15" borderId="7" xfId="0" applyNumberFormat="1" applyFont="1" applyFill="1" applyBorder="1" applyAlignment="1" applyProtection="1">
      <alignment horizontal="center" vertical="center" wrapText="1"/>
    </xf>
    <xf numFmtId="49" fontId="56" fillId="15" borderId="9" xfId="0" applyNumberFormat="1" applyFont="1" applyFill="1" applyBorder="1" applyAlignment="1" applyProtection="1">
      <alignment horizontal="center" vertical="center" wrapText="1"/>
    </xf>
    <xf numFmtId="49" fontId="56" fillId="15" borderId="8" xfId="0" applyNumberFormat="1" applyFont="1" applyFill="1" applyBorder="1" applyAlignment="1" applyProtection="1">
      <alignment horizontal="center" vertical="center" wrapText="1"/>
    </xf>
    <xf numFmtId="49" fontId="56" fillId="14" borderId="1" xfId="0" applyNumberFormat="1" applyFont="1" applyFill="1" applyBorder="1" applyAlignment="1" applyProtection="1">
      <alignment horizontal="center" vertical="center"/>
    </xf>
    <xf numFmtId="0" fontId="40" fillId="0" borderId="11" xfId="0" applyFont="1" applyFill="1" applyBorder="1" applyAlignment="1">
      <alignment horizontal="center" vertical="center" wrapText="1"/>
    </xf>
    <xf numFmtId="0" fontId="73" fillId="20" borderId="0" xfId="0" applyFont="1" applyFill="1" applyBorder="1" applyAlignment="1" applyProtection="1">
      <alignment horizontal="left" vertical="center" wrapText="1"/>
    </xf>
    <xf numFmtId="0" fontId="43" fillId="14" borderId="0" xfId="0" applyFont="1" applyFill="1" applyAlignment="1">
      <alignment horizontal="center" wrapText="1"/>
    </xf>
    <xf numFmtId="0" fontId="56" fillId="14" borderId="10" xfId="0" applyFont="1" applyFill="1" applyBorder="1" applyAlignment="1" applyProtection="1">
      <alignment horizontal="center" vertical="center"/>
    </xf>
    <xf numFmtId="1" fontId="55" fillId="17" borderId="7" xfId="0" applyNumberFormat="1" applyFont="1" applyFill="1" applyBorder="1" applyAlignment="1" applyProtection="1">
      <alignment horizontal="center" vertical="center"/>
      <protection locked="0"/>
    </xf>
    <xf numFmtId="1" fontId="55" fillId="17" borderId="9" xfId="0" applyNumberFormat="1" applyFont="1" applyFill="1" applyBorder="1" applyAlignment="1" applyProtection="1">
      <alignment horizontal="center" vertical="center"/>
      <protection locked="0"/>
    </xf>
    <xf numFmtId="0" fontId="55" fillId="14" borderId="0" xfId="0" applyFont="1" applyFill="1" applyBorder="1" applyAlignment="1" applyProtection="1">
      <alignment horizontal="left" vertical="center" wrapText="1"/>
      <protection locked="0"/>
    </xf>
    <xf numFmtId="0" fontId="27" fillId="0" borderId="5" xfId="0" applyFont="1" applyBorder="1" applyAlignment="1" applyProtection="1">
      <alignment horizontal="left" vertical="center"/>
    </xf>
    <xf numFmtId="0" fontId="55" fillId="14" borderId="1" xfId="0" applyFont="1" applyFill="1" applyBorder="1" applyAlignment="1" applyProtection="1">
      <alignment horizontal="center"/>
    </xf>
    <xf numFmtId="186" fontId="55" fillId="14" borderId="1" xfId="0" applyNumberFormat="1" applyFont="1" applyFill="1" applyBorder="1" applyAlignment="1" applyProtection="1">
      <alignment horizontal="center" vertical="center" wrapText="1"/>
      <protection locked="0"/>
    </xf>
    <xf numFmtId="0" fontId="43" fillId="0" borderId="3" xfId="0" applyFont="1" applyBorder="1" applyAlignment="1">
      <alignment horizontal="center" vertical="center" wrapText="1"/>
    </xf>
    <xf numFmtId="0" fontId="43" fillId="0" borderId="2" xfId="0" applyFont="1" applyBorder="1" applyAlignment="1">
      <alignment horizontal="center" vertical="center" wrapText="1"/>
    </xf>
    <xf numFmtId="0" fontId="43" fillId="0" borderId="1" xfId="0" applyFont="1" applyBorder="1" applyAlignment="1">
      <alignment horizontal="center" vertical="center" wrapText="1"/>
    </xf>
    <xf numFmtId="0" fontId="62" fillId="20" borderId="0" xfId="0" applyFont="1" applyFill="1" applyBorder="1" applyAlignment="1" applyProtection="1">
      <alignment horizontal="center" vertical="center" wrapText="1"/>
      <protection locked="0"/>
    </xf>
    <xf numFmtId="0" fontId="43" fillId="0" borderId="15" xfId="0" applyFont="1" applyBorder="1" applyAlignment="1">
      <alignment horizontal="center" vertical="center" wrapText="1"/>
    </xf>
    <xf numFmtId="0" fontId="38" fillId="0" borderId="3" xfId="0" applyFont="1" applyFill="1" applyBorder="1" applyAlignment="1">
      <alignment horizontal="center" vertical="center" wrapText="1"/>
    </xf>
    <xf numFmtId="0" fontId="38" fillId="0" borderId="2" xfId="0" applyFont="1" applyFill="1" applyBorder="1" applyAlignment="1">
      <alignment horizontal="center" vertical="center" wrapText="1"/>
    </xf>
    <xf numFmtId="0" fontId="43" fillId="0" borderId="3" xfId="0" applyFont="1" applyBorder="1" applyAlignment="1">
      <alignment horizontal="left" vertical="center" wrapText="1"/>
    </xf>
    <xf numFmtId="0" fontId="43" fillId="0" borderId="2" xfId="0" applyFont="1" applyBorder="1" applyAlignment="1">
      <alignment horizontal="left" vertical="center" wrapText="1"/>
    </xf>
    <xf numFmtId="0" fontId="38" fillId="0" borderId="0" xfId="0" applyFont="1" applyAlignment="1">
      <alignment horizontal="center"/>
    </xf>
    <xf numFmtId="0" fontId="38" fillId="0" borderId="15" xfId="0" applyFont="1" applyFill="1" applyBorder="1" applyAlignment="1">
      <alignment horizontal="center" vertical="center" wrapText="1"/>
    </xf>
    <xf numFmtId="0" fontId="43" fillId="0" borderId="15" xfId="0" applyFont="1" applyBorder="1" applyAlignment="1">
      <alignment horizontal="left" vertical="center" wrapText="1"/>
    </xf>
    <xf numFmtId="0" fontId="43" fillId="0" borderId="3" xfId="0" applyFont="1" applyFill="1" applyBorder="1" applyAlignment="1">
      <alignment horizontal="left" vertical="center" wrapText="1"/>
    </xf>
    <xf numFmtId="0" fontId="43" fillId="0" borderId="15" xfId="0" applyFont="1" applyFill="1" applyBorder="1" applyAlignment="1">
      <alignment horizontal="left" vertical="center" wrapText="1"/>
    </xf>
    <xf numFmtId="0" fontId="44" fillId="0" borderId="1" xfId="0" applyFont="1" applyBorder="1" applyAlignment="1">
      <alignment horizontal="center" vertical="center" wrapText="1"/>
    </xf>
    <xf numFmtId="0" fontId="43" fillId="0" borderId="3" xfId="0" applyFont="1" applyFill="1" applyBorder="1" applyAlignment="1">
      <alignment horizontal="center" vertical="center" wrapText="1"/>
    </xf>
    <xf numFmtId="0" fontId="43" fillId="0" borderId="2" xfId="0" applyFont="1" applyFill="1" applyBorder="1" applyAlignment="1">
      <alignment horizontal="center" vertical="center" wrapText="1"/>
    </xf>
    <xf numFmtId="0" fontId="43" fillId="0" borderId="15" xfId="0" applyFont="1" applyFill="1" applyBorder="1" applyAlignment="1">
      <alignment horizontal="center" vertical="center" wrapText="1"/>
    </xf>
    <xf numFmtId="0" fontId="43" fillId="23" borderId="1" xfId="0" applyFont="1" applyFill="1" applyBorder="1" applyAlignment="1">
      <alignment horizontal="center" vertical="center" wrapText="1"/>
    </xf>
    <xf numFmtId="0" fontId="43" fillId="0" borderId="1" xfId="0" applyFont="1" applyFill="1" applyBorder="1" applyAlignment="1">
      <alignment horizontal="center" vertical="center" wrapText="1"/>
    </xf>
    <xf numFmtId="0" fontId="43" fillId="23" borderId="3" xfId="0" applyFont="1" applyFill="1" applyBorder="1" applyAlignment="1">
      <alignment horizontal="center" vertical="center" wrapText="1"/>
    </xf>
    <xf numFmtId="0" fontId="43" fillId="23" borderId="15" xfId="0" applyFont="1" applyFill="1" applyBorder="1" applyAlignment="1">
      <alignment horizontal="center" vertical="center" wrapText="1"/>
    </xf>
    <xf numFmtId="0" fontId="43" fillId="23" borderId="2" xfId="0" applyFont="1" applyFill="1" applyBorder="1" applyAlignment="1">
      <alignment horizontal="center" vertical="center" wrapText="1"/>
    </xf>
    <xf numFmtId="0" fontId="38" fillId="0" borderId="0" xfId="0" applyFont="1" applyFill="1" applyBorder="1" applyAlignment="1">
      <alignment horizontal="center" vertical="center" wrapText="1"/>
    </xf>
    <xf numFmtId="0" fontId="39" fillId="0" borderId="12" xfId="0" applyFont="1" applyBorder="1" applyAlignment="1">
      <alignment horizontal="center" vertical="center" wrapText="1"/>
    </xf>
    <xf numFmtId="0" fontId="39" fillId="0" borderId="0" xfId="0" applyFont="1" applyBorder="1" applyAlignment="1">
      <alignment horizontal="center" vertical="center" wrapText="1"/>
    </xf>
    <xf numFmtId="0" fontId="44" fillId="0" borderId="7" xfId="0" applyFont="1" applyBorder="1" applyAlignment="1">
      <alignment horizontal="center" vertical="center" wrapText="1"/>
    </xf>
    <xf numFmtId="0" fontId="44" fillId="0" borderId="9" xfId="0" applyFont="1" applyBorder="1" applyAlignment="1">
      <alignment horizontal="center" vertical="center" wrapText="1"/>
    </xf>
    <xf numFmtId="0" fontId="44" fillId="0" borderId="8" xfId="0" applyFont="1" applyBorder="1" applyAlignment="1">
      <alignment horizontal="center" vertical="center" wrapText="1"/>
    </xf>
    <xf numFmtId="0" fontId="43" fillId="0" borderId="3" xfId="0" applyFont="1" applyBorder="1" applyAlignment="1">
      <alignment horizontal="center" vertical="center"/>
    </xf>
    <xf numFmtId="0" fontId="43" fillId="0" borderId="15" xfId="0" applyFont="1" applyBorder="1" applyAlignment="1">
      <alignment horizontal="center" vertical="center"/>
    </xf>
    <xf numFmtId="0" fontId="54" fillId="20" borderId="0" xfId="0" applyFont="1" applyFill="1" applyAlignment="1">
      <alignment horizontal="center"/>
    </xf>
    <xf numFmtId="0" fontId="43" fillId="0" borderId="1" xfId="0" applyFont="1" applyFill="1" applyBorder="1" applyAlignment="1" applyProtection="1">
      <alignment horizontal="left" vertical="center"/>
      <protection locked="0"/>
    </xf>
    <xf numFmtId="0" fontId="43" fillId="17" borderId="1" xfId="0" applyFont="1" applyFill="1" applyBorder="1" applyAlignment="1" applyProtection="1">
      <alignment horizontal="center" vertical="center"/>
      <protection locked="0"/>
    </xf>
    <xf numFmtId="170" fontId="43" fillId="0" borderId="1" xfId="0" applyNumberFormat="1" applyFont="1" applyFill="1" applyBorder="1" applyAlignment="1" applyProtection="1">
      <alignment horizontal="center" vertical="center"/>
      <protection locked="0"/>
    </xf>
    <xf numFmtId="0" fontId="43" fillId="17" borderId="7" xfId="0" applyFont="1" applyFill="1" applyBorder="1" applyAlignment="1" applyProtection="1">
      <alignment horizontal="center" vertical="center"/>
      <protection locked="0"/>
    </xf>
    <xf numFmtId="0" fontId="43" fillId="17" borderId="9" xfId="0" applyFont="1" applyFill="1" applyBorder="1" applyAlignment="1" applyProtection="1">
      <alignment horizontal="center" vertical="center"/>
      <protection locked="0"/>
    </xf>
    <xf numFmtId="0" fontId="43" fillId="17" borderId="8" xfId="0" applyFont="1" applyFill="1" applyBorder="1" applyAlignment="1" applyProtection="1">
      <alignment horizontal="center" vertical="center"/>
      <protection locked="0"/>
    </xf>
    <xf numFmtId="10" fontId="43" fillId="17" borderId="1" xfId="0" applyNumberFormat="1" applyFont="1" applyFill="1" applyBorder="1" applyAlignment="1" applyProtection="1">
      <alignment horizontal="center" vertical="center"/>
      <protection locked="0"/>
    </xf>
    <xf numFmtId="0" fontId="43" fillId="0" borderId="0" xfId="0" applyFont="1" applyBorder="1" applyAlignment="1" applyProtection="1">
      <alignment horizontal="center" vertical="center"/>
      <protection locked="0"/>
    </xf>
    <xf numFmtId="0" fontId="44" fillId="15" borderId="1" xfId="0" applyFont="1" applyFill="1" applyBorder="1" applyAlignment="1" applyProtection="1">
      <alignment horizontal="center" vertical="center" wrapText="1"/>
      <protection locked="0"/>
    </xf>
    <xf numFmtId="9" fontId="43" fillId="0" borderId="1" xfId="0" applyNumberFormat="1" applyFont="1" applyBorder="1" applyAlignment="1" applyProtection="1">
      <alignment horizontal="center" vertical="center"/>
      <protection locked="0"/>
    </xf>
    <xf numFmtId="0" fontId="43" fillId="0" borderId="1" xfId="0" applyFont="1" applyBorder="1" applyAlignment="1" applyProtection="1">
      <alignment horizontal="center" vertical="center"/>
      <protection locked="0"/>
    </xf>
    <xf numFmtId="170" fontId="44" fillId="15" borderId="1" xfId="0" applyNumberFormat="1" applyFont="1" applyFill="1" applyBorder="1" applyAlignment="1" applyProtection="1">
      <alignment horizontal="center" vertical="center" wrapText="1"/>
    </xf>
    <xf numFmtId="0" fontId="43" fillId="0" borderId="1" xfId="0" applyFont="1" applyFill="1" applyBorder="1" applyAlignment="1" applyProtection="1">
      <alignment horizontal="left" vertical="center"/>
    </xf>
    <xf numFmtId="0" fontId="43" fillId="0" borderId="7" xfId="0" applyFont="1" applyFill="1" applyBorder="1" applyAlignment="1" applyProtection="1">
      <alignment horizontal="left" vertical="center"/>
    </xf>
    <xf numFmtId="0" fontId="43" fillId="0" borderId="9" xfId="0" applyFont="1" applyFill="1" applyBorder="1" applyAlignment="1" applyProtection="1">
      <alignment horizontal="left" vertical="center"/>
    </xf>
    <xf numFmtId="0" fontId="43" fillId="0" borderId="8" xfId="0" applyFont="1" applyFill="1" applyBorder="1" applyAlignment="1" applyProtection="1">
      <alignment horizontal="left" vertical="center"/>
    </xf>
    <xf numFmtId="0" fontId="43" fillId="0" borderId="1" xfId="0" applyFont="1" applyFill="1" applyBorder="1" applyAlignment="1" applyProtection="1">
      <alignment horizontal="left" vertical="center" wrapText="1"/>
    </xf>
    <xf numFmtId="0" fontId="43" fillId="0" borderId="7" xfId="0" applyFont="1" applyFill="1" applyBorder="1" applyAlignment="1" applyProtection="1">
      <alignment horizontal="left" vertical="center" wrapText="1"/>
    </xf>
    <xf numFmtId="0" fontId="43" fillId="0" borderId="9" xfId="0" applyFont="1" applyFill="1" applyBorder="1" applyAlignment="1" applyProtection="1">
      <alignment horizontal="left" vertical="center" wrapText="1"/>
    </xf>
    <xf numFmtId="0" fontId="43" fillId="0" borderId="8" xfId="0" applyFont="1" applyFill="1" applyBorder="1" applyAlignment="1" applyProtection="1">
      <alignment horizontal="left" vertical="center" wrapText="1"/>
    </xf>
    <xf numFmtId="2" fontId="43" fillId="17" borderId="1" xfId="0" applyNumberFormat="1" applyFont="1" applyFill="1" applyBorder="1" applyAlignment="1" applyProtection="1">
      <alignment horizontal="center" vertical="center"/>
      <protection locked="0"/>
    </xf>
    <xf numFmtId="0" fontId="43" fillId="17" borderId="1" xfId="0" applyFont="1" applyFill="1" applyBorder="1" applyAlignment="1" applyProtection="1">
      <alignment horizontal="center" vertical="center" wrapText="1"/>
    </xf>
    <xf numFmtId="0" fontId="44" fillId="15" borderId="1" xfId="0" applyFont="1" applyFill="1" applyBorder="1" applyAlignment="1" applyProtection="1">
      <alignment horizontal="center" vertical="center" wrapText="1"/>
    </xf>
    <xf numFmtId="4" fontId="44" fillId="0" borderId="1" xfId="0" applyNumberFormat="1" applyFont="1" applyFill="1" applyBorder="1" applyAlignment="1" applyProtection="1">
      <alignment horizontal="center" vertical="center"/>
    </xf>
    <xf numFmtId="4" fontId="44" fillId="15" borderId="1" xfId="0" applyNumberFormat="1" applyFont="1" applyFill="1" applyBorder="1" applyAlignment="1" applyProtection="1">
      <alignment horizontal="center" vertical="center"/>
    </xf>
    <xf numFmtId="0" fontId="43" fillId="15" borderId="0" xfId="0" applyFont="1" applyFill="1" applyAlignment="1" applyProtection="1">
      <alignment horizontal="center" vertical="center"/>
      <protection locked="0"/>
    </xf>
    <xf numFmtId="0" fontId="43" fillId="0" borderId="1" xfId="0" applyFont="1" applyFill="1" applyBorder="1" applyAlignment="1" applyProtection="1">
      <alignment horizontal="center" vertical="center" wrapText="1"/>
    </xf>
    <xf numFmtId="0" fontId="43" fillId="0" borderId="1" xfId="0" applyFont="1" applyFill="1" applyBorder="1" applyAlignment="1" applyProtection="1">
      <alignment vertical="center" wrapText="1"/>
    </xf>
    <xf numFmtId="2" fontId="43" fillId="0" borderId="1" xfId="0" applyNumberFormat="1" applyFont="1" applyFill="1" applyBorder="1" applyAlignment="1" applyProtection="1">
      <alignment horizontal="center" vertical="center" wrapText="1"/>
    </xf>
    <xf numFmtId="0" fontId="43" fillId="17" borderId="1" xfId="0" applyFont="1" applyFill="1" applyBorder="1" applyAlignment="1" applyProtection="1">
      <alignment horizontal="center" vertical="center" wrapText="1"/>
      <protection locked="0"/>
    </xf>
    <xf numFmtId="0" fontId="43" fillId="25" borderId="1" xfId="0" applyFont="1" applyFill="1" applyBorder="1" applyAlignment="1" applyProtection="1">
      <alignment horizontal="center" vertical="center" wrapText="1"/>
      <protection locked="0"/>
    </xf>
    <xf numFmtId="0" fontId="44" fillId="25" borderId="1" xfId="0" applyFont="1" applyFill="1" applyBorder="1" applyAlignment="1" applyProtection="1">
      <alignment horizontal="center" vertical="center" wrapText="1"/>
    </xf>
    <xf numFmtId="0" fontId="44" fillId="17" borderId="1" xfId="0" applyFont="1" applyFill="1" applyBorder="1" applyAlignment="1" applyProtection="1">
      <alignment horizontal="center" vertical="center" wrapText="1"/>
    </xf>
    <xf numFmtId="9" fontId="43" fillId="0" borderId="1" xfId="0" applyNumberFormat="1" applyFont="1" applyFill="1" applyBorder="1" applyAlignment="1" applyProtection="1">
      <alignment horizontal="center" vertical="center" wrapText="1"/>
      <protection locked="0"/>
    </xf>
    <xf numFmtId="4" fontId="44" fillId="0" borderId="7" xfId="0" applyNumberFormat="1" applyFont="1" applyFill="1" applyBorder="1" applyAlignment="1" applyProtection="1">
      <alignment horizontal="center" vertical="center"/>
    </xf>
    <xf numFmtId="4" fontId="44" fillId="0" borderId="9" xfId="0" applyNumberFormat="1" applyFont="1" applyFill="1" applyBorder="1" applyAlignment="1" applyProtection="1">
      <alignment horizontal="center" vertical="center"/>
    </xf>
    <xf numFmtId="4" fontId="44" fillId="0" borderId="8" xfId="0" applyNumberFormat="1" applyFont="1" applyFill="1" applyBorder="1" applyAlignment="1" applyProtection="1">
      <alignment horizontal="center" vertical="center"/>
    </xf>
    <xf numFmtId="1" fontId="44" fillId="0" borderId="1" xfId="0" applyNumberFormat="1" applyFont="1" applyFill="1" applyBorder="1" applyAlignment="1" applyProtection="1">
      <alignment horizontal="center" vertical="center" wrapText="1"/>
      <protection locked="0"/>
    </xf>
    <xf numFmtId="4" fontId="43" fillId="0" borderId="7" xfId="0" applyNumberFormat="1" applyFont="1" applyFill="1" applyBorder="1" applyAlignment="1">
      <alignment horizontal="center"/>
    </xf>
    <xf numFmtId="4" fontId="43" fillId="0" borderId="9" xfId="0" applyNumberFormat="1" applyFont="1" applyFill="1" applyBorder="1" applyAlignment="1">
      <alignment horizontal="center"/>
    </xf>
    <xf numFmtId="4" fontId="43" fillId="0" borderId="8" xfId="0" applyNumberFormat="1" applyFont="1" applyFill="1" applyBorder="1" applyAlignment="1">
      <alignment horizontal="center"/>
    </xf>
    <xf numFmtId="2" fontId="43" fillId="0" borderId="7" xfId="0" applyNumberFormat="1" applyFont="1" applyFill="1" applyBorder="1" applyAlignment="1">
      <alignment horizontal="center"/>
    </xf>
    <xf numFmtId="2" fontId="43" fillId="0" borderId="9" xfId="0" applyNumberFormat="1" applyFont="1" applyFill="1" applyBorder="1" applyAlignment="1">
      <alignment horizontal="center"/>
    </xf>
    <xf numFmtId="2" fontId="43" fillId="0" borderId="8" xfId="0" applyNumberFormat="1" applyFont="1" applyFill="1" applyBorder="1" applyAlignment="1">
      <alignment horizontal="center"/>
    </xf>
    <xf numFmtId="1" fontId="43" fillId="17" borderId="1" xfId="0" applyNumberFormat="1" applyFont="1" applyFill="1" applyBorder="1" applyAlignment="1" applyProtection="1">
      <alignment horizontal="center" vertical="center" wrapText="1"/>
    </xf>
    <xf numFmtId="10" fontId="43" fillId="0" borderId="1" xfId="0" applyNumberFormat="1" applyFont="1" applyBorder="1" applyAlignment="1" applyProtection="1">
      <alignment horizontal="center" vertical="center"/>
      <protection locked="0"/>
    </xf>
    <xf numFmtId="0" fontId="43" fillId="0" borderId="1" xfId="0" applyFont="1" applyFill="1" applyBorder="1" applyAlignment="1" applyProtection="1">
      <alignment horizontal="center" vertical="center" wrapText="1"/>
      <protection locked="0"/>
    </xf>
    <xf numFmtId="0" fontId="44" fillId="0" borderId="1" xfId="0" applyFont="1" applyFill="1" applyBorder="1" applyAlignment="1" applyProtection="1">
      <alignment horizontal="center" vertical="center" wrapText="1"/>
      <protection locked="0"/>
    </xf>
    <xf numFmtId="0" fontId="65" fillId="15" borderId="4" xfId="0" applyFont="1" applyFill="1" applyBorder="1" applyAlignment="1" applyProtection="1">
      <alignment horizontal="center" vertical="center" wrapText="1"/>
      <protection locked="0"/>
    </xf>
    <xf numFmtId="0" fontId="65" fillId="15" borderId="5" xfId="0" applyFont="1" applyFill="1" applyBorder="1" applyAlignment="1" applyProtection="1">
      <alignment horizontal="center" vertical="center" wrapText="1"/>
      <protection locked="0"/>
    </xf>
    <xf numFmtId="0" fontId="65" fillId="15" borderId="6" xfId="0" applyFont="1" applyFill="1" applyBorder="1" applyAlignment="1" applyProtection="1">
      <alignment horizontal="center" vertical="center" wrapText="1"/>
      <protection locked="0"/>
    </xf>
    <xf numFmtId="0" fontId="43" fillId="0" borderId="0" xfId="0" applyFont="1" applyFill="1" applyBorder="1" applyAlignment="1" applyProtection="1">
      <alignment horizontal="center" vertical="center"/>
      <protection locked="0"/>
    </xf>
    <xf numFmtId="2" fontId="43" fillId="17" borderId="7" xfId="0" applyNumberFormat="1" applyFont="1" applyFill="1" applyBorder="1" applyAlignment="1">
      <alignment horizontal="center"/>
    </xf>
    <xf numFmtId="2" fontId="43" fillId="17" borderId="9" xfId="0" applyNumberFormat="1" applyFont="1" applyFill="1" applyBorder="1" applyAlignment="1">
      <alignment horizontal="center"/>
    </xf>
    <xf numFmtId="2" fontId="43" fillId="17" borderId="8" xfId="0" applyNumberFormat="1" applyFont="1" applyFill="1" applyBorder="1" applyAlignment="1">
      <alignment horizontal="center"/>
    </xf>
    <xf numFmtId="0" fontId="43" fillId="0" borderId="0" xfId="0" applyFont="1" applyFill="1" applyBorder="1" applyAlignment="1" applyProtection="1">
      <alignment horizontal="center" vertical="center"/>
    </xf>
    <xf numFmtId="10" fontId="43" fillId="17" borderId="1" xfId="0" applyNumberFormat="1" applyFont="1" applyFill="1" applyBorder="1" applyAlignment="1">
      <alignment horizontal="center" vertical="center"/>
    </xf>
    <xf numFmtId="0" fontId="44" fillId="0" borderId="0" xfId="0" applyFont="1" applyFill="1" applyBorder="1" applyAlignment="1" applyProtection="1">
      <alignment horizontal="center" vertical="center"/>
      <protection locked="0"/>
    </xf>
    <xf numFmtId="2" fontId="44" fillId="0" borderId="1" xfId="0" applyNumberFormat="1" applyFont="1" applyFill="1" applyBorder="1" applyAlignment="1" applyProtection="1">
      <alignment horizontal="center" vertical="center" wrapText="1"/>
    </xf>
    <xf numFmtId="0" fontId="44" fillId="0" borderId="7" xfId="0" applyFont="1" applyFill="1" applyBorder="1" applyAlignment="1" applyProtection="1">
      <alignment horizontal="center" vertical="center"/>
    </xf>
    <xf numFmtId="0" fontId="44" fillId="0" borderId="9" xfId="0" applyFont="1" applyFill="1" applyBorder="1" applyAlignment="1" applyProtection="1">
      <alignment horizontal="center" vertical="center"/>
    </xf>
    <xf numFmtId="0" fontId="44" fillId="0" borderId="8" xfId="0" applyFont="1" applyFill="1" applyBorder="1" applyAlignment="1" applyProtection="1">
      <alignment horizontal="center" vertical="center"/>
    </xf>
    <xf numFmtId="0" fontId="43" fillId="0" borderId="1" xfId="0" applyFont="1" applyFill="1" applyBorder="1" applyAlignment="1" applyProtection="1">
      <alignment horizontal="center" vertical="center"/>
      <protection locked="0"/>
    </xf>
    <xf numFmtId="0" fontId="44" fillId="17" borderId="7" xfId="0" applyFont="1" applyFill="1" applyBorder="1" applyAlignment="1" applyProtection="1">
      <alignment horizontal="center" vertical="center" wrapText="1"/>
    </xf>
    <xf numFmtId="0" fontId="44" fillId="17" borderId="9" xfId="0" applyFont="1" applyFill="1" applyBorder="1" applyAlignment="1" applyProtection="1">
      <alignment horizontal="center" vertical="center" wrapText="1"/>
    </xf>
    <xf numFmtId="0" fontId="44" fillId="17" borderId="8" xfId="0" applyFont="1" applyFill="1" applyBorder="1" applyAlignment="1" applyProtection="1">
      <alignment horizontal="center" vertical="center" wrapText="1"/>
    </xf>
    <xf numFmtId="9" fontId="43" fillId="0" borderId="1" xfId="0" applyNumberFormat="1" applyFont="1" applyFill="1" applyBorder="1" applyAlignment="1" applyProtection="1">
      <alignment horizontal="center" vertical="center"/>
      <protection locked="0"/>
    </xf>
    <xf numFmtId="0" fontId="44" fillId="25" borderId="7" xfId="0" applyFont="1" applyFill="1" applyBorder="1" applyAlignment="1" applyProtection="1">
      <alignment horizontal="center" vertical="center" wrapText="1"/>
    </xf>
    <xf numFmtId="0" fontId="44" fillId="25" borderId="9" xfId="0" applyFont="1" applyFill="1" applyBorder="1" applyAlignment="1" applyProtection="1">
      <alignment horizontal="center" vertical="center" wrapText="1"/>
    </xf>
    <xf numFmtId="0" fontId="44" fillId="25" borderId="8" xfId="0" applyFont="1" applyFill="1" applyBorder="1" applyAlignment="1" applyProtection="1">
      <alignment horizontal="center" vertical="center" wrapText="1"/>
    </xf>
    <xf numFmtId="0" fontId="44" fillId="15" borderId="7" xfId="0" applyFont="1" applyFill="1" applyBorder="1" applyAlignment="1" applyProtection="1">
      <alignment horizontal="center" vertical="center" wrapText="1"/>
    </xf>
    <xf numFmtId="0" fontId="44" fillId="15" borderId="9" xfId="0" applyFont="1" applyFill="1" applyBorder="1" applyAlignment="1" applyProtection="1">
      <alignment horizontal="center" vertical="center" wrapText="1"/>
    </xf>
    <xf numFmtId="0" fontId="44" fillId="15" borderId="8" xfId="0" applyFont="1" applyFill="1" applyBorder="1" applyAlignment="1" applyProtection="1">
      <alignment horizontal="center" vertical="center" wrapText="1"/>
    </xf>
    <xf numFmtId="0" fontId="44" fillId="0" borderId="7" xfId="0" applyFont="1" applyFill="1" applyBorder="1" applyAlignment="1" applyProtection="1">
      <alignment horizontal="left" vertical="center" wrapText="1"/>
    </xf>
    <xf numFmtId="0" fontId="44" fillId="0" borderId="9" xfId="0" applyFont="1" applyFill="1" applyBorder="1" applyAlignment="1" applyProtection="1">
      <alignment horizontal="left" vertical="center" wrapText="1"/>
    </xf>
    <xf numFmtId="0" fontId="44" fillId="0" borderId="8" xfId="0" applyFont="1" applyFill="1" applyBorder="1" applyAlignment="1" applyProtection="1">
      <alignment horizontal="left" vertical="center" wrapText="1"/>
    </xf>
    <xf numFmtId="0" fontId="43" fillId="0" borderId="7" xfId="0" applyFont="1" applyFill="1" applyBorder="1" applyAlignment="1" applyProtection="1">
      <alignment horizontal="center" vertical="center" wrapText="1"/>
    </xf>
    <xf numFmtId="0" fontId="43" fillId="0" borderId="8" xfId="0" applyFont="1" applyFill="1" applyBorder="1" applyAlignment="1" applyProtection="1">
      <alignment horizontal="center" vertical="center" wrapText="1"/>
    </xf>
    <xf numFmtId="0" fontId="64" fillId="0" borderId="7" xfId="0" applyFont="1" applyFill="1" applyBorder="1" applyAlignment="1" applyProtection="1">
      <alignment horizontal="left" vertical="center" wrapText="1"/>
    </xf>
    <xf numFmtId="0" fontId="64" fillId="0" borderId="9" xfId="0" applyFont="1" applyFill="1" applyBorder="1" applyAlignment="1" applyProtection="1">
      <alignment horizontal="left" vertical="center" wrapText="1"/>
    </xf>
    <xf numFmtId="0" fontId="64" fillId="0" borderId="8" xfId="0" applyFont="1" applyFill="1" applyBorder="1" applyAlignment="1" applyProtection="1">
      <alignment horizontal="left" vertical="center" wrapText="1"/>
    </xf>
    <xf numFmtId="0" fontId="43" fillId="0" borderId="7" xfId="0" applyFont="1" applyBorder="1" applyAlignment="1" applyProtection="1">
      <alignment horizontal="left" vertical="center" wrapText="1"/>
    </xf>
    <xf numFmtId="0" fontId="43" fillId="0" borderId="9" xfId="0" applyFont="1" applyBorder="1" applyAlignment="1" applyProtection="1">
      <alignment horizontal="left" vertical="center" wrapText="1"/>
    </xf>
    <xf numFmtId="0" fontId="43" fillId="0" borderId="8" xfId="0" applyFont="1" applyBorder="1" applyAlignment="1" applyProtection="1">
      <alignment horizontal="left" vertical="center" wrapText="1"/>
    </xf>
    <xf numFmtId="0" fontId="43" fillId="0" borderId="7" xfId="0" applyFont="1" applyBorder="1" applyAlignment="1" applyProtection="1">
      <alignment horizontal="center" vertical="center" wrapText="1"/>
    </xf>
    <xf numFmtId="0" fontId="43" fillId="0" borderId="8" xfId="0" applyFont="1" applyBorder="1" applyAlignment="1" applyProtection="1">
      <alignment horizontal="center" vertical="center" wrapText="1"/>
    </xf>
    <xf numFmtId="0" fontId="43" fillId="0" borderId="5" xfId="0" applyFont="1" applyBorder="1" applyAlignment="1" applyProtection="1">
      <alignment horizontal="justify" vertical="center" wrapText="1"/>
    </xf>
    <xf numFmtId="0" fontId="43" fillId="0" borderId="5" xfId="0" applyFont="1" applyBorder="1" applyAlignment="1">
      <alignment horizontal="justify" vertical="center" wrapText="1"/>
    </xf>
    <xf numFmtId="0" fontId="44" fillId="15" borderId="1" xfId="0" applyFont="1" applyFill="1" applyBorder="1" applyAlignment="1">
      <alignment horizontal="center" vertical="center"/>
    </xf>
    <xf numFmtId="0" fontId="44" fillId="15" borderId="1" xfId="0" applyFont="1" applyFill="1" applyBorder="1" applyAlignment="1">
      <alignment horizontal="center" vertical="center" wrapText="1"/>
    </xf>
    <xf numFmtId="4" fontId="44" fillId="15" borderId="1" xfId="0" applyNumberFormat="1" applyFont="1" applyFill="1" applyBorder="1" applyAlignment="1" applyProtection="1">
      <alignment horizontal="center" vertical="center" wrapText="1"/>
      <protection locked="0"/>
    </xf>
    <xf numFmtId="0" fontId="44" fillId="0" borderId="1" xfId="0" applyFont="1" applyFill="1" applyBorder="1" applyAlignment="1">
      <alignment horizontal="center" vertical="center"/>
    </xf>
    <xf numFmtId="0" fontId="44" fillId="0" borderId="1" xfId="0" applyFont="1" applyFill="1" applyBorder="1" applyAlignment="1">
      <alignment horizontal="left" vertical="center" wrapText="1"/>
    </xf>
    <xf numFmtId="4" fontId="44" fillId="0" borderId="1" xfId="0" applyNumberFormat="1" applyFont="1" applyFill="1" applyBorder="1" applyAlignment="1" applyProtection="1">
      <alignment horizontal="center" vertical="center" wrapText="1"/>
      <protection locked="0"/>
    </xf>
    <xf numFmtId="0" fontId="43" fillId="0" borderId="1" xfId="0" applyFont="1" applyFill="1" applyBorder="1" applyAlignment="1">
      <alignment horizontal="center" vertical="center"/>
    </xf>
    <xf numFmtId="0" fontId="43" fillId="0" borderId="1" xfId="0" applyFont="1" applyFill="1" applyBorder="1" applyAlignment="1">
      <alignment horizontal="left" vertical="center" wrapText="1"/>
    </xf>
    <xf numFmtId="4" fontId="43" fillId="17" borderId="1" xfId="0" applyNumberFormat="1" applyFont="1" applyFill="1" applyBorder="1" applyAlignment="1" applyProtection="1">
      <alignment horizontal="center" vertical="center" wrapText="1"/>
      <protection locked="0"/>
    </xf>
    <xf numFmtId="0" fontId="43" fillId="0" borderId="1" xfId="0" applyFont="1" applyBorder="1" applyAlignment="1">
      <alignment horizontal="center" vertical="center"/>
    </xf>
    <xf numFmtId="0" fontId="43" fillId="0" borderId="1" xfId="0" applyFont="1" applyBorder="1" applyAlignment="1">
      <alignment horizontal="left" vertical="center" wrapText="1"/>
    </xf>
    <xf numFmtId="0" fontId="44" fillId="0" borderId="1" xfId="0" applyFont="1" applyBorder="1" applyAlignment="1">
      <alignment horizontal="center" vertical="center"/>
    </xf>
    <xf numFmtId="0" fontId="44" fillId="0" borderId="1" xfId="0" applyFont="1" applyBorder="1" applyAlignment="1">
      <alignment horizontal="left" vertical="center" wrapText="1"/>
    </xf>
    <xf numFmtId="4" fontId="44" fillId="0" borderId="1" xfId="0" applyNumberFormat="1" applyFont="1" applyBorder="1" applyAlignment="1" applyProtection="1">
      <alignment horizontal="center" vertical="center" wrapText="1"/>
      <protection locked="0"/>
    </xf>
    <xf numFmtId="0" fontId="44" fillId="0" borderId="1" xfId="0" applyFont="1" applyBorder="1" applyAlignment="1" applyProtection="1">
      <alignment horizontal="center" vertical="center" wrapText="1"/>
      <protection locked="0"/>
    </xf>
    <xf numFmtId="2" fontId="43" fillId="23" borderId="1" xfId="0" applyNumberFormat="1" applyFont="1" applyFill="1" applyBorder="1" applyAlignment="1" applyProtection="1">
      <alignment horizontal="center" vertical="center"/>
      <protection locked="0"/>
    </xf>
    <xf numFmtId="0" fontId="65" fillId="15" borderId="16" xfId="0" applyFont="1" applyFill="1" applyBorder="1" applyAlignment="1" applyProtection="1">
      <alignment horizontal="center" vertical="center" wrapText="1"/>
      <protection locked="0"/>
    </xf>
    <xf numFmtId="0" fontId="65" fillId="15" borderId="17" xfId="0" applyFont="1" applyFill="1" applyBorder="1" applyAlignment="1" applyProtection="1">
      <alignment horizontal="center" vertical="center" wrapText="1"/>
      <protection locked="0"/>
    </xf>
    <xf numFmtId="0" fontId="65" fillId="15" borderId="18" xfId="0" applyFont="1" applyFill="1" applyBorder="1" applyAlignment="1" applyProtection="1">
      <alignment horizontal="center" vertical="center" wrapText="1"/>
      <protection locked="0"/>
    </xf>
    <xf numFmtId="0" fontId="65" fillId="15" borderId="19" xfId="0" applyFont="1" applyFill="1" applyBorder="1" applyAlignment="1" applyProtection="1">
      <alignment horizontal="center" vertical="center" wrapText="1"/>
      <protection locked="0"/>
    </xf>
    <xf numFmtId="0" fontId="65" fillId="15" borderId="0" xfId="0" applyFont="1" applyFill="1" applyBorder="1" applyAlignment="1" applyProtection="1">
      <alignment horizontal="center" vertical="center" wrapText="1"/>
      <protection locked="0"/>
    </xf>
    <xf numFmtId="0" fontId="65" fillId="15" borderId="20" xfId="0" applyFont="1" applyFill="1" applyBorder="1" applyAlignment="1" applyProtection="1">
      <alignment horizontal="center" vertical="center" wrapText="1"/>
      <protection locked="0"/>
    </xf>
    <xf numFmtId="0" fontId="65" fillId="15" borderId="21" xfId="0" applyFont="1" applyFill="1" applyBorder="1" applyAlignment="1" applyProtection="1">
      <alignment horizontal="center" vertical="center" wrapText="1"/>
      <protection locked="0"/>
    </xf>
    <xf numFmtId="0" fontId="65" fillId="15" borderId="22" xfId="0" applyFont="1" applyFill="1" applyBorder="1" applyAlignment="1" applyProtection="1">
      <alignment horizontal="center" vertical="center" wrapText="1"/>
      <protection locked="0"/>
    </xf>
    <xf numFmtId="0" fontId="65" fillId="15" borderId="23" xfId="0" applyFont="1" applyFill="1" applyBorder="1" applyAlignment="1" applyProtection="1">
      <alignment horizontal="center" vertical="center" wrapText="1"/>
      <protection locked="0"/>
    </xf>
    <xf numFmtId="0" fontId="44" fillId="0" borderId="10" xfId="0" applyFont="1" applyFill="1" applyBorder="1" applyAlignment="1" applyProtection="1">
      <alignment horizontal="left" vertical="center" wrapText="1"/>
      <protection locked="0"/>
    </xf>
    <xf numFmtId="0" fontId="44" fillId="0" borderId="0" xfId="0" applyFont="1" applyFill="1" applyBorder="1" applyAlignment="1" applyProtection="1">
      <alignment horizontal="center" vertical="center" wrapText="1"/>
      <protection locked="0"/>
    </xf>
    <xf numFmtId="0" fontId="44" fillId="0" borderId="0" xfId="0" applyFont="1" applyFill="1" applyBorder="1" applyAlignment="1" applyProtection="1">
      <alignment horizontal="left" vertical="center" wrapText="1"/>
      <protection locked="0"/>
    </xf>
    <xf numFmtId="0" fontId="44" fillId="15" borderId="1" xfId="0" applyFont="1" applyFill="1" applyBorder="1" applyAlignment="1" applyProtection="1">
      <alignment horizontal="center" vertical="center"/>
    </xf>
    <xf numFmtId="4" fontId="44" fillId="15" borderId="1" xfId="0" applyNumberFormat="1" applyFont="1" applyFill="1" applyBorder="1" applyAlignment="1" applyProtection="1">
      <alignment horizontal="center" vertical="center" wrapText="1"/>
    </xf>
    <xf numFmtId="0" fontId="43" fillId="0" borderId="4" xfId="0" applyFont="1" applyFill="1" applyBorder="1" applyAlignment="1" applyProtection="1">
      <alignment vertical="center" wrapText="1"/>
    </xf>
    <xf numFmtId="0" fontId="43" fillId="0" borderId="5" xfId="0" applyFont="1" applyFill="1" applyBorder="1" applyAlignment="1" applyProtection="1">
      <alignment vertical="center" wrapText="1"/>
    </xf>
    <xf numFmtId="0" fontId="43" fillId="0" borderId="6" xfId="0" applyFont="1" applyFill="1" applyBorder="1" applyAlignment="1" applyProtection="1">
      <alignment vertical="center" wrapText="1"/>
    </xf>
    <xf numFmtId="0" fontId="43" fillId="17" borderId="4" xfId="0" applyFont="1" applyFill="1" applyBorder="1" applyAlignment="1">
      <alignment horizontal="center" vertical="center"/>
    </xf>
    <xf numFmtId="0" fontId="43" fillId="17" borderId="5" xfId="0" applyFont="1" applyFill="1" applyBorder="1" applyAlignment="1">
      <alignment horizontal="center" vertical="center"/>
    </xf>
    <xf numFmtId="0" fontId="43" fillId="17" borderId="6" xfId="0" applyFont="1" applyFill="1" applyBorder="1" applyAlignment="1">
      <alignment horizontal="center" vertical="center"/>
    </xf>
    <xf numFmtId="0" fontId="77" fillId="21" borderId="11" xfId="0" applyFont="1" applyFill="1" applyBorder="1" applyAlignment="1">
      <alignment horizontal="center" vertical="top" wrapText="1"/>
    </xf>
    <xf numFmtId="0" fontId="77" fillId="21" borderId="0" xfId="0" applyFont="1" applyFill="1" applyBorder="1" applyAlignment="1">
      <alignment horizontal="center" vertical="top" wrapText="1"/>
    </xf>
    <xf numFmtId="0" fontId="62" fillId="15" borderId="4" xfId="0" applyFont="1" applyFill="1" applyBorder="1" applyAlignment="1">
      <alignment horizontal="center"/>
    </xf>
    <xf numFmtId="0" fontId="62" fillId="15" borderId="5" xfId="0" applyFont="1" applyFill="1" applyBorder="1" applyAlignment="1">
      <alignment horizontal="center"/>
    </xf>
    <xf numFmtId="0" fontId="62" fillId="15" borderId="6" xfId="0" applyFont="1" applyFill="1" applyBorder="1" applyAlignment="1">
      <alignment horizontal="center"/>
    </xf>
    <xf numFmtId="0" fontId="44" fillId="15" borderId="0" xfId="0" applyFont="1" applyFill="1" applyBorder="1" applyAlignment="1">
      <alignment horizontal="center" vertical="center"/>
    </xf>
    <xf numFmtId="0" fontId="44" fillId="15" borderId="7" xfId="0" applyFont="1" applyFill="1" applyBorder="1" applyAlignment="1">
      <alignment horizontal="center" vertical="center"/>
    </xf>
    <xf numFmtId="0" fontId="44" fillId="15" borderId="9" xfId="0" applyFont="1" applyFill="1" applyBorder="1" applyAlignment="1">
      <alignment horizontal="center" vertical="center"/>
    </xf>
    <xf numFmtId="0" fontId="44" fillId="15" borderId="8" xfId="0" applyFont="1" applyFill="1" applyBorder="1" applyAlignment="1">
      <alignment horizontal="center" vertical="center"/>
    </xf>
    <xf numFmtId="0" fontId="44" fillId="16" borderId="7" xfId="0" applyFont="1" applyFill="1" applyBorder="1" applyAlignment="1">
      <alignment horizontal="center" vertical="center"/>
    </xf>
    <xf numFmtId="0" fontId="44" fillId="16" borderId="9" xfId="0" applyFont="1" applyFill="1" applyBorder="1" applyAlignment="1">
      <alignment horizontal="center" vertical="center"/>
    </xf>
    <xf numFmtId="0" fontId="44" fillId="16" borderId="8" xfId="0" applyFont="1" applyFill="1" applyBorder="1" applyAlignment="1">
      <alignment horizontal="center" vertical="center"/>
    </xf>
    <xf numFmtId="0" fontId="62" fillId="15" borderId="0" xfId="0" applyFont="1" applyFill="1" applyAlignment="1">
      <alignment horizontal="center" vertical="center"/>
    </xf>
    <xf numFmtId="0" fontId="44" fillId="15" borderId="11" xfId="0" applyFont="1" applyFill="1" applyBorder="1" applyAlignment="1">
      <alignment horizontal="center" vertical="center"/>
    </xf>
    <xf numFmtId="0" fontId="44" fillId="15" borderId="3" xfId="0" applyFont="1" applyFill="1" applyBorder="1" applyAlignment="1">
      <alignment horizontal="center" vertical="center"/>
    </xf>
    <xf numFmtId="0" fontId="44" fillId="15" borderId="2" xfId="0" applyFont="1" applyFill="1" applyBorder="1" applyAlignment="1">
      <alignment horizontal="center" vertical="center"/>
    </xf>
    <xf numFmtId="0" fontId="44" fillId="15" borderId="3" xfId="0" applyFont="1" applyFill="1" applyBorder="1" applyAlignment="1">
      <alignment horizontal="center" vertical="center" wrapText="1"/>
    </xf>
    <xf numFmtId="0" fontId="44" fillId="15" borderId="2" xfId="0" applyFont="1" applyFill="1" applyBorder="1" applyAlignment="1">
      <alignment horizontal="center" vertical="center" wrapText="1"/>
    </xf>
    <xf numFmtId="0" fontId="44" fillId="15" borderId="7" xfId="0" applyFont="1" applyFill="1" applyBorder="1" applyAlignment="1">
      <alignment horizontal="center" vertical="center" wrapText="1"/>
    </xf>
    <xf numFmtId="0" fontId="44" fillId="15" borderId="9" xfId="0" applyFont="1" applyFill="1" applyBorder="1" applyAlignment="1">
      <alignment horizontal="center" vertical="center" wrapText="1"/>
    </xf>
    <xf numFmtId="0" fontId="44" fillId="15" borderId="8" xfId="0" applyFont="1" applyFill="1" applyBorder="1" applyAlignment="1">
      <alignment horizontal="center" vertical="center" wrapText="1"/>
    </xf>
    <xf numFmtId="0" fontId="43" fillId="0" borderId="1" xfId="0" applyFont="1" applyBorder="1" applyAlignment="1">
      <alignment horizontal="left" vertical="center" wrapText="1" indent="1"/>
    </xf>
    <xf numFmtId="0" fontId="44" fillId="15" borderId="0" xfId="0" applyFont="1" applyFill="1" applyAlignment="1">
      <alignment horizontal="center" vertical="center"/>
    </xf>
    <xf numFmtId="0" fontId="44" fillId="0" borderId="0" xfId="0" applyFont="1" applyFill="1" applyBorder="1" applyAlignment="1">
      <alignment horizontal="center" vertical="center"/>
    </xf>
    <xf numFmtId="0" fontId="43" fillId="15" borderId="1" xfId="0" applyFont="1" applyFill="1" applyBorder="1"/>
    <xf numFmtId="3" fontId="44" fillId="15" borderId="7" xfId="0" applyNumberFormat="1" applyFont="1" applyFill="1" applyBorder="1" applyAlignment="1">
      <alignment horizontal="center" vertical="center"/>
    </xf>
    <xf numFmtId="3" fontId="44" fillId="15" borderId="9" xfId="0" applyNumberFormat="1" applyFont="1" applyFill="1" applyBorder="1" applyAlignment="1">
      <alignment horizontal="center" vertical="center"/>
    </xf>
    <xf numFmtId="3" fontId="44" fillId="15" borderId="8" xfId="0" applyNumberFormat="1" applyFont="1" applyFill="1" applyBorder="1" applyAlignment="1">
      <alignment horizontal="center" vertical="center"/>
    </xf>
    <xf numFmtId="3" fontId="44" fillId="0" borderId="7" xfId="0" applyNumberFormat="1" applyFont="1" applyBorder="1" applyAlignment="1">
      <alignment horizontal="left" vertical="center"/>
    </xf>
    <xf numFmtId="3" fontId="44" fillId="0" borderId="9" xfId="0" applyNumberFormat="1" applyFont="1" applyBorder="1" applyAlignment="1">
      <alignment horizontal="left" vertical="center"/>
    </xf>
    <xf numFmtId="3" fontId="44" fillId="0" borderId="8" xfId="0" applyNumberFormat="1" applyFont="1" applyBorder="1" applyAlignment="1">
      <alignment horizontal="left" vertical="center"/>
    </xf>
    <xf numFmtId="3" fontId="44" fillId="15" borderId="1" xfId="0" applyNumberFormat="1" applyFont="1" applyFill="1" applyBorder="1" applyAlignment="1">
      <alignment horizontal="center" vertical="center"/>
    </xf>
    <xf numFmtId="3" fontId="43" fillId="17" borderId="1" xfId="0" applyNumberFormat="1" applyFont="1" applyFill="1" applyBorder="1" applyAlignment="1">
      <alignment horizontal="center" vertical="center" wrapText="1"/>
    </xf>
    <xf numFmtId="9" fontId="43" fillId="17" borderId="1" xfId="112" applyFont="1" applyFill="1" applyBorder="1" applyAlignment="1">
      <alignment horizontal="center" vertical="center"/>
    </xf>
    <xf numFmtId="3" fontId="44" fillId="0" borderId="1" xfId="0" applyNumberFormat="1" applyFont="1" applyBorder="1" applyAlignment="1">
      <alignment horizontal="center" vertical="center"/>
    </xf>
    <xf numFmtId="9" fontId="43" fillId="17" borderId="7" xfId="112" applyFont="1" applyFill="1" applyBorder="1" applyAlignment="1">
      <alignment horizontal="center" vertical="center"/>
    </xf>
    <xf numFmtId="9" fontId="43" fillId="17" borderId="9" xfId="112" applyFont="1" applyFill="1" applyBorder="1" applyAlignment="1">
      <alignment horizontal="center" vertical="center"/>
    </xf>
    <xf numFmtId="9" fontId="43" fillId="17" borderId="8" xfId="112" applyFont="1" applyFill="1" applyBorder="1" applyAlignment="1">
      <alignment horizontal="center" vertical="center"/>
    </xf>
    <xf numFmtId="3" fontId="44" fillId="0" borderId="1" xfId="0" applyNumberFormat="1" applyFont="1" applyBorder="1" applyAlignment="1">
      <alignment horizontal="left" vertical="center"/>
    </xf>
    <xf numFmtId="0" fontId="43" fillId="15" borderId="0" xfId="0" applyFont="1" applyFill="1" applyAlignment="1">
      <alignment horizontal="center" wrapText="1"/>
    </xf>
    <xf numFmtId="0" fontId="44" fillId="0" borderId="0" xfId="0" applyFont="1" applyFill="1" applyBorder="1" applyAlignment="1" applyProtection="1">
      <alignment horizontal="center" vertical="center" wrapText="1"/>
    </xf>
    <xf numFmtId="3" fontId="44" fillId="0" borderId="0" xfId="0" applyNumberFormat="1" applyFont="1" applyBorder="1" applyAlignment="1">
      <alignment horizontal="center" vertical="center"/>
    </xf>
    <xf numFmtId="3" fontId="44" fillId="25" borderId="1" xfId="0" applyNumberFormat="1" applyFont="1" applyFill="1" applyBorder="1" applyAlignment="1">
      <alignment horizontal="center" vertical="center"/>
    </xf>
    <xf numFmtId="0" fontId="43" fillId="0" borderId="0" xfId="0" applyFont="1" applyFill="1" applyBorder="1" applyAlignment="1">
      <alignment horizontal="left" vertical="center"/>
    </xf>
    <xf numFmtId="3" fontId="43" fillId="17" borderId="1" xfId="0" applyNumberFormat="1" applyFont="1" applyFill="1" applyBorder="1" applyAlignment="1">
      <alignment horizontal="center" vertical="center"/>
    </xf>
    <xf numFmtId="0" fontId="65" fillId="15" borderId="1" xfId="0" applyFont="1" applyFill="1" applyBorder="1" applyAlignment="1">
      <alignment horizontal="center" vertical="center"/>
    </xf>
    <xf numFmtId="0" fontId="65" fillId="15" borderId="0" xfId="0" applyFont="1" applyFill="1" applyBorder="1" applyAlignment="1">
      <alignment horizontal="center" vertical="center"/>
    </xf>
    <xf numFmtId="0" fontId="62" fillId="15" borderId="1" xfId="0" applyFont="1" applyFill="1" applyBorder="1" applyAlignment="1">
      <alignment horizontal="center" vertical="center"/>
    </xf>
    <xf numFmtId="3" fontId="44" fillId="0" borderId="7" xfId="0" applyNumberFormat="1" applyFont="1" applyBorder="1" applyAlignment="1">
      <alignment horizontal="center" vertical="center"/>
    </xf>
    <xf numFmtId="3" fontId="44" fillId="0" borderId="9" xfId="0" applyNumberFormat="1" applyFont="1" applyBorder="1" applyAlignment="1">
      <alignment horizontal="center" vertical="center"/>
    </xf>
    <xf numFmtId="3" fontId="44" fillId="0" borderId="8" xfId="0" applyNumberFormat="1" applyFont="1" applyBorder="1" applyAlignment="1">
      <alignment horizontal="center" vertical="center"/>
    </xf>
    <xf numFmtId="3" fontId="43" fillId="17" borderId="7" xfId="0" applyNumberFormat="1" applyFont="1" applyFill="1" applyBorder="1" applyAlignment="1">
      <alignment horizontal="center"/>
    </xf>
    <xf numFmtId="3" fontId="43" fillId="17" borderId="9" xfId="0" applyNumberFormat="1" applyFont="1" applyFill="1" applyBorder="1" applyAlignment="1">
      <alignment horizontal="center"/>
    </xf>
    <xf numFmtId="3" fontId="43" fillId="17" borderId="8" xfId="0" applyNumberFormat="1" applyFont="1" applyFill="1" applyBorder="1" applyAlignment="1">
      <alignment horizontal="center"/>
    </xf>
    <xf numFmtId="3" fontId="43" fillId="17" borderId="7" xfId="0" applyNumberFormat="1" applyFont="1" applyFill="1" applyBorder="1" applyAlignment="1">
      <alignment horizontal="center" wrapText="1"/>
    </xf>
    <xf numFmtId="3" fontId="43" fillId="17" borderId="9" xfId="0" applyNumberFormat="1" applyFont="1" applyFill="1" applyBorder="1" applyAlignment="1">
      <alignment horizontal="center" wrapText="1"/>
    </xf>
    <xf numFmtId="3" fontId="43" fillId="17" borderId="8" xfId="0" applyNumberFormat="1" applyFont="1" applyFill="1" applyBorder="1" applyAlignment="1">
      <alignment horizontal="center" wrapText="1"/>
    </xf>
    <xf numFmtId="0" fontId="44" fillId="0" borderId="0" xfId="0" applyFont="1" applyBorder="1" applyAlignment="1">
      <alignment horizontal="left" vertical="center"/>
    </xf>
    <xf numFmtId="0" fontId="65" fillId="15" borderId="7" xfId="0" applyFont="1" applyFill="1" applyBorder="1" applyAlignment="1">
      <alignment horizontal="center" vertical="center" wrapText="1"/>
    </xf>
    <xf numFmtId="0" fontId="65" fillId="15" borderId="9" xfId="0" applyFont="1" applyFill="1" applyBorder="1" applyAlignment="1">
      <alignment horizontal="center" vertical="center" wrapText="1"/>
    </xf>
    <xf numFmtId="0" fontId="65" fillId="15" borderId="8" xfId="0" applyFont="1" applyFill="1" applyBorder="1" applyAlignment="1">
      <alignment horizontal="center" vertical="center" wrapText="1"/>
    </xf>
    <xf numFmtId="0" fontId="44" fillId="0" borderId="7" xfId="0" applyFont="1" applyFill="1" applyBorder="1" applyAlignment="1">
      <alignment horizontal="center" vertical="center"/>
    </xf>
    <xf numFmtId="0" fontId="44" fillId="0" borderId="9" xfId="0" applyFont="1" applyFill="1" applyBorder="1" applyAlignment="1">
      <alignment horizontal="center" vertical="center"/>
    </xf>
    <xf numFmtId="0" fontId="44" fillId="0" borderId="8" xfId="0" applyFont="1" applyFill="1" applyBorder="1" applyAlignment="1">
      <alignment horizontal="center" vertical="center"/>
    </xf>
    <xf numFmtId="0" fontId="44" fillId="0" borderId="7" xfId="0" applyFont="1" applyBorder="1" applyAlignment="1">
      <alignment horizontal="center" vertical="center"/>
    </xf>
    <xf numFmtId="0" fontId="44" fillId="0" borderId="9" xfId="0" applyFont="1" applyBorder="1" applyAlignment="1">
      <alignment horizontal="center" vertical="center"/>
    </xf>
    <xf numFmtId="0" fontId="44" fillId="0" borderId="8" xfId="0" applyFont="1" applyBorder="1" applyAlignment="1">
      <alignment horizontal="center" vertical="center"/>
    </xf>
    <xf numFmtId="0" fontId="62" fillId="15" borderId="24" xfId="0" applyFont="1" applyFill="1" applyBorder="1" applyAlignment="1">
      <alignment horizontal="center" vertical="center" wrapText="1"/>
    </xf>
    <xf numFmtId="0" fontId="62" fillId="15" borderId="0" xfId="0" applyFont="1" applyFill="1" applyBorder="1" applyAlignment="1">
      <alignment horizontal="center" vertical="center" wrapText="1"/>
    </xf>
    <xf numFmtId="0" fontId="44" fillId="0" borderId="10" xfId="0" applyFont="1" applyBorder="1" applyAlignment="1">
      <alignment horizontal="left" vertical="center"/>
    </xf>
    <xf numFmtId="0" fontId="37" fillId="16" borderId="7" xfId="0" applyFont="1" applyFill="1" applyBorder="1" applyAlignment="1">
      <alignment horizontal="center" vertical="center" wrapText="1"/>
    </xf>
    <xf numFmtId="0" fontId="37" fillId="16" borderId="9" xfId="0" applyFont="1" applyFill="1" applyBorder="1" applyAlignment="1">
      <alignment horizontal="center" vertical="center" wrapText="1"/>
    </xf>
    <xf numFmtId="0" fontId="37" fillId="0" borderId="1" xfId="0" applyFont="1" applyFill="1" applyBorder="1" applyAlignment="1">
      <alignment horizontal="center" vertical="center" wrapText="1"/>
    </xf>
    <xf numFmtId="0" fontId="37" fillId="15" borderId="1" xfId="0" applyFont="1" applyFill="1" applyBorder="1" applyAlignment="1">
      <alignment horizontal="center"/>
    </xf>
    <xf numFmtId="0" fontId="37" fillId="0" borderId="7" xfId="0" applyFont="1" applyFill="1" applyBorder="1" applyAlignment="1">
      <alignment horizontal="center" vertical="center" wrapText="1"/>
    </xf>
    <xf numFmtId="0" fontId="37" fillId="0" borderId="9" xfId="0" applyFont="1" applyFill="1" applyBorder="1" applyAlignment="1">
      <alignment horizontal="center" vertical="center" wrapText="1"/>
    </xf>
    <xf numFmtId="0" fontId="37" fillId="0" borderId="8" xfId="0" applyFont="1" applyFill="1" applyBorder="1" applyAlignment="1">
      <alignment horizontal="center" vertical="center" wrapText="1"/>
    </xf>
    <xf numFmtId="0" fontId="79" fillId="15" borderId="0" xfId="0" applyFont="1" applyFill="1" applyAlignment="1">
      <alignment horizontal="center" vertical="top"/>
    </xf>
    <xf numFmtId="0" fontId="37" fillId="16" borderId="1" xfId="0" applyFont="1" applyFill="1" applyBorder="1" applyAlignment="1">
      <alignment horizontal="center" vertical="center" wrapText="1"/>
    </xf>
    <xf numFmtId="0" fontId="37" fillId="14" borderId="1" xfId="0" applyFont="1" applyFill="1" applyBorder="1" applyAlignment="1">
      <alignment horizontal="center" vertical="center"/>
    </xf>
    <xf numFmtId="0" fontId="62" fillId="15" borderId="0" xfId="0" applyFont="1" applyFill="1" applyAlignment="1">
      <alignment horizontal="center"/>
    </xf>
    <xf numFmtId="0" fontId="43" fillId="15" borderId="0" xfId="0" applyFont="1" applyFill="1" applyAlignment="1">
      <alignment horizontal="center"/>
    </xf>
    <xf numFmtId="0" fontId="42" fillId="15" borderId="0" xfId="0" applyFont="1" applyFill="1" applyAlignment="1">
      <alignment horizontal="center" vertical="center"/>
    </xf>
    <xf numFmtId="0" fontId="28" fillId="15" borderId="1" xfId="0" applyFont="1" applyFill="1" applyBorder="1" applyAlignment="1" applyProtection="1">
      <alignment horizontal="center" vertical="center" wrapText="1"/>
    </xf>
    <xf numFmtId="0" fontId="37" fillId="15" borderId="1" xfId="0" applyFont="1" applyFill="1" applyBorder="1" applyAlignment="1" applyProtection="1">
      <alignment horizontal="center" vertical="center" wrapText="1"/>
    </xf>
    <xf numFmtId="0" fontId="28" fillId="15" borderId="3" xfId="0" applyFont="1" applyFill="1" applyBorder="1" applyAlignment="1" applyProtection="1">
      <alignment horizontal="center" vertical="center"/>
    </xf>
    <xf numFmtId="0" fontId="28" fillId="15" borderId="2" xfId="0" applyFont="1" applyFill="1" applyBorder="1" applyAlignment="1" applyProtection="1">
      <alignment horizontal="center" vertical="center"/>
    </xf>
    <xf numFmtId="0" fontId="28" fillId="0" borderId="1" xfId="0" applyFont="1" applyBorder="1" applyAlignment="1">
      <alignment horizontal="center" vertical="center"/>
    </xf>
    <xf numFmtId="0" fontId="43" fillId="0" borderId="0" xfId="0" applyFont="1" applyAlignment="1">
      <alignment horizontal="center"/>
    </xf>
    <xf numFmtId="0" fontId="28" fillId="0" borderId="1" xfId="0" applyFont="1" applyBorder="1" applyAlignment="1">
      <alignment horizontal="center" vertical="center" wrapText="1"/>
    </xf>
    <xf numFmtId="0" fontId="37" fillId="15" borderId="3" xfId="0" applyFont="1" applyFill="1" applyBorder="1" applyAlignment="1" applyProtection="1">
      <alignment horizontal="center" vertical="center" wrapText="1"/>
    </xf>
    <xf numFmtId="0" fontId="37" fillId="15" borderId="2" xfId="0" applyFont="1" applyFill="1" applyBorder="1" applyAlignment="1" applyProtection="1">
      <alignment horizontal="center" vertical="center" wrapText="1"/>
    </xf>
    <xf numFmtId="0" fontId="37" fillId="0" borderId="1" xfId="0" applyFont="1" applyBorder="1" applyAlignment="1">
      <alignment horizontal="center" vertical="center"/>
    </xf>
    <xf numFmtId="0" fontId="79" fillId="15" borderId="0" xfId="0" applyFont="1" applyFill="1" applyAlignment="1">
      <alignment horizontal="center"/>
    </xf>
    <xf numFmtId="0" fontId="41" fillId="0" borderId="1" xfId="56" applyFont="1" applyFill="1" applyBorder="1" applyAlignment="1" applyProtection="1">
      <alignment horizontal="center" vertical="center" wrapText="1"/>
    </xf>
    <xf numFmtId="0" fontId="38" fillId="15" borderId="1" xfId="0" applyFont="1" applyFill="1" applyBorder="1" applyAlignment="1" applyProtection="1">
      <alignment horizontal="center" vertical="center" wrapText="1"/>
    </xf>
    <xf numFmtId="0" fontId="38" fillId="15" borderId="1" xfId="0" applyFont="1" applyFill="1" applyBorder="1" applyAlignment="1">
      <alignment horizontal="center" vertical="center" wrapText="1"/>
    </xf>
    <xf numFmtId="179" fontId="38" fillId="15" borderId="1" xfId="0" applyNumberFormat="1" applyFont="1" applyFill="1" applyBorder="1" applyAlignment="1">
      <alignment horizontal="center" vertical="center" wrapText="1"/>
    </xf>
    <xf numFmtId="2" fontId="38" fillId="15" borderId="1" xfId="0" applyNumberFormat="1" applyFont="1" applyFill="1" applyBorder="1" applyAlignment="1">
      <alignment horizontal="center" vertical="center" wrapText="1"/>
    </xf>
    <xf numFmtId="0" fontId="38" fillId="0" borderId="7" xfId="0" applyFont="1" applyFill="1" applyBorder="1" applyAlignment="1">
      <alignment horizontal="center" vertical="center"/>
    </xf>
    <xf numFmtId="0" fontId="38" fillId="0" borderId="9" xfId="0" applyFont="1" applyFill="1" applyBorder="1" applyAlignment="1">
      <alignment horizontal="center" vertical="center"/>
    </xf>
    <xf numFmtId="0" fontId="38" fillId="0" borderId="8" xfId="0" applyFont="1" applyFill="1" applyBorder="1" applyAlignment="1">
      <alignment horizontal="center" vertical="center"/>
    </xf>
    <xf numFmtId="0" fontId="56" fillId="15" borderId="0" xfId="0" applyFont="1" applyFill="1" applyBorder="1" applyAlignment="1">
      <alignment horizontal="center"/>
    </xf>
    <xf numFmtId="0" fontId="38" fillId="0" borderId="1" xfId="0" applyFont="1" applyFill="1" applyBorder="1" applyAlignment="1">
      <alignment horizontal="center" vertical="center"/>
    </xf>
    <xf numFmtId="0" fontId="37" fillId="15" borderId="0" xfId="0" applyFont="1" applyFill="1" applyBorder="1" applyAlignment="1">
      <alignment horizontal="center" vertical="center"/>
    </xf>
    <xf numFmtId="0" fontId="37" fillId="0" borderId="1" xfId="0" applyFont="1" applyFill="1" applyBorder="1" applyAlignment="1">
      <alignment horizontal="center" vertical="center"/>
    </xf>
    <xf numFmtId="0" fontId="37" fillId="15" borderId="0" xfId="0" applyFont="1" applyFill="1" applyAlignment="1">
      <alignment horizontal="center" vertical="center"/>
    </xf>
    <xf numFmtId="0" fontId="37" fillId="15" borderId="1" xfId="0" applyFont="1" applyFill="1" applyBorder="1" applyAlignment="1">
      <alignment horizontal="center" vertical="center"/>
    </xf>
    <xf numFmtId="0" fontId="37" fillId="15" borderId="7" xfId="0" applyFont="1" applyFill="1" applyBorder="1" applyAlignment="1">
      <alignment horizontal="center" vertical="center" wrapText="1"/>
    </xf>
    <xf numFmtId="0" fontId="37" fillId="15" borderId="8" xfId="0" applyFont="1" applyFill="1" applyBorder="1" applyAlignment="1">
      <alignment horizontal="center" vertical="center" wrapText="1"/>
    </xf>
    <xf numFmtId="0" fontId="37" fillId="15" borderId="3" xfId="0" applyFont="1" applyFill="1" applyBorder="1" applyAlignment="1">
      <alignment horizontal="center" vertical="center"/>
    </xf>
    <xf numFmtId="0" fontId="37" fillId="15" borderId="2" xfId="0" applyFont="1" applyFill="1" applyBorder="1" applyAlignment="1">
      <alignment horizontal="center" vertical="center"/>
    </xf>
    <xf numFmtId="0" fontId="37" fillId="15" borderId="3" xfId="0" applyFont="1" applyFill="1" applyBorder="1" applyAlignment="1">
      <alignment horizontal="center" vertical="center" wrapText="1"/>
    </xf>
    <xf numFmtId="0" fontId="37" fillId="15" borderId="2" xfId="0" applyFont="1" applyFill="1" applyBorder="1" applyAlignment="1">
      <alignment horizontal="center" vertical="center" wrapText="1"/>
    </xf>
    <xf numFmtId="0" fontId="37" fillId="15" borderId="9" xfId="0" applyFont="1" applyFill="1" applyBorder="1" applyAlignment="1">
      <alignment horizontal="center" vertical="center" wrapText="1"/>
    </xf>
    <xf numFmtId="0" fontId="37" fillId="0" borderId="0" xfId="0" applyFont="1" applyAlignment="1">
      <alignment horizontal="center" vertical="center"/>
    </xf>
    <xf numFmtId="0" fontId="65" fillId="15" borderId="0" xfId="0" applyFont="1" applyFill="1" applyBorder="1" applyAlignment="1">
      <alignment horizontal="center" vertical="top"/>
    </xf>
    <xf numFmtId="0" fontId="38" fillId="0" borderId="7" xfId="0" applyFont="1" applyFill="1" applyBorder="1" applyAlignment="1">
      <alignment horizontal="center" vertical="center" wrapText="1"/>
    </xf>
    <xf numFmtId="0" fontId="38" fillId="0" borderId="9" xfId="0" applyFont="1" applyFill="1" applyBorder="1" applyAlignment="1">
      <alignment horizontal="center" vertical="center" wrapText="1"/>
    </xf>
    <xf numFmtId="0" fontId="38" fillId="0" borderId="8" xfId="0" applyFont="1" applyFill="1" applyBorder="1" applyAlignment="1">
      <alignment horizontal="center" vertical="center" wrapText="1"/>
    </xf>
    <xf numFmtId="0" fontId="51" fillId="0" borderId="1" xfId="0" applyFont="1" applyBorder="1" applyAlignment="1">
      <alignment horizontal="center" vertical="center"/>
    </xf>
    <xf numFmtId="0" fontId="38" fillId="0" borderId="1" xfId="0" applyFont="1" applyFill="1" applyBorder="1" applyAlignment="1">
      <alignment horizontal="center" vertical="center" wrapText="1"/>
    </xf>
    <xf numFmtId="0" fontId="38" fillId="0" borderId="11" xfId="0" applyFont="1" applyFill="1" applyBorder="1" applyAlignment="1">
      <alignment horizontal="center" vertical="center" wrapText="1"/>
    </xf>
    <xf numFmtId="0" fontId="38" fillId="0" borderId="25" xfId="0" applyFont="1" applyFill="1" applyBorder="1" applyAlignment="1">
      <alignment horizontal="center" vertical="center" wrapText="1"/>
    </xf>
    <xf numFmtId="0" fontId="38" fillId="0" borderId="26" xfId="0" applyFont="1" applyFill="1" applyBorder="1" applyAlignment="1">
      <alignment horizontal="center" vertical="center" wrapText="1"/>
    </xf>
    <xf numFmtId="0" fontId="38" fillId="0" borderId="27" xfId="0" applyFont="1" applyFill="1" applyBorder="1" applyAlignment="1">
      <alignment horizontal="center" vertical="center" wrapText="1"/>
    </xf>
    <xf numFmtId="0" fontId="66" fillId="0" borderId="0" xfId="0" applyFont="1" applyFill="1" applyAlignment="1">
      <alignment horizontal="center" vertical="center"/>
    </xf>
    <xf numFmtId="0" fontId="65" fillId="15" borderId="0" xfId="0" applyFont="1" applyFill="1" applyBorder="1" applyAlignment="1">
      <alignment horizontal="center" vertical="center" wrapText="1"/>
    </xf>
    <xf numFmtId="0" fontId="38" fillId="0" borderId="10" xfId="0" applyFont="1" applyFill="1" applyBorder="1" applyAlignment="1">
      <alignment horizontal="center" vertical="center" wrapText="1"/>
    </xf>
    <xf numFmtId="0" fontId="43" fillId="0" borderId="7" xfId="0" applyFont="1" applyFill="1" applyBorder="1" applyAlignment="1">
      <alignment horizontal="left" vertical="center" wrapText="1" indent="1"/>
    </xf>
    <xf numFmtId="0" fontId="43" fillId="0" borderId="8" xfId="0" applyFont="1" applyFill="1" applyBorder="1" applyAlignment="1">
      <alignment horizontal="left" vertical="center" wrapText="1" indent="1"/>
    </xf>
    <xf numFmtId="0" fontId="44" fillId="0" borderId="7" xfId="0" applyFont="1" applyFill="1" applyBorder="1" applyAlignment="1">
      <alignment vertical="center" wrapText="1"/>
    </xf>
    <xf numFmtId="0" fontId="44" fillId="0" borderId="8" xfId="0" applyFont="1" applyFill="1" applyBorder="1" applyAlignment="1">
      <alignment vertical="center" wrapText="1"/>
    </xf>
    <xf numFmtId="0" fontId="56" fillId="15" borderId="0" xfId="0" applyFont="1" applyFill="1" applyAlignment="1">
      <alignment horizontal="center" vertical="center" wrapText="1"/>
    </xf>
    <xf numFmtId="0" fontId="44" fillId="0" borderId="1" xfId="0" applyFont="1" applyFill="1" applyBorder="1" applyAlignment="1">
      <alignment horizontal="left" vertical="center"/>
    </xf>
    <xf numFmtId="0" fontId="43" fillId="0" borderId="1" xfId="0" applyFont="1" applyFill="1" applyBorder="1" applyAlignment="1">
      <alignment horizontal="left" vertical="center" wrapText="1" indent="1"/>
    </xf>
    <xf numFmtId="0" fontId="44" fillId="0" borderId="1" xfId="0" applyFont="1" applyFill="1" applyBorder="1" applyAlignment="1">
      <alignment vertical="center"/>
    </xf>
    <xf numFmtId="0" fontId="44" fillId="15" borderId="1" xfId="0" applyFont="1" applyFill="1" applyBorder="1" applyAlignment="1">
      <alignment horizontal="left" vertical="center" wrapText="1"/>
    </xf>
    <xf numFmtId="0" fontId="43" fillId="0" borderId="0" xfId="0" applyFont="1" applyFill="1"/>
    <xf numFmtId="0" fontId="78" fillId="15" borderId="0" xfId="0" applyFont="1" applyFill="1" applyAlignment="1">
      <alignment horizontal="center" vertical="center" wrapText="1"/>
    </xf>
    <xf numFmtId="0" fontId="36" fillId="0" borderId="1" xfId="98" applyFont="1" applyFill="1" applyBorder="1" applyAlignment="1">
      <alignment horizontal="left"/>
    </xf>
    <xf numFmtId="0" fontId="36" fillId="0" borderId="1" xfId="98" applyFont="1" applyFill="1" applyBorder="1" applyAlignment="1">
      <alignment horizontal="center"/>
    </xf>
    <xf numFmtId="0" fontId="36" fillId="0" borderId="3" xfId="98" applyFont="1" applyFill="1" applyBorder="1" applyAlignment="1">
      <alignment horizontal="left"/>
    </xf>
    <xf numFmtId="9" fontId="37" fillId="0" borderId="10" xfId="98" applyNumberFormat="1" applyFont="1" applyFill="1" applyBorder="1" applyAlignment="1">
      <alignment horizontal="center" vertical="center" wrapText="1"/>
    </xf>
    <xf numFmtId="0" fontId="37" fillId="15" borderId="1" xfId="98" applyFont="1" applyFill="1" applyBorder="1" applyAlignment="1">
      <alignment horizontal="center" vertical="center" wrapText="1"/>
    </xf>
    <xf numFmtId="0" fontId="37" fillId="15" borderId="4" xfId="98" applyFont="1" applyFill="1" applyBorder="1" applyAlignment="1">
      <alignment horizontal="center" vertical="top" wrapText="1"/>
    </xf>
    <xf numFmtId="0" fontId="37" fillId="15" borderId="6" xfId="98" applyFont="1" applyFill="1" applyBorder="1" applyAlignment="1">
      <alignment horizontal="center" vertical="top" wrapText="1"/>
    </xf>
    <xf numFmtId="0" fontId="37" fillId="15" borderId="7" xfId="98" applyFont="1" applyFill="1" applyBorder="1" applyAlignment="1">
      <alignment horizontal="center" vertical="center" wrapText="1"/>
    </xf>
    <xf numFmtId="0" fontId="37" fillId="15" borderId="8" xfId="98" applyFont="1" applyFill="1" applyBorder="1" applyAlignment="1">
      <alignment horizontal="center" vertical="center" wrapText="1"/>
    </xf>
    <xf numFmtId="0" fontId="79" fillId="15" borderId="0" xfId="98" applyFont="1" applyFill="1" applyAlignment="1">
      <alignment horizontal="center" vertical="center"/>
    </xf>
    <xf numFmtId="0" fontId="37" fillId="0" borderId="0" xfId="98" applyFont="1" applyFill="1" applyBorder="1" applyAlignment="1">
      <alignment horizontal="center"/>
    </xf>
    <xf numFmtId="0" fontId="44" fillId="15" borderId="0" xfId="98" applyFont="1" applyFill="1" applyAlignment="1">
      <alignment horizontal="center" vertical="center"/>
    </xf>
    <xf numFmtId="0" fontId="56" fillId="14" borderId="0" xfId="98" applyFont="1" applyFill="1" applyBorder="1" applyAlignment="1">
      <alignment horizontal="center"/>
    </xf>
    <xf numFmtId="0" fontId="37" fillId="15" borderId="3" xfId="98" applyFont="1" applyFill="1" applyBorder="1" applyAlignment="1">
      <alignment horizontal="center" vertical="center"/>
    </xf>
    <xf numFmtId="0" fontId="37" fillId="15" borderId="2" xfId="98" applyFont="1" applyFill="1" applyBorder="1" applyAlignment="1">
      <alignment horizontal="center" vertical="center"/>
    </xf>
    <xf numFmtId="0" fontId="37" fillId="15" borderId="9" xfId="98" applyFont="1" applyFill="1" applyBorder="1" applyAlignment="1">
      <alignment horizontal="center" vertical="center" wrapText="1"/>
    </xf>
    <xf numFmtId="0" fontId="56" fillId="14" borderId="0" xfId="98" applyFont="1" applyFill="1" applyAlignment="1">
      <alignment horizontal="center" vertical="center"/>
    </xf>
    <xf numFmtId="0" fontId="37" fillId="15" borderId="1" xfId="98" applyFont="1" applyFill="1" applyBorder="1" applyAlignment="1">
      <alignment horizontal="center" vertical="center"/>
    </xf>
  </cellXfs>
  <cellStyles count="131">
    <cellStyle name="Comma 2" xfId="1" xr:uid="{00000000-0005-0000-0000-000000000000}"/>
    <cellStyle name="Comma 2 2" xfId="2" xr:uid="{00000000-0005-0000-0000-000001000000}"/>
    <cellStyle name="Comma 3" xfId="3" xr:uid="{00000000-0005-0000-0000-000002000000}"/>
    <cellStyle name="Énfasis 1" xfId="4" xr:uid="{00000000-0005-0000-0000-000003000000}"/>
    <cellStyle name="Énfasis 2" xfId="5" xr:uid="{00000000-0005-0000-0000-000004000000}"/>
    <cellStyle name="Énfasis 3" xfId="6" xr:uid="{00000000-0005-0000-0000-000005000000}"/>
    <cellStyle name="Énfasis1 - 20%" xfId="7" xr:uid="{00000000-0005-0000-0000-000006000000}"/>
    <cellStyle name="Énfasis1 - 40%" xfId="8" xr:uid="{00000000-0005-0000-0000-000007000000}"/>
    <cellStyle name="Énfasis1 - 60%" xfId="9" xr:uid="{00000000-0005-0000-0000-000008000000}"/>
    <cellStyle name="Énfasis2 - 20%" xfId="10" xr:uid="{00000000-0005-0000-0000-000009000000}"/>
    <cellStyle name="Énfasis2 - 40%" xfId="11" xr:uid="{00000000-0005-0000-0000-00000A000000}"/>
    <cellStyle name="Énfasis2 - 60%" xfId="12" xr:uid="{00000000-0005-0000-0000-00000B000000}"/>
    <cellStyle name="Énfasis3 - 20%" xfId="13" xr:uid="{00000000-0005-0000-0000-00000C000000}"/>
    <cellStyle name="Énfasis3 - 40%" xfId="14" xr:uid="{00000000-0005-0000-0000-00000D000000}"/>
    <cellStyle name="Énfasis3 - 60%" xfId="15" xr:uid="{00000000-0005-0000-0000-00000E000000}"/>
    <cellStyle name="Énfasis4 - 20%" xfId="16" xr:uid="{00000000-0005-0000-0000-00000F000000}"/>
    <cellStyle name="Énfasis4 - 40%" xfId="17" xr:uid="{00000000-0005-0000-0000-000010000000}"/>
    <cellStyle name="Énfasis4 - 60%" xfId="18" xr:uid="{00000000-0005-0000-0000-000011000000}"/>
    <cellStyle name="Énfasis5 - 20%" xfId="19" xr:uid="{00000000-0005-0000-0000-000012000000}"/>
    <cellStyle name="Énfasis5 - 40%" xfId="20" xr:uid="{00000000-0005-0000-0000-000013000000}"/>
    <cellStyle name="Énfasis5 - 60%" xfId="21" xr:uid="{00000000-0005-0000-0000-000014000000}"/>
    <cellStyle name="Énfasis6 - 20%" xfId="22" xr:uid="{00000000-0005-0000-0000-000015000000}"/>
    <cellStyle name="Énfasis6 - 40%" xfId="23" xr:uid="{00000000-0005-0000-0000-000016000000}"/>
    <cellStyle name="Énfasis6 - 60%" xfId="24" xr:uid="{00000000-0005-0000-0000-000017000000}"/>
    <cellStyle name="Euro" xfId="25" xr:uid="{00000000-0005-0000-0000-000018000000}"/>
    <cellStyle name="Euro 2" xfId="26" xr:uid="{00000000-0005-0000-0000-000019000000}"/>
    <cellStyle name="Headin - Estilo2" xfId="27" xr:uid="{00000000-0005-0000-0000-00001A000000}"/>
    <cellStyle name="Headin - Estilo3" xfId="28" xr:uid="{00000000-0005-0000-0000-00001B000000}"/>
    <cellStyle name="Hipervínculo" xfId="29" builtinId="8"/>
    <cellStyle name="Hipervínculo 2" xfId="30" xr:uid="{00000000-0005-0000-0000-00001D000000}"/>
    <cellStyle name="Millares" xfId="31" builtinId="3"/>
    <cellStyle name="Millares [0] 2" xfId="32" xr:uid="{00000000-0005-0000-0000-00001F000000}"/>
    <cellStyle name="Millares [0] 2 2" xfId="33" xr:uid="{00000000-0005-0000-0000-000020000000}"/>
    <cellStyle name="Millares [0] 3" xfId="34" xr:uid="{00000000-0005-0000-0000-000021000000}"/>
    <cellStyle name="Millares [0] 4" xfId="35" xr:uid="{00000000-0005-0000-0000-000022000000}"/>
    <cellStyle name="Millares [0] 5" xfId="36" xr:uid="{00000000-0005-0000-0000-000023000000}"/>
    <cellStyle name="Millares [0] 6" xfId="37" xr:uid="{00000000-0005-0000-0000-000024000000}"/>
    <cellStyle name="Millares 2" xfId="38" xr:uid="{00000000-0005-0000-0000-000025000000}"/>
    <cellStyle name="Millares 2 2" xfId="39" xr:uid="{00000000-0005-0000-0000-000026000000}"/>
    <cellStyle name="Millares 2 2 2" xfId="40" xr:uid="{00000000-0005-0000-0000-000027000000}"/>
    <cellStyle name="Millares 3" xfId="41" xr:uid="{00000000-0005-0000-0000-000028000000}"/>
    <cellStyle name="Millares 4" xfId="42" xr:uid="{00000000-0005-0000-0000-000029000000}"/>
    <cellStyle name="Millares 5" xfId="43" xr:uid="{00000000-0005-0000-0000-00002A000000}"/>
    <cellStyle name="Millares 5 2" xfId="44" xr:uid="{00000000-0005-0000-0000-00002B000000}"/>
    <cellStyle name="Millares 5 2 2" xfId="45" xr:uid="{00000000-0005-0000-0000-00002C000000}"/>
    <cellStyle name="Millares 6" xfId="46" xr:uid="{00000000-0005-0000-0000-00002D000000}"/>
    <cellStyle name="Millares 6 2" xfId="47" xr:uid="{00000000-0005-0000-0000-00002E000000}"/>
    <cellStyle name="Millares 7" xfId="48" xr:uid="{00000000-0005-0000-0000-00002F000000}"/>
    <cellStyle name="Millares 7 2" xfId="49" xr:uid="{00000000-0005-0000-0000-000030000000}"/>
    <cellStyle name="Millares 7 3" xfId="50" xr:uid="{00000000-0005-0000-0000-000031000000}"/>
    <cellStyle name="Millares 7 4" xfId="51" xr:uid="{00000000-0005-0000-0000-000032000000}"/>
    <cellStyle name="Millares 7 4 2" xfId="52" xr:uid="{00000000-0005-0000-0000-000033000000}"/>
    <cellStyle name="Millares 8" xfId="53" xr:uid="{00000000-0005-0000-0000-000034000000}"/>
    <cellStyle name="Normal" xfId="0" builtinId="0"/>
    <cellStyle name="Normal 10" xfId="54" xr:uid="{00000000-0005-0000-0000-000036000000}"/>
    <cellStyle name="Normal 10 2" xfId="55" xr:uid="{00000000-0005-0000-0000-000037000000}"/>
    <cellStyle name="Normal 11" xfId="56" xr:uid="{00000000-0005-0000-0000-000038000000}"/>
    <cellStyle name="Normal 12" xfId="57" xr:uid="{00000000-0005-0000-0000-000039000000}"/>
    <cellStyle name="Normal 12 2" xfId="58" xr:uid="{00000000-0005-0000-0000-00003A000000}"/>
    <cellStyle name="Normal 13" xfId="59" xr:uid="{00000000-0005-0000-0000-00003B000000}"/>
    <cellStyle name="Normal 14" xfId="60" xr:uid="{00000000-0005-0000-0000-00003C000000}"/>
    <cellStyle name="Normal 15" xfId="61" xr:uid="{00000000-0005-0000-0000-00003D000000}"/>
    <cellStyle name="Normal 16" xfId="62" xr:uid="{00000000-0005-0000-0000-00003E000000}"/>
    <cellStyle name="Normal 17" xfId="63" xr:uid="{00000000-0005-0000-0000-00003F000000}"/>
    <cellStyle name="Normal 18" xfId="64" xr:uid="{00000000-0005-0000-0000-000040000000}"/>
    <cellStyle name="Normal 19" xfId="65" xr:uid="{00000000-0005-0000-0000-000041000000}"/>
    <cellStyle name="Normal 2" xfId="66" xr:uid="{00000000-0005-0000-0000-000042000000}"/>
    <cellStyle name="Normal 2 2" xfId="67" xr:uid="{00000000-0005-0000-0000-000043000000}"/>
    <cellStyle name="Normal 2 2 2" xfId="68" xr:uid="{00000000-0005-0000-0000-000044000000}"/>
    <cellStyle name="Normal 2 2 3" xfId="69" xr:uid="{00000000-0005-0000-0000-000045000000}"/>
    <cellStyle name="Normal 2 3" xfId="70" xr:uid="{00000000-0005-0000-0000-000046000000}"/>
    <cellStyle name="Normal 2 3 2" xfId="71" xr:uid="{00000000-0005-0000-0000-000047000000}"/>
    <cellStyle name="Normal 2 4" xfId="72" xr:uid="{00000000-0005-0000-0000-000048000000}"/>
    <cellStyle name="Normal 2 5" xfId="73" xr:uid="{00000000-0005-0000-0000-000049000000}"/>
    <cellStyle name="Normal 20" xfId="74" xr:uid="{00000000-0005-0000-0000-00004A000000}"/>
    <cellStyle name="Normal 21" xfId="75" xr:uid="{00000000-0005-0000-0000-00004B000000}"/>
    <cellStyle name="Normal 22" xfId="76" xr:uid="{00000000-0005-0000-0000-00004C000000}"/>
    <cellStyle name="Normal 23" xfId="77" xr:uid="{00000000-0005-0000-0000-00004D000000}"/>
    <cellStyle name="Normal 23 2" xfId="78" xr:uid="{00000000-0005-0000-0000-00004E000000}"/>
    <cellStyle name="Normal 24" xfId="79" xr:uid="{00000000-0005-0000-0000-00004F000000}"/>
    <cellStyle name="Normal 25" xfId="80" xr:uid="{00000000-0005-0000-0000-000050000000}"/>
    <cellStyle name="Normal 26" xfId="81" xr:uid="{00000000-0005-0000-0000-000051000000}"/>
    <cellStyle name="Normal 26 2" xfId="82" xr:uid="{00000000-0005-0000-0000-000052000000}"/>
    <cellStyle name="Normal 27" xfId="83" xr:uid="{00000000-0005-0000-0000-000053000000}"/>
    <cellStyle name="Normal 28" xfId="84" xr:uid="{00000000-0005-0000-0000-000054000000}"/>
    <cellStyle name="Normal 28 2" xfId="85" xr:uid="{00000000-0005-0000-0000-000055000000}"/>
    <cellStyle name="Normal 29" xfId="86" xr:uid="{00000000-0005-0000-0000-000056000000}"/>
    <cellStyle name="Normal 3" xfId="87" xr:uid="{00000000-0005-0000-0000-000057000000}"/>
    <cellStyle name="Normal 3 2" xfId="88" xr:uid="{00000000-0005-0000-0000-000058000000}"/>
    <cellStyle name="Normal 3 2 2" xfId="89" xr:uid="{00000000-0005-0000-0000-000059000000}"/>
    <cellStyle name="Normal 3 3" xfId="90" xr:uid="{00000000-0005-0000-0000-00005A000000}"/>
    <cellStyle name="Normal 4" xfId="91" xr:uid="{00000000-0005-0000-0000-00005B000000}"/>
    <cellStyle name="Normal 4 2" xfId="92" xr:uid="{00000000-0005-0000-0000-00005C000000}"/>
    <cellStyle name="Normal 4 3" xfId="93" xr:uid="{00000000-0005-0000-0000-00005D000000}"/>
    <cellStyle name="Normal 4 3 3 2" xfId="94" xr:uid="{00000000-0005-0000-0000-00005E000000}"/>
    <cellStyle name="Normal 4 4" xfId="95" xr:uid="{00000000-0005-0000-0000-00005F000000}"/>
    <cellStyle name="Normal 4 5" xfId="96" xr:uid="{00000000-0005-0000-0000-000060000000}"/>
    <cellStyle name="Normal 5" xfId="97" xr:uid="{00000000-0005-0000-0000-000061000000}"/>
    <cellStyle name="Normal 5 2" xfId="98" xr:uid="{00000000-0005-0000-0000-000062000000}"/>
    <cellStyle name="Normal 6" xfId="99" xr:uid="{00000000-0005-0000-0000-000063000000}"/>
    <cellStyle name="Normal 6 2" xfId="100" xr:uid="{00000000-0005-0000-0000-000064000000}"/>
    <cellStyle name="Normal 7" xfId="101" xr:uid="{00000000-0005-0000-0000-000065000000}"/>
    <cellStyle name="Normal 7 2" xfId="102" xr:uid="{00000000-0005-0000-0000-000066000000}"/>
    <cellStyle name="Normal 7 2 2" xfId="103" xr:uid="{00000000-0005-0000-0000-000067000000}"/>
    <cellStyle name="Normal 8" xfId="104" xr:uid="{00000000-0005-0000-0000-000068000000}"/>
    <cellStyle name="Normal 8 2" xfId="105" xr:uid="{00000000-0005-0000-0000-000069000000}"/>
    <cellStyle name="Normal 8 3" xfId="106" xr:uid="{00000000-0005-0000-0000-00006A000000}"/>
    <cellStyle name="Normal 9" xfId="107" xr:uid="{00000000-0005-0000-0000-00006B000000}"/>
    <cellStyle name="Normal 9 2" xfId="108" xr:uid="{00000000-0005-0000-0000-00006C000000}"/>
    <cellStyle name="Normal_presupuestooperacionpisco" xfId="109" xr:uid="{00000000-0005-0000-0000-00006D000000}"/>
    <cellStyle name="Percent 2" xfId="110" xr:uid="{00000000-0005-0000-0000-00006E000000}"/>
    <cellStyle name="Percent 2 2" xfId="111" xr:uid="{00000000-0005-0000-0000-00006F000000}"/>
    <cellStyle name="Porcentaje" xfId="112" builtinId="5"/>
    <cellStyle name="Porcentaje 2" xfId="113" xr:uid="{00000000-0005-0000-0000-000071000000}"/>
    <cellStyle name="Porcentaje 3" xfId="114" xr:uid="{00000000-0005-0000-0000-000072000000}"/>
    <cellStyle name="Porcentaje 4" xfId="115" xr:uid="{00000000-0005-0000-0000-000073000000}"/>
    <cellStyle name="Porcentual 2" xfId="116" xr:uid="{00000000-0005-0000-0000-000074000000}"/>
    <cellStyle name="Porcentual 2 2" xfId="117" xr:uid="{00000000-0005-0000-0000-000075000000}"/>
    <cellStyle name="Porcentual 3" xfId="118" xr:uid="{00000000-0005-0000-0000-000076000000}"/>
    <cellStyle name="Porcentual 3 2" xfId="119" xr:uid="{00000000-0005-0000-0000-000077000000}"/>
    <cellStyle name="Porcentual 3 3" xfId="120" xr:uid="{00000000-0005-0000-0000-000078000000}"/>
    <cellStyle name="Porcentual 4" xfId="121" xr:uid="{00000000-0005-0000-0000-000079000000}"/>
    <cellStyle name="Porcentual 5" xfId="122" xr:uid="{00000000-0005-0000-0000-00007A000000}"/>
    <cellStyle name="Porcentual 6" xfId="123" xr:uid="{00000000-0005-0000-0000-00007B000000}"/>
    <cellStyle name="Porcentual 7" xfId="124" xr:uid="{00000000-0005-0000-0000-00007C000000}"/>
    <cellStyle name="Porcentual 8" xfId="125" xr:uid="{00000000-0005-0000-0000-00007D000000}"/>
    <cellStyle name="Porcentual 8 2" xfId="126" xr:uid="{00000000-0005-0000-0000-00007E000000}"/>
    <cellStyle name="Porcentual 9" xfId="127" xr:uid="{00000000-0005-0000-0000-00007F000000}"/>
    <cellStyle name="Título de hoja" xfId="128" xr:uid="{00000000-0005-0000-0000-000080000000}"/>
    <cellStyle name="桁区切り_Waste data 101027" xfId="129" xr:uid="{00000000-0005-0000-0000-000081000000}"/>
    <cellStyle name="標準_Design capacity of recycle plant" xfId="130" xr:uid="{00000000-0005-0000-0000-00008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6.xml"/><Relationship Id="rId39" Type="http://schemas.openxmlformats.org/officeDocument/2006/relationships/externalLink" Target="externalLinks/externalLink19.xml"/><Relationship Id="rId21" Type="http://schemas.openxmlformats.org/officeDocument/2006/relationships/externalLink" Target="externalLinks/externalLink1.xml"/><Relationship Id="rId34" Type="http://schemas.openxmlformats.org/officeDocument/2006/relationships/externalLink" Target="externalLinks/externalLink14.xml"/><Relationship Id="rId42" Type="http://schemas.openxmlformats.org/officeDocument/2006/relationships/externalLink" Target="externalLinks/externalLink22.xml"/><Relationship Id="rId47" Type="http://schemas.openxmlformats.org/officeDocument/2006/relationships/externalLink" Target="externalLinks/externalLink27.xml"/><Relationship Id="rId50" Type="http://schemas.openxmlformats.org/officeDocument/2006/relationships/externalLink" Target="externalLinks/externalLink3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externalLink" Target="externalLinks/externalLink9.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externalLink" Target="externalLinks/externalLink12.xml"/><Relationship Id="rId37" Type="http://schemas.openxmlformats.org/officeDocument/2006/relationships/externalLink" Target="externalLinks/externalLink17.xml"/><Relationship Id="rId40" Type="http://schemas.openxmlformats.org/officeDocument/2006/relationships/externalLink" Target="externalLinks/externalLink20.xml"/><Relationship Id="rId45" Type="http://schemas.openxmlformats.org/officeDocument/2006/relationships/externalLink" Target="externalLinks/externalLink2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1.xml"/><Relationship Id="rId44" Type="http://schemas.openxmlformats.org/officeDocument/2006/relationships/externalLink" Target="externalLinks/externalLink2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30" Type="http://schemas.openxmlformats.org/officeDocument/2006/relationships/externalLink" Target="externalLinks/externalLink10.xml"/><Relationship Id="rId35" Type="http://schemas.openxmlformats.org/officeDocument/2006/relationships/externalLink" Target="externalLinks/externalLink15.xml"/><Relationship Id="rId43" Type="http://schemas.openxmlformats.org/officeDocument/2006/relationships/externalLink" Target="externalLinks/externalLink23.xml"/><Relationship Id="rId48" Type="http://schemas.openxmlformats.org/officeDocument/2006/relationships/externalLink" Target="externalLinks/externalLink2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3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externalLink" Target="externalLinks/externalLink13.xml"/><Relationship Id="rId38" Type="http://schemas.openxmlformats.org/officeDocument/2006/relationships/externalLink" Target="externalLinks/externalLink18.xml"/><Relationship Id="rId46" Type="http://schemas.openxmlformats.org/officeDocument/2006/relationships/externalLink" Target="externalLinks/externalLink26.xml"/><Relationship Id="rId20" Type="http://schemas.openxmlformats.org/officeDocument/2006/relationships/worksheet" Target="worksheets/sheet20.xml"/><Relationship Id="rId41" Type="http://schemas.openxmlformats.org/officeDocument/2006/relationships/externalLink" Target="externalLinks/externalLink2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externalLink" Target="externalLinks/externalLink8.xml"/><Relationship Id="rId36" Type="http://schemas.openxmlformats.org/officeDocument/2006/relationships/externalLink" Target="externalLinks/externalLink16.xml"/><Relationship Id="rId49" Type="http://schemas.openxmlformats.org/officeDocument/2006/relationships/externalLink" Target="externalLinks/externalLink2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PE" sz="875" b="1" i="0" u="none" strike="noStrike" baseline="0">
                <a:solidFill>
                  <a:srgbClr val="000000"/>
                </a:solidFill>
                <a:latin typeface="Arial"/>
                <a:ea typeface="Arial"/>
                <a:cs typeface="Arial"/>
              </a:defRPr>
            </a:pPr>
            <a:r>
              <a:rPr lang="es-PE"/>
              <a:t>Análisis de Sensibilidad 
- Variación Total de Residuos Sólidos (Ton) -</a:t>
            </a:r>
          </a:p>
        </c:rich>
      </c:tx>
      <c:layout>
        <c:manualLayout>
          <c:xMode val="edge"/>
          <c:yMode val="edge"/>
          <c:x val="0.32225837644657745"/>
          <c:y val="7.1001987371386896E-2"/>
        </c:manualLayout>
      </c:layout>
      <c:overlay val="0"/>
      <c:spPr>
        <a:noFill/>
        <a:ln w="25400">
          <a:noFill/>
        </a:ln>
      </c:spPr>
    </c:title>
    <c:autoTitleDeleted val="0"/>
    <c:plotArea>
      <c:layout>
        <c:manualLayout>
          <c:layoutTarget val="inner"/>
          <c:xMode val="edge"/>
          <c:yMode val="edge"/>
          <c:x val="0.1375935005172132"/>
          <c:y val="0.19362256907404091"/>
          <c:w val="0.79269164455276597"/>
          <c:h val="0.52250773125201111"/>
        </c:manualLayout>
      </c:layout>
      <c:lineChart>
        <c:grouping val="standard"/>
        <c:varyColors val="0"/>
        <c:ser>
          <c:idx val="0"/>
          <c:order val="0"/>
          <c:tx>
            <c:strRef>
              <c:f>'CEF-Tarifa'!$I$64</c:f>
              <c:strCache>
                <c:ptCount val="1"/>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'CEF-Tarifa'!$C$65:$C$69</c:f>
              <c:numCache>
                <c:formatCode>0%</c:formatCode>
                <c:ptCount val="5"/>
                <c:pt idx="0">
                  <c:v>0.8</c:v>
                </c:pt>
                <c:pt idx="1">
                  <c:v>0.9</c:v>
                </c:pt>
                <c:pt idx="2">
                  <c:v>1</c:v>
                </c:pt>
                <c:pt idx="3">
                  <c:v>1.1000000000000001</c:v>
                </c:pt>
                <c:pt idx="4">
                  <c:v>1.2</c:v>
                </c:pt>
              </c:numCache>
            </c:numRef>
          </c:cat>
          <c:val>
            <c:numRef>
              <c:f>'CEF-Tarifa'!$I$65:$I$69</c:f>
              <c:numCache>
                <c:formatCode>0</c:formatCode>
                <c:ptCount val="5"/>
              </c:numCache>
            </c:numRef>
          </c:val>
          <c:smooth val="0"/>
          <c:extLst>
            <c:ext xmlns:c16="http://schemas.microsoft.com/office/drawing/2014/chart" uri="{C3380CC4-5D6E-409C-BE32-E72D297353CC}">
              <c16:uniqueId val="{00000000-A35E-4485-B54C-40C2A1436199}"/>
            </c:ext>
          </c:extLst>
        </c:ser>
        <c:ser>
          <c:idx val="1"/>
          <c:order val="1"/>
          <c:tx>
            <c:strRef>
              <c:f>'CEF-Tarifa'!$F$64</c:f>
              <c:strCache>
                <c:ptCount val="1"/>
                <c:pt idx="0">
                  <c:v>Alternativa</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val>
            <c:numRef>
              <c:f>'CEF-Tarifa'!$F$65:$F$69</c:f>
              <c:numCache>
                <c:formatCode>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A35E-4485-B54C-40C2A1436199}"/>
            </c:ext>
          </c:extLst>
        </c:ser>
        <c:dLbls>
          <c:showLegendKey val="0"/>
          <c:showVal val="0"/>
          <c:showCatName val="0"/>
          <c:showSerName val="0"/>
          <c:showPercent val="0"/>
          <c:showBubbleSize val="0"/>
        </c:dLbls>
        <c:marker val="1"/>
        <c:smooth val="0"/>
        <c:axId val="312651232"/>
        <c:axId val="312650840"/>
      </c:lineChart>
      <c:catAx>
        <c:axId val="312651232"/>
        <c:scaling>
          <c:orientation val="minMax"/>
        </c:scaling>
        <c:delete val="0"/>
        <c:axPos val="b"/>
        <c:title>
          <c:tx>
            <c:rich>
              <a:bodyPr/>
              <a:lstStyle/>
              <a:p>
                <a:pPr>
                  <a:defRPr lang="es-PE" sz="800" b="1" i="0" u="none" strike="noStrike" baseline="0">
                    <a:solidFill>
                      <a:srgbClr val="000000"/>
                    </a:solidFill>
                    <a:latin typeface="Arial"/>
                    <a:ea typeface="Arial"/>
                    <a:cs typeface="Arial"/>
                  </a:defRPr>
                </a:pPr>
                <a:r>
                  <a:rPr lang="es-PE"/>
                  <a:t>%</a:t>
                </a:r>
              </a:p>
            </c:rich>
          </c:tx>
          <c:layout>
            <c:manualLayout>
              <c:xMode val="edge"/>
              <c:yMode val="edge"/>
              <c:x val="0.95555739743058432"/>
              <c:y val="0.70416979027781279"/>
            </c:manualLayout>
          </c:layout>
          <c:overlay val="0"/>
          <c:spPr>
            <a:noFill/>
            <a:ln w="25400">
              <a:noFill/>
            </a:ln>
          </c:spPr>
        </c:title>
        <c:numFmt formatCode="0%" sourceLinked="1"/>
        <c:majorTickMark val="out"/>
        <c:minorTickMark val="none"/>
        <c:tickLblPos val="nextTo"/>
        <c:spPr>
          <a:solidFill>
            <a:schemeClr val="bg1">
              <a:lumMod val="95000"/>
            </a:schemeClr>
          </a:solidFill>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PE"/>
          </a:p>
        </c:txPr>
        <c:crossAx val="312650840"/>
        <c:crosses val="autoZero"/>
        <c:auto val="1"/>
        <c:lblAlgn val="ctr"/>
        <c:lblOffset val="100"/>
        <c:tickLblSkip val="1"/>
        <c:tickMarkSkip val="1"/>
        <c:noMultiLvlLbl val="0"/>
      </c:catAx>
      <c:valAx>
        <c:axId val="312650840"/>
        <c:scaling>
          <c:orientation val="minMax"/>
          <c:min val="100"/>
        </c:scaling>
        <c:delete val="0"/>
        <c:axPos val="l"/>
        <c:majorGridlines>
          <c:spPr>
            <a:ln w="3175">
              <a:solidFill>
                <a:srgbClr val="000000"/>
              </a:solidFill>
              <a:prstDash val="solid"/>
            </a:ln>
          </c:spPr>
        </c:majorGridlines>
        <c:title>
          <c:tx>
            <c:rich>
              <a:bodyPr/>
              <a:lstStyle/>
              <a:p>
                <a:pPr>
                  <a:defRPr lang="es-PE" sz="800" b="1" i="0" u="none" strike="noStrike" baseline="0">
                    <a:solidFill>
                      <a:srgbClr val="000000"/>
                    </a:solidFill>
                    <a:latin typeface="Arial"/>
                    <a:ea typeface="Arial"/>
                    <a:cs typeface="Arial"/>
                  </a:defRPr>
                </a:pPr>
                <a:r>
                  <a:rPr lang="es-PE"/>
                  <a:t>C/E</a:t>
                </a:r>
              </a:p>
            </c:rich>
          </c:tx>
          <c:layout>
            <c:manualLayout>
              <c:xMode val="edge"/>
              <c:yMode val="edge"/>
              <c:x val="4.2222370760530994E-2"/>
              <c:y val="0.4541681970264898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PE"/>
          </a:p>
        </c:txPr>
        <c:crossAx val="312651232"/>
        <c:crosses val="autoZero"/>
        <c:crossBetween val="between"/>
      </c:valAx>
      <c:spPr>
        <a:solidFill>
          <a:schemeClr val="bg2"/>
        </a:solidFill>
        <a:ln w="12700">
          <a:solidFill>
            <a:schemeClr val="bg1">
              <a:lumMod val="95000"/>
            </a:schemeClr>
          </a:solidFill>
          <a:prstDash val="solid"/>
        </a:ln>
      </c:spPr>
    </c:plotArea>
    <c:legend>
      <c:legendPos val="r"/>
      <c:legendEntry>
        <c:idx val="0"/>
        <c:delete val="1"/>
      </c:legendEntry>
      <c:layout>
        <c:manualLayout>
          <c:xMode val="edge"/>
          <c:yMode val="edge"/>
          <c:x val="0.38099113671911555"/>
          <c:y val="0.83936169320687959"/>
          <c:w val="0.28703911162208295"/>
          <c:h val="0.13237134495568248"/>
        </c:manualLayout>
      </c:layout>
      <c:overlay val="0"/>
      <c:spPr>
        <a:solidFill>
          <a:srgbClr val="FFFFFF"/>
        </a:solidFill>
        <a:ln w="3175">
          <a:solidFill>
            <a:srgbClr val="000000"/>
          </a:solidFill>
          <a:prstDash val="solid"/>
        </a:ln>
      </c:spPr>
      <c:txPr>
        <a:bodyPr/>
        <a:lstStyle/>
        <a:p>
          <a:pPr>
            <a:defRPr lang="es-PE" sz="775" b="0" i="0" u="none" strike="noStrike" baseline="0">
              <a:solidFill>
                <a:srgbClr val="000000"/>
              </a:solidFill>
              <a:latin typeface="Arial"/>
              <a:ea typeface="Arial"/>
              <a:cs typeface="Arial"/>
            </a:defRPr>
          </a:pPr>
          <a:endParaRPr lang="es-PE"/>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PE"/>
    </a:p>
  </c:txPr>
  <c:printSettings>
    <c:headerFooter alignWithMargins="0"/>
    <c:pageMargins b="1" l="0.75000000000000988" r="0.75000000000000988" t="1" header="0" footer="0"/>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PE" sz="925" b="1" i="0" u="none" strike="noStrike" baseline="0">
                <a:solidFill>
                  <a:srgbClr val="000000"/>
                </a:solidFill>
                <a:latin typeface="Arial"/>
                <a:ea typeface="Arial"/>
                <a:cs typeface="Arial"/>
              </a:defRPr>
            </a:pPr>
            <a:r>
              <a:rPr lang="es-PE"/>
              <a:t>Análisis de Sensibilidad
  - Variación de Costos-</a:t>
            </a:r>
          </a:p>
        </c:rich>
      </c:tx>
      <c:layout>
        <c:manualLayout>
          <c:xMode val="edge"/>
          <c:yMode val="edge"/>
          <c:x val="0.33660917385326833"/>
          <c:y val="3.9473944760463661E-2"/>
        </c:manualLayout>
      </c:layout>
      <c:overlay val="0"/>
      <c:spPr>
        <a:noFill/>
        <a:ln w="25400">
          <a:noFill/>
        </a:ln>
      </c:spPr>
    </c:title>
    <c:autoTitleDeleted val="0"/>
    <c:plotArea>
      <c:layout>
        <c:manualLayout>
          <c:layoutTarget val="inner"/>
          <c:xMode val="edge"/>
          <c:yMode val="edge"/>
          <c:x val="0.13172808411036088"/>
          <c:y val="0.18011751678442439"/>
          <c:w val="0.78147124605058893"/>
          <c:h val="0.59429518872054143"/>
        </c:manualLayout>
      </c:layout>
      <c:lineChart>
        <c:grouping val="standard"/>
        <c:varyColors val="0"/>
        <c:ser>
          <c:idx val="0"/>
          <c:order val="0"/>
          <c:tx>
            <c:strRef>
              <c:f>'CEF-Tarifa'!$I$64</c:f>
              <c:strCache>
                <c:ptCount val="1"/>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'CEF-Tarifa'!$C$73:$C$77</c:f>
              <c:numCache>
                <c:formatCode>0%</c:formatCode>
                <c:ptCount val="5"/>
                <c:pt idx="0">
                  <c:v>0.8</c:v>
                </c:pt>
                <c:pt idx="1">
                  <c:v>0.9</c:v>
                </c:pt>
                <c:pt idx="2">
                  <c:v>1</c:v>
                </c:pt>
                <c:pt idx="3">
                  <c:v>1.1000000000000001</c:v>
                </c:pt>
                <c:pt idx="4">
                  <c:v>1.2</c:v>
                </c:pt>
              </c:numCache>
            </c:numRef>
          </c:cat>
          <c:val>
            <c:numRef>
              <c:f>'CEF-Tarifa'!$I$73:$I$77</c:f>
              <c:numCache>
                <c:formatCode>0</c:formatCode>
                <c:ptCount val="5"/>
              </c:numCache>
            </c:numRef>
          </c:val>
          <c:smooth val="0"/>
          <c:extLst>
            <c:ext xmlns:c16="http://schemas.microsoft.com/office/drawing/2014/chart" uri="{C3380CC4-5D6E-409C-BE32-E72D297353CC}">
              <c16:uniqueId val="{00000000-6A6C-49B2-9BE5-6EE6DCF424B3}"/>
            </c:ext>
          </c:extLst>
        </c:ser>
        <c:ser>
          <c:idx val="1"/>
          <c:order val="1"/>
          <c:tx>
            <c:strRef>
              <c:f>'CEF-Tarifa'!$F$64</c:f>
              <c:strCache>
                <c:ptCount val="1"/>
                <c:pt idx="0">
                  <c:v>Alternativa</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'CEF-Tarifa'!$C$73:$C$77</c:f>
              <c:numCache>
                <c:formatCode>0%</c:formatCode>
                <c:ptCount val="5"/>
                <c:pt idx="0">
                  <c:v>0.8</c:v>
                </c:pt>
                <c:pt idx="1">
                  <c:v>0.9</c:v>
                </c:pt>
                <c:pt idx="2">
                  <c:v>1</c:v>
                </c:pt>
                <c:pt idx="3">
                  <c:v>1.1000000000000001</c:v>
                </c:pt>
                <c:pt idx="4">
                  <c:v>1.2</c:v>
                </c:pt>
              </c:numCache>
            </c:numRef>
          </c:cat>
          <c:val>
            <c:numRef>
              <c:f>'CEF-Tarifa'!$F$73:$F$77</c:f>
              <c:numCache>
                <c:formatCode>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6A6C-49B2-9BE5-6EE6DCF424B3}"/>
            </c:ext>
          </c:extLst>
        </c:ser>
        <c:dLbls>
          <c:showLegendKey val="0"/>
          <c:showVal val="0"/>
          <c:showCatName val="0"/>
          <c:showSerName val="0"/>
          <c:showPercent val="0"/>
          <c:showBubbleSize val="0"/>
        </c:dLbls>
        <c:marker val="1"/>
        <c:smooth val="0"/>
        <c:axId val="262910432"/>
        <c:axId val="338836936"/>
      </c:lineChart>
      <c:catAx>
        <c:axId val="262910432"/>
        <c:scaling>
          <c:orientation val="minMax"/>
        </c:scaling>
        <c:delete val="0"/>
        <c:axPos val="b"/>
        <c:title>
          <c:tx>
            <c:rich>
              <a:bodyPr/>
              <a:lstStyle/>
              <a:p>
                <a:pPr>
                  <a:defRPr lang="es-PE" sz="450" b="1" i="0" u="none" strike="noStrike" baseline="0">
                    <a:solidFill>
                      <a:srgbClr val="000000"/>
                    </a:solidFill>
                    <a:latin typeface="Arial"/>
                    <a:ea typeface="Arial"/>
                    <a:cs typeface="Arial"/>
                  </a:defRPr>
                </a:pPr>
                <a:r>
                  <a:rPr lang="es-PE"/>
                  <a:t>%</a:t>
                </a:r>
              </a:p>
            </c:rich>
          </c:tx>
          <c:layout>
            <c:manualLayout>
              <c:xMode val="edge"/>
              <c:yMode val="edge"/>
              <c:x val="0.96314460692413451"/>
              <c:y val="0.7017573159226983"/>
            </c:manualLayout>
          </c:layout>
          <c:overlay val="0"/>
          <c:spPr>
            <a:noFill/>
            <a:ln w="25400">
              <a:noFill/>
            </a:ln>
          </c:spPr>
        </c:title>
        <c:numFmt formatCode="0%" sourceLinked="1"/>
        <c:majorTickMark val="out"/>
        <c:minorTickMark val="none"/>
        <c:tickLblPos val="nextTo"/>
        <c:spPr>
          <a:solidFill>
            <a:schemeClr val="bg1">
              <a:lumMod val="95000"/>
            </a:schemeClr>
          </a:solidFill>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s-PE"/>
          </a:p>
        </c:txPr>
        <c:crossAx val="338836936"/>
        <c:crosses val="autoZero"/>
        <c:auto val="1"/>
        <c:lblAlgn val="ctr"/>
        <c:lblOffset val="100"/>
        <c:tickLblSkip val="1"/>
        <c:tickMarkSkip val="1"/>
        <c:noMultiLvlLbl val="0"/>
      </c:catAx>
      <c:valAx>
        <c:axId val="338836936"/>
        <c:scaling>
          <c:orientation val="minMax"/>
          <c:min val="100"/>
        </c:scaling>
        <c:delete val="0"/>
        <c:axPos val="l"/>
        <c:majorGridlines>
          <c:spPr>
            <a:ln w="3175">
              <a:solidFill>
                <a:srgbClr val="000000"/>
              </a:solidFill>
              <a:prstDash val="solid"/>
            </a:ln>
          </c:spPr>
        </c:majorGridlines>
        <c:title>
          <c:tx>
            <c:rich>
              <a:bodyPr/>
              <a:lstStyle/>
              <a:p>
                <a:pPr>
                  <a:defRPr lang="es-PE" sz="800" b="1" i="0" u="none" strike="noStrike" baseline="0">
                    <a:solidFill>
                      <a:srgbClr val="000000"/>
                    </a:solidFill>
                    <a:latin typeface="Arial"/>
                    <a:ea typeface="Arial"/>
                    <a:cs typeface="Arial"/>
                  </a:defRPr>
                </a:pPr>
                <a:r>
                  <a:rPr lang="es-PE" sz="800"/>
                  <a:t>C/E</a:t>
                </a:r>
              </a:p>
            </c:rich>
          </c:tx>
          <c:layout>
            <c:manualLayout>
              <c:xMode val="edge"/>
              <c:yMode val="edge"/>
              <c:x val="4.1768886032103124E-2"/>
              <c:y val="0.4649140209786943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s-PE"/>
          </a:p>
        </c:txPr>
        <c:crossAx val="262910432"/>
        <c:crosses val="autoZero"/>
        <c:crossBetween val="between"/>
      </c:valAx>
      <c:spPr>
        <a:solidFill>
          <a:schemeClr val="bg1">
            <a:lumMod val="95000"/>
          </a:schemeClr>
        </a:solidFill>
        <a:ln w="12700">
          <a:solidFill>
            <a:srgbClr val="808080"/>
          </a:solidFill>
          <a:prstDash val="solid"/>
        </a:ln>
      </c:spPr>
    </c:plotArea>
    <c:legend>
      <c:legendPos val="r"/>
      <c:legendEntry>
        <c:idx val="0"/>
        <c:delete val="1"/>
      </c:legendEntry>
      <c:layout>
        <c:manualLayout>
          <c:xMode val="edge"/>
          <c:yMode val="edge"/>
          <c:x val="0.3939695038120235"/>
          <c:y val="0.85066121183250665"/>
          <c:w val="0.26110896852179194"/>
          <c:h val="0.10471488216997782"/>
        </c:manualLayout>
      </c:layout>
      <c:overlay val="0"/>
      <c:spPr>
        <a:solidFill>
          <a:srgbClr val="FFFFFF"/>
        </a:solidFill>
        <a:ln w="3175">
          <a:solidFill>
            <a:srgbClr val="000000"/>
          </a:solidFill>
          <a:prstDash val="solid"/>
        </a:ln>
      </c:spPr>
      <c:txPr>
        <a:bodyPr/>
        <a:lstStyle/>
        <a:p>
          <a:pPr>
            <a:defRPr lang="es-PE" sz="775" b="0" i="0" u="none" strike="noStrike" baseline="0">
              <a:solidFill>
                <a:srgbClr val="000000"/>
              </a:solidFill>
              <a:latin typeface="Arial"/>
              <a:ea typeface="Arial"/>
              <a:cs typeface="Arial"/>
            </a:defRPr>
          </a:pPr>
          <a:endParaRPr lang="es-PE"/>
        </a:p>
      </c:tx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s-PE"/>
    </a:p>
  </c:txPr>
  <c:printSettings>
    <c:headerFooter alignWithMargins="0"/>
    <c:pageMargins b="1" l="0.75000000000000988" r="0.75000000000000988" t="1" header="0" footer="0"/>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Drop" dropLines="5" dropStyle="combo" dx="16" fmlaLink="BE17" fmlaRange="BASE!$B$5:$B$9" noThreeD="1" sel="1" val="0"/>
</file>

<file path=xl/ctrlProps/ctrlProp18.xml><?xml version="1.0" encoding="utf-8"?>
<formControlPr xmlns="http://schemas.microsoft.com/office/spreadsheetml/2009/9/main" objectType="Drop" dropStyle="combo" dx="16" fmlaLink="BE34" fmlaRange="BASE!$C$5:$C$7" noThreeD="1" sel="1" val="0"/>
</file>

<file path=xl/ctrlProps/ctrlProp19.xml><?xml version="1.0" encoding="utf-8"?>
<formControlPr xmlns="http://schemas.microsoft.com/office/spreadsheetml/2009/9/main" objectType="Drop" dropStyle="combo" dx="16" fmlaLink="$BE$202" fmlaRange="BASE!$G$6:$G$10" noThreeD="1" sel="1" val="0"/>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checked="Checked" lockText="1"/>
</file>

<file path=xl/ctrlProps/ctrlProp33.xml><?xml version="1.0" encoding="utf-8"?>
<formControlPr xmlns="http://schemas.microsoft.com/office/spreadsheetml/2009/9/main" objectType="CheckBox" lockText="1"/>
</file>

<file path=xl/ctrlProps/ctrlProp34.xml><?xml version="1.0" encoding="utf-8"?>
<formControlPr xmlns="http://schemas.microsoft.com/office/spreadsheetml/2009/9/main" objectType="CheckBox" checked="Checked" lockText="1"/>
</file>

<file path=xl/ctrlProps/ctrlProp35.xml><?xml version="1.0" encoding="utf-8"?>
<formControlPr xmlns="http://schemas.microsoft.com/office/spreadsheetml/2009/9/main" objectType="CheckBox" lockText="1"/>
</file>

<file path=xl/ctrlProps/ctrlProp36.xml><?xml version="1.0" encoding="utf-8"?>
<formControlPr xmlns="http://schemas.microsoft.com/office/spreadsheetml/2009/9/main" objectType="CheckBox" checked="Checked" lockText="1"/>
</file>

<file path=xl/ctrlProps/ctrlProp37.xml><?xml version="1.0" encoding="utf-8"?>
<formControlPr xmlns="http://schemas.microsoft.com/office/spreadsheetml/2009/9/main" objectType="CheckBox" lockText="1"/>
</file>

<file path=xl/ctrlProps/ctrlProp38.xml><?xml version="1.0" encoding="utf-8"?>
<formControlPr xmlns="http://schemas.microsoft.com/office/spreadsheetml/2009/9/main" objectType="CheckBox" lockText="1"/>
</file>

<file path=xl/ctrlProps/ctrlProp39.xml><?xml version="1.0" encoding="utf-8"?>
<formControlPr xmlns="http://schemas.microsoft.com/office/spreadsheetml/2009/9/main" objectType="CheckBox" lockText="1"/>
</file>

<file path=xl/ctrlProps/ctrlProp40.xml><?xml version="1.0" encoding="utf-8"?>
<formControlPr xmlns="http://schemas.microsoft.com/office/spreadsheetml/2009/9/main" objectType="CheckBox" checked="Checked" lockText="1"/>
</file>

<file path=xl/ctrlProps/ctrlProp41.xml><?xml version="1.0" encoding="utf-8"?>
<formControlPr xmlns="http://schemas.microsoft.com/office/spreadsheetml/2009/9/main" objectType="CheckBox" lockText="1"/>
</file>

<file path=xl/ctrlProps/ctrlProp42.xml><?xml version="1.0" encoding="utf-8"?>
<formControlPr xmlns="http://schemas.microsoft.com/office/spreadsheetml/2009/9/main" objectType="CheckBox" lockText="1"/>
</file>

<file path=xl/ctrlProps/ctrlProp43.xml><?xml version="1.0" encoding="utf-8"?>
<formControlPr xmlns="http://schemas.microsoft.com/office/spreadsheetml/2009/9/main" objectType="CheckBox" lockText="1"/>
</file>

<file path=xl/ctrlProps/ctrlProp44.xml><?xml version="1.0" encoding="utf-8"?>
<formControlPr xmlns="http://schemas.microsoft.com/office/spreadsheetml/2009/9/main" objectType="CheckBox" lockText="1"/>
</file>

<file path=xl/ctrlProps/ctrlProp45.xml><?xml version="1.0" encoding="utf-8"?>
<formControlPr xmlns="http://schemas.microsoft.com/office/spreadsheetml/2009/9/main" objectType="CheckBox" checked="Checked"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checked="Checked"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checked="Checked"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checked="Checked"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checked="Checked"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checked="Checked" lockText="1"/>
</file>

<file path=xl/ctrlProps/ctrlProp59.xml><?xml version="1.0" encoding="utf-8"?>
<formControlPr xmlns="http://schemas.microsoft.com/office/spreadsheetml/2009/9/main" objectType="CheckBox" checked="Checked" lockText="1"/>
</file>

<file path=xl/ctrlProps/ctrlProp60.xml><?xml version="1.0" encoding="utf-8"?>
<formControlPr xmlns="http://schemas.microsoft.com/office/spreadsheetml/2009/9/main" objectType="CheckBox" checked="Checked"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checked="Checked"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checked="Checked"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checked="Checked"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checked="Checked"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checked="Checked"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checked="Checked"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checked="Checked" lockText="1"/>
</file>

<file path=xl/ctrlProps/ctrlProp83.xml><?xml version="1.0" encoding="utf-8"?>
<formControlPr xmlns="http://schemas.microsoft.com/office/spreadsheetml/2009/9/main" objectType="CheckBox" checked="Checked" lockText="1"/>
</file>

<file path=xl/ctrlProps/ctrlProp84.xml><?xml version="1.0" encoding="utf-8"?>
<formControlPr xmlns="http://schemas.microsoft.com/office/spreadsheetml/2009/9/main" objectType="CheckBox" checked="Checked" lockText="1"/>
</file>

<file path=xl/ctrlProps/ctrlProp85.xml><?xml version="1.0" encoding="utf-8"?>
<formControlPr xmlns="http://schemas.microsoft.com/office/spreadsheetml/2009/9/main" objectType="CheckBox" checked="Checked" lockText="1"/>
</file>

<file path=xl/ctrlProps/ctrlProp86.xml><?xml version="1.0" encoding="utf-8"?>
<formControlPr xmlns="http://schemas.microsoft.com/office/spreadsheetml/2009/9/main" objectType="CheckBox" checked="Checked" lockText="1"/>
</file>

<file path=xl/ctrlProps/ctrlProp87.xml><?xml version="1.0" encoding="utf-8"?>
<formControlPr xmlns="http://schemas.microsoft.com/office/spreadsheetml/2009/9/main" objectType="CheckBox" checked="Checked" lockText="1"/>
</file>

<file path=xl/ctrlProps/ctrlProp88.xml><?xml version="1.0" encoding="utf-8"?>
<formControlPr xmlns="http://schemas.microsoft.com/office/spreadsheetml/2009/9/main" objectType="CheckBox" checked="Checked" lockText="1"/>
</file>

<file path=xl/ctrlProps/ctrlProp89.xml><?xml version="1.0" encoding="utf-8"?>
<formControlPr xmlns="http://schemas.microsoft.com/office/spreadsheetml/2009/9/main" objectType="CheckBox" checked="Checked" lockText="1"/>
</file>

<file path=xl/ctrlProps/ctrlProp90.xml><?xml version="1.0" encoding="utf-8"?>
<formControlPr xmlns="http://schemas.microsoft.com/office/spreadsheetml/2009/9/main" objectType="CheckBox" checked="Checked" lockText="1"/>
</file>

<file path=xl/ctrlProps/ctrlProp91.xml><?xml version="1.0" encoding="utf-8"?>
<formControlPr xmlns="http://schemas.microsoft.com/office/spreadsheetml/2009/9/main" objectType="CheckBox" checked="Checked" lockText="1"/>
</file>

<file path=xl/ctrlProps/ctrlProp92.xml><?xml version="1.0" encoding="utf-8"?>
<formControlPr xmlns="http://schemas.microsoft.com/office/spreadsheetml/2009/9/main" objectType="CheckBox" checked="Checked" lockText="1"/>
</file>

<file path=xl/ctrlProps/ctrlProp93.xml><?xml version="1.0" encoding="utf-8"?>
<formControlPr xmlns="http://schemas.microsoft.com/office/spreadsheetml/2009/9/main" objectType="CheckBox" checked="Checked" lockText="1"/>
</file>

<file path=xl/ctrlProps/ctrlProp94.xml><?xml version="1.0" encoding="utf-8"?>
<formControlPr xmlns="http://schemas.microsoft.com/office/spreadsheetml/2009/9/main" objectType="CheckBox" checked="Checked" lockText="1"/>
</file>

<file path=xl/ctrlProps/ctrlProp95.xml><?xml version="1.0" encoding="utf-8"?>
<formControlPr xmlns="http://schemas.microsoft.com/office/spreadsheetml/2009/9/main" objectType="CheckBox" checked="Checked" lockText="1"/>
</file>

<file path=xl/ctrlProps/ctrlProp96.xml><?xml version="1.0" encoding="utf-8"?>
<formControlPr xmlns="http://schemas.microsoft.com/office/spreadsheetml/2009/9/main" objectType="CheckBox" checked="Checked" lockText="1"/>
</file>

<file path=xl/ctrlProps/ctrlProp97.xml><?xml version="1.0" encoding="utf-8"?>
<formControlPr xmlns="http://schemas.microsoft.com/office/spreadsheetml/2009/9/main" objectType="CheckBox" checked="Checked" lockText="1"/>
</file>

<file path=xl/ctrlProps/ctrlProp98.xml><?xml version="1.0" encoding="utf-8"?>
<formControlPr xmlns="http://schemas.microsoft.com/office/spreadsheetml/2009/9/main" objectType="CheckBox" checked="Checked" lockText="1"/>
</file>

<file path=xl/ctrlProps/ctrlProp99.xml><?xml version="1.0" encoding="utf-8"?>
<formControlPr xmlns="http://schemas.microsoft.com/office/spreadsheetml/2009/9/main" objectType="CheckBox" checked="Checked" lockText="1"/>
</file>

<file path=xl/ctrlProps/ctrlProp100.xml><?xml version="1.0" encoding="utf-8"?>
<formControlPr xmlns="http://schemas.microsoft.com/office/spreadsheetml/2009/9/main" objectType="CheckBox" checked="Checked" lockText="1"/>
</file>

<file path=xl/ctrlProps/ctrlProp101.xml><?xml version="1.0" encoding="utf-8"?>
<formControlPr xmlns="http://schemas.microsoft.com/office/spreadsheetml/2009/9/main" objectType="CheckBox" checked="Checked" lockText="1"/>
</file>

<file path=xl/ctrlProps/ctrlProp102.xml><?xml version="1.0" encoding="utf-8"?>
<formControlPr xmlns="http://schemas.microsoft.com/office/spreadsheetml/2009/9/main" objectType="CheckBox" checked="Checked" lockText="1"/>
</file>

<file path=xl/ctrlProps/ctrlProp103.xml><?xml version="1.0" encoding="utf-8"?>
<formControlPr xmlns="http://schemas.microsoft.com/office/spreadsheetml/2009/9/main" objectType="CheckBox" checked="Checked" lockText="1"/>
</file>

<file path=xl/ctrlProps/ctrlProp104.xml><?xml version="1.0" encoding="utf-8"?>
<formControlPr xmlns="http://schemas.microsoft.com/office/spreadsheetml/2009/9/main" objectType="CheckBox" checked="Checked" lockText="1"/>
</file>

<file path=xl/ctrlProps/ctrlProp105.xml><?xml version="1.0" encoding="utf-8"?>
<formControlPr xmlns="http://schemas.microsoft.com/office/spreadsheetml/2009/9/main" objectType="CheckBox" checked="Checked" lockText="1"/>
</file>

<file path=xl/ctrlProps/ctrlProp106.xml><?xml version="1.0" encoding="utf-8"?>
<formControlPr xmlns="http://schemas.microsoft.com/office/spreadsheetml/2009/9/main" objectType="CheckBox" checked="Checked" lockText="1"/>
</file>

<file path=xl/ctrlProps/ctrlProp107.xml><?xml version="1.0" encoding="utf-8"?>
<formControlPr xmlns="http://schemas.microsoft.com/office/spreadsheetml/2009/9/main" objectType="CheckBox" checked="Checked" lockText="1"/>
</file>

<file path=xl/ctrlProps/ctrlProp108.xml><?xml version="1.0" encoding="utf-8"?>
<formControlPr xmlns="http://schemas.microsoft.com/office/spreadsheetml/2009/9/main" objectType="CheckBox" checked="Checked" lockText="1"/>
</file>

<file path=xl/ctrlProps/ctrlProp109.xml><?xml version="1.0" encoding="utf-8"?>
<formControlPr xmlns="http://schemas.microsoft.com/office/spreadsheetml/2009/9/main" objectType="CheckBox" checked="Checked" lockText="1"/>
</file>

<file path=xl/ctrlProps/ctrlProp110.xml><?xml version="1.0" encoding="utf-8"?>
<formControlPr xmlns="http://schemas.microsoft.com/office/spreadsheetml/2009/9/main" objectType="CheckBox" checked="Checked" lockText="1"/>
</file>

<file path=xl/ctrlProps/ctrlProp111.xml><?xml version="1.0" encoding="utf-8"?>
<formControlPr xmlns="http://schemas.microsoft.com/office/spreadsheetml/2009/9/main" objectType="CheckBox" checked="Checked" lockText="1"/>
</file>

<file path=xl/ctrlProps/ctrlProp112.xml><?xml version="1.0" encoding="utf-8"?>
<formControlPr xmlns="http://schemas.microsoft.com/office/spreadsheetml/2009/9/main" objectType="CheckBox" checked="Checked" lockText="1"/>
</file>

<file path=xl/ctrlProps/ctrlProp113.xml><?xml version="1.0" encoding="utf-8"?>
<formControlPr xmlns="http://schemas.microsoft.com/office/spreadsheetml/2009/9/main" objectType="CheckBox" checked="Checked" lockText="1"/>
</file>

<file path=xl/ctrlProps/ctrlProp114.xml><?xml version="1.0" encoding="utf-8"?>
<formControlPr xmlns="http://schemas.microsoft.com/office/spreadsheetml/2009/9/main" objectType="CheckBox" checked="Checked" lockText="1"/>
</file>

<file path=xl/ctrlProps/ctrlProp115.xml><?xml version="1.0" encoding="utf-8"?>
<formControlPr xmlns="http://schemas.microsoft.com/office/spreadsheetml/2009/9/main" objectType="CheckBox" checked="Checked" lockText="1"/>
</file>

<file path=xl/ctrlProps/ctrlProp116.xml><?xml version="1.0" encoding="utf-8"?>
<formControlPr xmlns="http://schemas.microsoft.com/office/spreadsheetml/2009/9/main" objectType="CheckBox" checked="Checked" lockText="1"/>
</file>

<file path=xl/ctrlProps/ctrlProp117.xml><?xml version="1.0" encoding="utf-8"?>
<formControlPr xmlns="http://schemas.microsoft.com/office/spreadsheetml/2009/9/main" objectType="CheckBox" checked="Checked" lockText="1"/>
</file>

<file path=xl/ctrlProps/ctrlProp118.xml><?xml version="1.0" encoding="utf-8"?>
<formControlPr xmlns="http://schemas.microsoft.com/office/spreadsheetml/2009/9/main" objectType="CheckBox" checked="Checked" lockText="1"/>
</file>

<file path=xl/ctrlProps/ctrlProp119.xml><?xml version="1.0" encoding="utf-8"?>
<formControlPr xmlns="http://schemas.microsoft.com/office/spreadsheetml/2009/9/main" objectType="CheckBox" checked="Checked" lockText="1"/>
</file>

<file path=xl/ctrlProps/ctrlProp120.xml><?xml version="1.0" encoding="utf-8"?>
<formControlPr xmlns="http://schemas.microsoft.com/office/spreadsheetml/2009/9/main" objectType="CheckBox" checked="Checked" lockText="1"/>
</file>

<file path=xl/ctrlProps/ctrlProp121.xml><?xml version="1.0" encoding="utf-8"?>
<formControlPr xmlns="http://schemas.microsoft.com/office/spreadsheetml/2009/9/main" objectType="CheckBox" checked="Checked" lockText="1"/>
</file>

<file path=xl/ctrlProps/ctrlProp122.xml><?xml version="1.0" encoding="utf-8"?>
<formControlPr xmlns="http://schemas.microsoft.com/office/spreadsheetml/2009/9/main" objectType="CheckBox" checked="Checked" lockText="1"/>
</file>

<file path=xl/ctrlProps/ctrlProp123.xml><?xml version="1.0" encoding="utf-8"?>
<formControlPr xmlns="http://schemas.microsoft.com/office/spreadsheetml/2009/9/main" objectType="Drop" dropStyle="combo" dx="16" fmlaLink="$BE$29" fmlaRange="BASE!$C$5:$C$7" noThreeD="1" sel="1" val="0"/>
</file>

<file path=xl/ctrlProps/ctrlProp124.xml><?xml version="1.0" encoding="utf-8"?>
<formControlPr xmlns="http://schemas.microsoft.com/office/spreadsheetml/2009/9/main" objectType="Drop" dropStyle="combo" dx="16" fmlaLink="$BE$51" fmlaRange="BASE!$I$6:$I$36" noThreeD="1" sel="1" val="0"/>
</file>

<file path=xl/ctrlProps/ctrlProp125.xml><?xml version="1.0" encoding="utf-8"?>
<formControlPr xmlns="http://schemas.microsoft.com/office/spreadsheetml/2009/9/main" objectType="Drop" dropStyle="combo" dx="16" fmlaLink="$BF$51" fmlaRange="BASE!$J$6:$J$17" noThreeD="1" sel="1" val="0"/>
</file>

<file path=xl/ctrlProps/ctrlProp126.xml><?xml version="1.0" encoding="utf-8"?>
<formControlPr xmlns="http://schemas.microsoft.com/office/spreadsheetml/2009/9/main" objectType="Drop" dropStyle="combo" dx="16" fmlaLink="$BG$51" fmlaRange="BASE!$K$6:$K$29" noThreeD="1" sel="1" val="0"/>
</file>

<file path=xl/ctrlProps/ctrlProp127.xml><?xml version="1.0" encoding="utf-8"?>
<formControlPr xmlns="http://schemas.microsoft.com/office/spreadsheetml/2009/9/main" objectType="CheckBox" checked="Checked" fmlaLink="$BF$297" lockText="1" noThreeD="1"/>
</file>

<file path=xl/ctrlProps/ctrlProp128.xml><?xml version="1.0" encoding="utf-8"?>
<formControlPr xmlns="http://schemas.microsoft.com/office/spreadsheetml/2009/9/main" objectType="CheckBox" checked="Checked" fmlaLink="$BF$298" lockText="1" noThreeD="1"/>
</file>

<file path=xl/ctrlProps/ctrlProp129.xml><?xml version="1.0" encoding="utf-8"?>
<formControlPr xmlns="http://schemas.microsoft.com/office/spreadsheetml/2009/9/main" objectType="CheckBox" checked="Checked" fmlaLink="$BF$299" lockText="1" noThreeD="1"/>
</file>

<file path=xl/ctrlProps/ctrlProp130.xml><?xml version="1.0" encoding="utf-8"?>
<formControlPr xmlns="http://schemas.microsoft.com/office/spreadsheetml/2009/9/main" objectType="CheckBox" checked="Checked" fmlaLink="$BF$300" lockText="1" noThreeD="1"/>
</file>

<file path=xl/ctrlProps/ctrlProp131.xml><?xml version="1.0" encoding="utf-8"?>
<formControlPr xmlns="http://schemas.microsoft.com/office/spreadsheetml/2009/9/main" objectType="CheckBox" checked="Checked" fmlaLink="$BF$301" lockText="1" noThreeD="1"/>
</file>

<file path=xl/ctrlProps/ctrlProp132.xml><?xml version="1.0" encoding="utf-8"?>
<formControlPr xmlns="http://schemas.microsoft.com/office/spreadsheetml/2009/9/main" objectType="Drop" dropStyle="combo" dx="16" fmlaLink="$BE$53" fmlaRange="BASE!$I$6:$I$36" noThreeD="1" sel="1" val="0"/>
</file>

<file path=xl/ctrlProps/ctrlProp133.xml><?xml version="1.0" encoding="utf-8"?>
<formControlPr xmlns="http://schemas.microsoft.com/office/spreadsheetml/2009/9/main" objectType="Drop" dropStyle="combo" dx="16" fmlaLink="$BF$53" fmlaRange="BASE!$J$6:$J$17" noThreeD="1" sel="1" val="0"/>
</file>

<file path=xl/ctrlProps/ctrlProp134.xml><?xml version="1.0" encoding="utf-8"?>
<formControlPr xmlns="http://schemas.microsoft.com/office/spreadsheetml/2009/9/main" objectType="Drop" dropStyle="combo" dx="16" fmlaLink="$BG$53" fmlaRange="BASE!$K$6:$K$29" noThreeD="1" sel="2" val="0"/>
</file>

<file path=xl/ctrlProps/ctrlProp135.xml><?xml version="1.0" encoding="utf-8"?>
<formControlPr xmlns="http://schemas.microsoft.com/office/spreadsheetml/2009/9/main" objectType="Drop" dropStyle="combo" dx="16" fmlaLink="BE71" fmlaRange="BASE!$A$6:$A$9" noThreeD="1" sel="1" val="0"/>
</file>

<file path=xl/ctrlProps/ctrlProp136.xml><?xml version="1.0" encoding="utf-8"?>
<formControlPr xmlns="http://schemas.microsoft.com/office/spreadsheetml/2009/9/main" objectType="Drop" dropStyle="combo" dx="16" fmlaLink="$BE$203" fmlaRange="BASE!$G$6:$G$10" noThreeD="1" sel="1" val="0"/>
</file>

<file path=xl/ctrlProps/ctrlProp137.xml><?xml version="1.0" encoding="utf-8"?>
<formControlPr xmlns="http://schemas.microsoft.com/office/spreadsheetml/2009/9/main" objectType="Drop" dropStyle="combo" dx="16" fmlaLink="$BE$204" fmlaRange="BASE!$G$6:$G$10" noThreeD="1" sel="1" val="0"/>
</file>

<file path=xl/ctrlProps/ctrlProp138.xml><?xml version="1.0" encoding="utf-8"?>
<formControlPr xmlns="http://schemas.microsoft.com/office/spreadsheetml/2009/9/main" objectType="Drop" dropStyle="combo" dx="16" fmlaLink="$BE$205" fmlaRange="BASE!$G$6:$G$10" noThreeD="1" sel="1" val="0"/>
</file>

<file path=xl/ctrlProps/ctrlProp139.xml><?xml version="1.0" encoding="utf-8"?>
<formControlPr xmlns="http://schemas.microsoft.com/office/spreadsheetml/2009/9/main" objectType="Drop" dropStyle="combo" dx="16" fmlaLink="$BE$206" fmlaRange="BASE!$G$6:$G$10" noThreeD="1" sel="1" val="0"/>
</file>

<file path=xl/ctrlProps/ctrlProp140.xml><?xml version="1.0" encoding="utf-8"?>
<formControlPr xmlns="http://schemas.microsoft.com/office/spreadsheetml/2009/9/main" objectType="Drop" dropStyle="combo" dx="16" fmlaLink="$BE$207" fmlaRange="BASE!$G$6:$G$10" noThreeD="1" sel="1" val="0"/>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Drop" dropStyle="combo" dx="16" fmlaLink="$BF$202" fmlaRange="BASE!$G$12:$G$16" noThreeD="1" sel="1" val="0"/>
</file>

<file path=xl/ctrlProps/ctrlProp155.xml><?xml version="1.0" encoding="utf-8"?>
<formControlPr xmlns="http://schemas.microsoft.com/office/spreadsheetml/2009/9/main" objectType="Drop" dropStyle="combo" dx="16" fmlaLink="$BF$203" fmlaRange="BASE!$G$12:$G$16" noThreeD="1" sel="1" val="0"/>
</file>

<file path=xl/ctrlProps/ctrlProp156.xml><?xml version="1.0" encoding="utf-8"?>
<formControlPr xmlns="http://schemas.microsoft.com/office/spreadsheetml/2009/9/main" objectType="Drop" dropStyle="combo" dx="16" fmlaLink="$BF$204" fmlaRange="BASE!$G$12:$G$16" noThreeD="1" sel="1" val="0"/>
</file>

<file path=xl/ctrlProps/ctrlProp157.xml><?xml version="1.0" encoding="utf-8"?>
<formControlPr xmlns="http://schemas.microsoft.com/office/spreadsheetml/2009/9/main" objectType="Drop" dropStyle="combo" dx="16" fmlaLink="$BF$205" fmlaRange="BASE!$G$12:$G$16" noThreeD="1" sel="1" val="0"/>
</file>

<file path=xl/ctrlProps/ctrlProp158.xml><?xml version="1.0" encoding="utf-8"?>
<formControlPr xmlns="http://schemas.microsoft.com/office/spreadsheetml/2009/9/main" objectType="Drop" dropStyle="combo" dx="16" fmlaLink="$BF$206" fmlaRange="BASE!$G$12:$G$16" noThreeD="1" sel="1" val="0"/>
</file>

<file path=xl/ctrlProps/ctrlProp159.xml><?xml version="1.0" encoding="utf-8"?>
<formControlPr xmlns="http://schemas.microsoft.com/office/spreadsheetml/2009/9/main" objectType="Drop" dropStyle="combo" dx="16" fmlaLink="$BF$207" fmlaRange="BASE!$G$12:$G$16" noThreeD="1" sel="1" val="0"/>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CheckBox" fmlaLink="$Q$215"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fmlaLink="$Q$215" lockText="1" noThreeD="1"/>
</file>

<file path=xl/ctrlProps/ctrlProp168.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2.xml.rels><?xml version="1.0" encoding="UTF-8" standalone="yes"?>
<Relationships xmlns="http://schemas.openxmlformats.org/package/2006/relationships"><Relationship Id="rId3" Type="http://schemas.openxmlformats.org/officeDocument/2006/relationships/image" Target="../media/image27.jpeg"/><Relationship Id="rId2" Type="http://schemas.openxmlformats.org/officeDocument/2006/relationships/image" Target="../media/image26.jpeg"/><Relationship Id="rId1" Type="http://schemas.openxmlformats.org/officeDocument/2006/relationships/image" Target="../media/image25.jpeg"/><Relationship Id="rId4" Type="http://schemas.openxmlformats.org/officeDocument/2006/relationships/image" Target="../media/image28.jpeg"/></Relationships>
</file>

<file path=xl/drawings/_rels/drawing4.xml.rels><?xml version="1.0" encoding="UTF-8" standalone="yes"?>
<Relationships xmlns="http://schemas.openxmlformats.org/package/2006/relationships"><Relationship Id="rId8" Type="http://schemas.openxmlformats.org/officeDocument/2006/relationships/image" Target="../media/image66.jpeg"/><Relationship Id="rId13" Type="http://schemas.openxmlformats.org/officeDocument/2006/relationships/image" Target="../media/image71.jpeg"/><Relationship Id="rId18" Type="http://schemas.openxmlformats.org/officeDocument/2006/relationships/image" Target="../media/image76.jpeg"/><Relationship Id="rId26" Type="http://schemas.openxmlformats.org/officeDocument/2006/relationships/image" Target="../media/image84.jpeg"/><Relationship Id="rId3" Type="http://schemas.openxmlformats.org/officeDocument/2006/relationships/image" Target="../media/image61.jpeg"/><Relationship Id="rId21" Type="http://schemas.openxmlformats.org/officeDocument/2006/relationships/image" Target="../media/image79.jpeg"/><Relationship Id="rId7" Type="http://schemas.openxmlformats.org/officeDocument/2006/relationships/image" Target="../media/image65.jpeg"/><Relationship Id="rId12" Type="http://schemas.openxmlformats.org/officeDocument/2006/relationships/image" Target="../media/image70.jpeg"/><Relationship Id="rId17" Type="http://schemas.openxmlformats.org/officeDocument/2006/relationships/image" Target="../media/image75.jpeg"/><Relationship Id="rId25" Type="http://schemas.openxmlformats.org/officeDocument/2006/relationships/image" Target="../media/image83.jpeg"/><Relationship Id="rId2" Type="http://schemas.openxmlformats.org/officeDocument/2006/relationships/image" Target="../media/image60.jpeg"/><Relationship Id="rId16" Type="http://schemas.openxmlformats.org/officeDocument/2006/relationships/image" Target="../media/image74.jpeg"/><Relationship Id="rId20" Type="http://schemas.openxmlformats.org/officeDocument/2006/relationships/image" Target="../media/image78.jpeg"/><Relationship Id="rId29" Type="http://schemas.openxmlformats.org/officeDocument/2006/relationships/image" Target="../media/image87.jpeg"/><Relationship Id="rId1" Type="http://schemas.openxmlformats.org/officeDocument/2006/relationships/image" Target="../media/image59.jpeg"/><Relationship Id="rId6" Type="http://schemas.openxmlformats.org/officeDocument/2006/relationships/image" Target="../media/image64.jpeg"/><Relationship Id="rId11" Type="http://schemas.openxmlformats.org/officeDocument/2006/relationships/image" Target="../media/image69.jpeg"/><Relationship Id="rId24" Type="http://schemas.openxmlformats.org/officeDocument/2006/relationships/image" Target="../media/image82.jpeg"/><Relationship Id="rId5" Type="http://schemas.openxmlformats.org/officeDocument/2006/relationships/image" Target="../media/image63.jpeg"/><Relationship Id="rId15" Type="http://schemas.openxmlformats.org/officeDocument/2006/relationships/image" Target="../media/image73.jpeg"/><Relationship Id="rId23" Type="http://schemas.openxmlformats.org/officeDocument/2006/relationships/image" Target="../media/image81.jpeg"/><Relationship Id="rId28" Type="http://schemas.openxmlformats.org/officeDocument/2006/relationships/image" Target="../media/image86.jpeg"/><Relationship Id="rId10" Type="http://schemas.openxmlformats.org/officeDocument/2006/relationships/image" Target="../media/image68.jpeg"/><Relationship Id="rId19" Type="http://schemas.openxmlformats.org/officeDocument/2006/relationships/image" Target="../media/image77.jpeg"/><Relationship Id="rId31" Type="http://schemas.openxmlformats.org/officeDocument/2006/relationships/image" Target="../media/image89.jpeg"/><Relationship Id="rId4" Type="http://schemas.openxmlformats.org/officeDocument/2006/relationships/image" Target="../media/image62.jpeg"/><Relationship Id="rId9" Type="http://schemas.openxmlformats.org/officeDocument/2006/relationships/image" Target="../media/image67.jpeg"/><Relationship Id="rId14" Type="http://schemas.openxmlformats.org/officeDocument/2006/relationships/image" Target="../media/image72.jpeg"/><Relationship Id="rId22" Type="http://schemas.openxmlformats.org/officeDocument/2006/relationships/image" Target="../media/image80.jpeg"/><Relationship Id="rId27" Type="http://schemas.openxmlformats.org/officeDocument/2006/relationships/image" Target="../media/image85.jpeg"/><Relationship Id="rId30" Type="http://schemas.openxmlformats.org/officeDocument/2006/relationships/image" Target="../media/image88.jpeg"/></Relationships>
</file>

<file path=xl/drawings/_rels/drawing5.xml.rels><?xml version="1.0" encoding="UTF-8" standalone="yes"?>
<Relationships xmlns="http://schemas.openxmlformats.org/package/2006/relationships"><Relationship Id="rId8" Type="http://schemas.openxmlformats.org/officeDocument/2006/relationships/image" Target="../media/image99.jpeg"/><Relationship Id="rId13" Type="http://schemas.openxmlformats.org/officeDocument/2006/relationships/image" Target="../media/image104.jpeg"/><Relationship Id="rId3" Type="http://schemas.openxmlformats.org/officeDocument/2006/relationships/image" Target="../media/image94.jpeg"/><Relationship Id="rId7" Type="http://schemas.openxmlformats.org/officeDocument/2006/relationships/image" Target="../media/image98.jpeg"/><Relationship Id="rId12" Type="http://schemas.openxmlformats.org/officeDocument/2006/relationships/image" Target="../media/image103.jpeg"/><Relationship Id="rId17" Type="http://schemas.openxmlformats.org/officeDocument/2006/relationships/image" Target="../media/image108.png"/><Relationship Id="rId2" Type="http://schemas.openxmlformats.org/officeDocument/2006/relationships/image" Target="../media/image93.jpeg"/><Relationship Id="rId16" Type="http://schemas.openxmlformats.org/officeDocument/2006/relationships/image" Target="../media/image107.jpeg"/><Relationship Id="rId1" Type="http://schemas.openxmlformats.org/officeDocument/2006/relationships/image" Target="../media/image92.jpeg"/><Relationship Id="rId6" Type="http://schemas.openxmlformats.org/officeDocument/2006/relationships/image" Target="../media/image97.jpeg"/><Relationship Id="rId11" Type="http://schemas.openxmlformats.org/officeDocument/2006/relationships/image" Target="../media/image102.jpeg"/><Relationship Id="rId5" Type="http://schemas.openxmlformats.org/officeDocument/2006/relationships/image" Target="../media/image96.jpeg"/><Relationship Id="rId15" Type="http://schemas.openxmlformats.org/officeDocument/2006/relationships/image" Target="../media/image106.jpeg"/><Relationship Id="rId10" Type="http://schemas.openxmlformats.org/officeDocument/2006/relationships/image" Target="../media/image101.jpeg"/><Relationship Id="rId4" Type="http://schemas.openxmlformats.org/officeDocument/2006/relationships/image" Target="../media/image95.jpeg"/><Relationship Id="rId9" Type="http://schemas.openxmlformats.org/officeDocument/2006/relationships/image" Target="../media/image100.jpeg"/><Relationship Id="rId14" Type="http://schemas.openxmlformats.org/officeDocument/2006/relationships/image" Target="../media/image105.jpeg"/></Relationships>
</file>

<file path=xl/drawings/_rels/drawing18.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21" Type="http://schemas.openxmlformats.org/officeDocument/2006/relationships/image" Target="../media/image21.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29.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38.emf"/><Relationship Id="rId13" Type="http://schemas.openxmlformats.org/officeDocument/2006/relationships/image" Target="../media/image43.emf"/><Relationship Id="rId18" Type="http://schemas.openxmlformats.org/officeDocument/2006/relationships/image" Target="../media/image48.emf"/><Relationship Id="rId26" Type="http://schemas.openxmlformats.org/officeDocument/2006/relationships/image" Target="../media/image56.emf"/><Relationship Id="rId3" Type="http://schemas.openxmlformats.org/officeDocument/2006/relationships/image" Target="../media/image33.emf"/><Relationship Id="rId21" Type="http://schemas.openxmlformats.org/officeDocument/2006/relationships/image" Target="../media/image51.emf"/><Relationship Id="rId7" Type="http://schemas.openxmlformats.org/officeDocument/2006/relationships/image" Target="../media/image37.emf"/><Relationship Id="rId12" Type="http://schemas.openxmlformats.org/officeDocument/2006/relationships/image" Target="../media/image42.emf"/><Relationship Id="rId17" Type="http://schemas.openxmlformats.org/officeDocument/2006/relationships/image" Target="../media/image47.emf"/><Relationship Id="rId25" Type="http://schemas.openxmlformats.org/officeDocument/2006/relationships/image" Target="../media/image55.emf"/><Relationship Id="rId2" Type="http://schemas.openxmlformats.org/officeDocument/2006/relationships/image" Target="../media/image32.emf"/><Relationship Id="rId16" Type="http://schemas.openxmlformats.org/officeDocument/2006/relationships/image" Target="../media/image46.emf"/><Relationship Id="rId20" Type="http://schemas.openxmlformats.org/officeDocument/2006/relationships/image" Target="../media/image50.emf"/><Relationship Id="rId1" Type="http://schemas.openxmlformats.org/officeDocument/2006/relationships/image" Target="../media/image31.emf"/><Relationship Id="rId6" Type="http://schemas.openxmlformats.org/officeDocument/2006/relationships/image" Target="../media/image36.emf"/><Relationship Id="rId11" Type="http://schemas.openxmlformats.org/officeDocument/2006/relationships/image" Target="../media/image41.emf"/><Relationship Id="rId24" Type="http://schemas.openxmlformats.org/officeDocument/2006/relationships/image" Target="../media/image54.emf"/><Relationship Id="rId5" Type="http://schemas.openxmlformats.org/officeDocument/2006/relationships/image" Target="../media/image35.emf"/><Relationship Id="rId15" Type="http://schemas.openxmlformats.org/officeDocument/2006/relationships/image" Target="../media/image45.emf"/><Relationship Id="rId23" Type="http://schemas.openxmlformats.org/officeDocument/2006/relationships/image" Target="../media/image53.emf"/><Relationship Id="rId28" Type="http://schemas.openxmlformats.org/officeDocument/2006/relationships/image" Target="../media/image58.emf"/><Relationship Id="rId10" Type="http://schemas.openxmlformats.org/officeDocument/2006/relationships/image" Target="../media/image40.emf"/><Relationship Id="rId19" Type="http://schemas.openxmlformats.org/officeDocument/2006/relationships/image" Target="../media/image49.emf"/><Relationship Id="rId4" Type="http://schemas.openxmlformats.org/officeDocument/2006/relationships/image" Target="../media/image34.emf"/><Relationship Id="rId9" Type="http://schemas.openxmlformats.org/officeDocument/2006/relationships/image" Target="../media/image39.emf"/><Relationship Id="rId14" Type="http://schemas.openxmlformats.org/officeDocument/2006/relationships/image" Target="../media/image44.emf"/><Relationship Id="rId22" Type="http://schemas.openxmlformats.org/officeDocument/2006/relationships/image" Target="../media/image52.emf"/><Relationship Id="rId27" Type="http://schemas.openxmlformats.org/officeDocument/2006/relationships/image" Target="../media/image5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91.emf"/><Relationship Id="rId1" Type="http://schemas.openxmlformats.org/officeDocument/2006/relationships/image" Target="../media/image90.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10.emf"/><Relationship Id="rId1" Type="http://schemas.openxmlformats.org/officeDocument/2006/relationships/image" Target="../media/image109.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12.emf"/><Relationship Id="rId1" Type="http://schemas.openxmlformats.org/officeDocument/2006/relationships/image" Target="../media/image11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115.emf"/><Relationship Id="rId2" Type="http://schemas.openxmlformats.org/officeDocument/2006/relationships/image" Target="../media/image114.emf"/><Relationship Id="rId1" Type="http://schemas.openxmlformats.org/officeDocument/2006/relationships/image" Target="../media/image113.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17.emf"/><Relationship Id="rId1" Type="http://schemas.openxmlformats.org/officeDocument/2006/relationships/image" Target="../media/image116.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120.emf"/><Relationship Id="rId2" Type="http://schemas.openxmlformats.org/officeDocument/2006/relationships/image" Target="../media/image119.emf"/><Relationship Id="rId1" Type="http://schemas.openxmlformats.org/officeDocument/2006/relationships/image" Target="../media/image118.emf"/><Relationship Id="rId4" Type="http://schemas.openxmlformats.org/officeDocument/2006/relationships/image" Target="../media/image121.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122.emf"/><Relationship Id="rId3" Type="http://schemas.openxmlformats.org/officeDocument/2006/relationships/image" Target="../media/image126.emf"/><Relationship Id="rId7" Type="http://schemas.openxmlformats.org/officeDocument/2006/relationships/image" Target="../media/image123.emf"/><Relationship Id="rId2" Type="http://schemas.openxmlformats.org/officeDocument/2006/relationships/image" Target="../media/image125.emf"/><Relationship Id="rId1" Type="http://schemas.openxmlformats.org/officeDocument/2006/relationships/image" Target="../media/image124.emf"/><Relationship Id="rId6" Type="http://schemas.openxmlformats.org/officeDocument/2006/relationships/image" Target="../media/image129.emf"/><Relationship Id="rId5" Type="http://schemas.openxmlformats.org/officeDocument/2006/relationships/image" Target="../media/image128.emf"/><Relationship Id="rId4" Type="http://schemas.openxmlformats.org/officeDocument/2006/relationships/image" Target="../media/image127.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133.emf"/><Relationship Id="rId2" Type="http://schemas.openxmlformats.org/officeDocument/2006/relationships/image" Target="../media/image132.emf"/><Relationship Id="rId1" Type="http://schemas.openxmlformats.org/officeDocument/2006/relationships/image" Target="../media/image131.emf"/><Relationship Id="rId6" Type="http://schemas.openxmlformats.org/officeDocument/2006/relationships/image" Target="../media/image130.emf"/><Relationship Id="rId5" Type="http://schemas.openxmlformats.org/officeDocument/2006/relationships/image" Target="../media/image135.emf"/><Relationship Id="rId4" Type="http://schemas.openxmlformats.org/officeDocument/2006/relationships/image" Target="../media/image1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142.emf"/><Relationship Id="rId7" Type="http://schemas.openxmlformats.org/officeDocument/2006/relationships/image" Target="../media/image136.emf"/><Relationship Id="rId2" Type="http://schemas.openxmlformats.org/officeDocument/2006/relationships/image" Target="../media/image141.emf"/><Relationship Id="rId1" Type="http://schemas.openxmlformats.org/officeDocument/2006/relationships/image" Target="../media/image140.emf"/><Relationship Id="rId6" Type="http://schemas.openxmlformats.org/officeDocument/2006/relationships/image" Target="../media/image137.emf"/><Relationship Id="rId5" Type="http://schemas.openxmlformats.org/officeDocument/2006/relationships/image" Target="../media/image138.emf"/><Relationship Id="rId4" Type="http://schemas.openxmlformats.org/officeDocument/2006/relationships/image" Target="../media/image1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146.emf"/><Relationship Id="rId2" Type="http://schemas.openxmlformats.org/officeDocument/2006/relationships/image" Target="../media/image148.emf"/><Relationship Id="rId1" Type="http://schemas.openxmlformats.org/officeDocument/2006/relationships/image" Target="../media/image147.emf"/><Relationship Id="rId6" Type="http://schemas.openxmlformats.org/officeDocument/2006/relationships/image" Target="../media/image143.emf"/><Relationship Id="rId5" Type="http://schemas.openxmlformats.org/officeDocument/2006/relationships/image" Target="../media/image144.emf"/><Relationship Id="rId4" Type="http://schemas.openxmlformats.org/officeDocument/2006/relationships/image" Target="../media/image145.emf"/></Relationships>
</file>

<file path=xl/drawings/_rels/vmlDrawing15.vml.rels><?xml version="1.0" encoding="UTF-8" standalone="yes"?>
<Relationships xmlns="http://schemas.openxmlformats.org/package/2006/relationships"><Relationship Id="rId8" Type="http://schemas.openxmlformats.org/officeDocument/2006/relationships/image" Target="../media/image150.emf"/><Relationship Id="rId3" Type="http://schemas.openxmlformats.org/officeDocument/2006/relationships/image" Target="../media/image155.emf"/><Relationship Id="rId7" Type="http://schemas.openxmlformats.org/officeDocument/2006/relationships/image" Target="../media/image151.emf"/><Relationship Id="rId2" Type="http://schemas.openxmlformats.org/officeDocument/2006/relationships/image" Target="../media/image154.emf"/><Relationship Id="rId1" Type="http://schemas.openxmlformats.org/officeDocument/2006/relationships/image" Target="../media/image153.emf"/><Relationship Id="rId6" Type="http://schemas.openxmlformats.org/officeDocument/2006/relationships/image" Target="../media/image152.emf"/><Relationship Id="rId11" Type="http://schemas.openxmlformats.org/officeDocument/2006/relationships/image" Target="../media/image159.emf"/><Relationship Id="rId5" Type="http://schemas.openxmlformats.org/officeDocument/2006/relationships/image" Target="../media/image157.emf"/><Relationship Id="rId10" Type="http://schemas.openxmlformats.org/officeDocument/2006/relationships/image" Target="../media/image158.emf"/><Relationship Id="rId4" Type="http://schemas.openxmlformats.org/officeDocument/2006/relationships/image" Target="../media/image156.emf"/><Relationship Id="rId9" Type="http://schemas.openxmlformats.org/officeDocument/2006/relationships/image" Target="../media/image149.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163.emf"/><Relationship Id="rId2" Type="http://schemas.openxmlformats.org/officeDocument/2006/relationships/image" Target="../media/image162.emf"/><Relationship Id="rId1" Type="http://schemas.openxmlformats.org/officeDocument/2006/relationships/image" Target="../media/image161.emf"/><Relationship Id="rId5" Type="http://schemas.openxmlformats.org/officeDocument/2006/relationships/image" Target="../media/image160.emf"/><Relationship Id="rId4" Type="http://schemas.openxmlformats.org/officeDocument/2006/relationships/image" Target="../media/image164.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66.emf"/><Relationship Id="rId1" Type="http://schemas.openxmlformats.org/officeDocument/2006/relationships/image" Target="../media/image165.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69.emf"/><Relationship Id="rId2" Type="http://schemas.openxmlformats.org/officeDocument/2006/relationships/image" Target="../media/image168.emf"/><Relationship Id="rId1" Type="http://schemas.openxmlformats.org/officeDocument/2006/relationships/image" Target="../media/image16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152400</xdr:rowOff>
        </xdr:from>
        <xdr:to>
          <xdr:col>8</xdr:col>
          <xdr:colOff>266700</xdr:colOff>
          <xdr:row>5</xdr:row>
          <xdr:rowOff>0</xdr:rowOff>
        </xdr:to>
        <xdr:sp macro="" textlink="">
          <xdr:nvSpPr>
            <xdr:cNvPr id="10738" name="btnCondicionesEstandar" hidden="1">
              <a:extLst>
                <a:ext uri="{63B3BB69-23CF-44E3-9099-C40C66FF867C}">
                  <a14:compatExt spid="_x0000_s10738"/>
                </a:ext>
                <a:ext uri="{FF2B5EF4-FFF2-40B4-BE49-F238E27FC236}">
                  <a16:creationId xmlns:a16="http://schemas.microsoft.com/office/drawing/2014/main" id="{00000000-0008-0000-0000-0000F22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161925</xdr:colOff>
          <xdr:row>3</xdr:row>
          <xdr:rowOff>323850</xdr:rowOff>
        </xdr:from>
        <xdr:to>
          <xdr:col>33</xdr:col>
          <xdr:colOff>266700</xdr:colOff>
          <xdr:row>5</xdr:row>
          <xdr:rowOff>9525</xdr:rowOff>
        </xdr:to>
        <xdr:sp macro="" textlink="">
          <xdr:nvSpPr>
            <xdr:cNvPr id="10740" name="CommandButton2" hidden="1">
              <a:extLst>
                <a:ext uri="{63B3BB69-23CF-44E3-9099-C40C66FF867C}">
                  <a14:compatExt spid="_x0000_s10740"/>
                </a:ext>
                <a:ext uri="{FF2B5EF4-FFF2-40B4-BE49-F238E27FC236}">
                  <a16:creationId xmlns:a16="http://schemas.microsoft.com/office/drawing/2014/main" id="{00000000-0008-0000-0000-0000F42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171450</xdr:colOff>
          <xdr:row>3</xdr:row>
          <xdr:rowOff>333375</xdr:rowOff>
        </xdr:from>
        <xdr:to>
          <xdr:col>44</xdr:col>
          <xdr:colOff>0</xdr:colOff>
          <xdr:row>4</xdr:row>
          <xdr:rowOff>666750</xdr:rowOff>
        </xdr:to>
        <xdr:sp macro="" textlink="">
          <xdr:nvSpPr>
            <xdr:cNvPr id="10741" name="btnPantallaCompleta" hidden="1">
              <a:extLst>
                <a:ext uri="{63B3BB69-23CF-44E3-9099-C40C66FF867C}">
                  <a14:compatExt spid="_x0000_s10741"/>
                </a:ext>
                <a:ext uri="{FF2B5EF4-FFF2-40B4-BE49-F238E27FC236}">
                  <a16:creationId xmlns:a16="http://schemas.microsoft.com/office/drawing/2014/main" id="{00000000-0008-0000-0000-0000F52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257175</xdr:colOff>
          <xdr:row>3</xdr:row>
          <xdr:rowOff>323850</xdr:rowOff>
        </xdr:from>
        <xdr:to>
          <xdr:col>37</xdr:col>
          <xdr:colOff>85725</xdr:colOff>
          <xdr:row>4</xdr:row>
          <xdr:rowOff>666750</xdr:rowOff>
        </xdr:to>
        <xdr:sp macro="" textlink="">
          <xdr:nvSpPr>
            <xdr:cNvPr id="10742" name="CommandButton4" hidden="1">
              <a:extLst>
                <a:ext uri="{63B3BB69-23CF-44E3-9099-C40C66FF867C}">
                  <a14:compatExt spid="_x0000_s10742"/>
                </a:ext>
                <a:ext uri="{FF2B5EF4-FFF2-40B4-BE49-F238E27FC236}">
                  <a16:creationId xmlns:a16="http://schemas.microsoft.com/office/drawing/2014/main" id="{00000000-0008-0000-0000-0000F62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285750</xdr:colOff>
          <xdr:row>3</xdr:row>
          <xdr:rowOff>323850</xdr:rowOff>
        </xdr:from>
        <xdr:to>
          <xdr:col>47</xdr:col>
          <xdr:colOff>95250</xdr:colOff>
          <xdr:row>5</xdr:row>
          <xdr:rowOff>0</xdr:rowOff>
        </xdr:to>
        <xdr:sp macro="" textlink="">
          <xdr:nvSpPr>
            <xdr:cNvPr id="10743" name="btnPantallaNormal" hidden="1">
              <a:extLst>
                <a:ext uri="{63B3BB69-23CF-44E3-9099-C40C66FF867C}">
                  <a14:compatExt spid="_x0000_s10743"/>
                </a:ext>
                <a:ext uri="{FF2B5EF4-FFF2-40B4-BE49-F238E27FC236}">
                  <a16:creationId xmlns:a16="http://schemas.microsoft.com/office/drawing/2014/main" id="{00000000-0008-0000-0000-0000F72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57150</xdr:colOff>
          <xdr:row>72</xdr:row>
          <xdr:rowOff>104775</xdr:rowOff>
        </xdr:from>
        <xdr:to>
          <xdr:col>15</xdr:col>
          <xdr:colOff>57150</xdr:colOff>
          <xdr:row>74</xdr:row>
          <xdr:rowOff>19050</xdr:rowOff>
        </xdr:to>
        <xdr:sp macro="" textlink="">
          <xdr:nvSpPr>
            <xdr:cNvPr id="10770" name="Button 530" hidden="1">
              <a:extLst>
                <a:ext uri="{63B3BB69-23CF-44E3-9099-C40C66FF867C}">
                  <a14:compatExt spid="_x0000_s10770"/>
                </a:ext>
                <a:ext uri="{FF2B5EF4-FFF2-40B4-BE49-F238E27FC236}">
                  <a16:creationId xmlns:a16="http://schemas.microsoft.com/office/drawing/2014/main" id="{00000000-0008-0000-0000-0000122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200" b="1" i="0" u="none" strike="noStrike" baseline="0">
                  <a:solidFill>
                    <a:srgbClr val="0000FF"/>
                  </a:solidFill>
                  <a:latin typeface="Calibri"/>
                  <a:cs typeface="Calibri"/>
                </a:rPr>
                <a:t>VER DATOS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49</xdr:col>
          <xdr:colOff>28575</xdr:colOff>
          <xdr:row>250</xdr:row>
          <xdr:rowOff>28575</xdr:rowOff>
        </xdr:from>
        <xdr:to>
          <xdr:col>52</xdr:col>
          <xdr:colOff>9525</xdr:colOff>
          <xdr:row>250</xdr:row>
          <xdr:rowOff>447675</xdr:rowOff>
        </xdr:to>
        <xdr:sp macro="" textlink="">
          <xdr:nvSpPr>
            <xdr:cNvPr id="10773" name="Button 533" hidden="1">
              <a:extLst>
                <a:ext uri="{63B3BB69-23CF-44E3-9099-C40C66FF867C}">
                  <a14:compatExt spid="_x0000_s10773"/>
                </a:ext>
                <a:ext uri="{FF2B5EF4-FFF2-40B4-BE49-F238E27FC236}">
                  <a16:creationId xmlns:a16="http://schemas.microsoft.com/office/drawing/2014/main" id="{00000000-0008-0000-0000-0000152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1" i="0" u="none" strike="noStrike" baseline="0">
                  <a:solidFill>
                    <a:srgbClr val="0000FF"/>
                  </a:solidFill>
                  <a:latin typeface="Calibri"/>
                  <a:cs typeface="Calibri"/>
                </a:rPr>
                <a:t>VER CRITERIOS TÉCNICOS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304</xdr:row>
          <xdr:rowOff>85725</xdr:rowOff>
        </xdr:from>
        <xdr:to>
          <xdr:col>29</xdr:col>
          <xdr:colOff>266700</xdr:colOff>
          <xdr:row>308</xdr:row>
          <xdr:rowOff>114300</xdr:rowOff>
        </xdr:to>
        <xdr:sp macro="" textlink="">
          <xdr:nvSpPr>
            <xdr:cNvPr id="10776" name="Button 536" hidden="1">
              <a:extLst>
                <a:ext uri="{63B3BB69-23CF-44E3-9099-C40C66FF867C}">
                  <a14:compatExt spid="_x0000_s10776"/>
                </a:ext>
                <a:ext uri="{FF2B5EF4-FFF2-40B4-BE49-F238E27FC236}">
                  <a16:creationId xmlns:a16="http://schemas.microsoft.com/office/drawing/2014/main" id="{00000000-0008-0000-0000-0000182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200" b="1" i="0" u="none" strike="noStrike" baseline="0">
                  <a:solidFill>
                    <a:srgbClr val="0000FF"/>
                  </a:solidFill>
                  <a:latin typeface="Calibri"/>
                  <a:cs typeface="Calibri"/>
                </a:rPr>
                <a:t>VER REQUERIMIENTOS ESTUDIOS </a:t>
              </a:r>
            </a:p>
            <a:p>
              <a:pPr algn="ctr" rtl="0">
                <a:defRPr sz="1000"/>
              </a:pPr>
              <a:r>
                <a:rPr lang="es-PE" sz="1200" b="1" i="0" u="none" strike="noStrike" baseline="0">
                  <a:solidFill>
                    <a:srgbClr val="0000FF"/>
                  </a:solidFill>
                  <a:latin typeface="Calibri"/>
                  <a:cs typeface="Calibri"/>
                </a:rPr>
                <a:t>BÁSICOS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314</xdr:row>
          <xdr:rowOff>57150</xdr:rowOff>
        </xdr:from>
        <xdr:to>
          <xdr:col>29</xdr:col>
          <xdr:colOff>285750</xdr:colOff>
          <xdr:row>318</xdr:row>
          <xdr:rowOff>219075</xdr:rowOff>
        </xdr:to>
        <xdr:sp macro="" textlink="">
          <xdr:nvSpPr>
            <xdr:cNvPr id="10777" name="Button 537" hidden="1">
              <a:extLst>
                <a:ext uri="{63B3BB69-23CF-44E3-9099-C40C66FF867C}">
                  <a14:compatExt spid="_x0000_s10777"/>
                </a:ext>
                <a:ext uri="{FF2B5EF4-FFF2-40B4-BE49-F238E27FC236}">
                  <a16:creationId xmlns:a16="http://schemas.microsoft.com/office/drawing/2014/main" id="{00000000-0008-0000-0000-0000192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200" b="1" i="0" u="none" strike="noStrike" baseline="0">
                  <a:solidFill>
                    <a:srgbClr val="0000FF"/>
                  </a:solidFill>
                  <a:latin typeface="Calibri"/>
                  <a:cs typeface="Calibri"/>
                </a:rPr>
                <a:t>VER REQUERIMIENTOS PARA</a:t>
              </a:r>
            </a:p>
            <a:p>
              <a:pPr algn="ctr" rtl="0">
                <a:defRPr sz="1000"/>
              </a:pPr>
              <a:r>
                <a:rPr lang="es-PE" sz="1200" b="1" i="0" u="none" strike="noStrike" baseline="0">
                  <a:solidFill>
                    <a:srgbClr val="0000FF"/>
                  </a:solidFill>
                  <a:latin typeface="Calibri"/>
                  <a:cs typeface="Calibri"/>
                </a:rPr>
                <a:t>EJECUCIÓN</a:t>
              </a:r>
            </a:p>
          </xdr:txBody>
        </xdr:sp>
        <xdr:clientData/>
      </xdr:twoCellAnchor>
    </mc:Choice>
    <mc:Fallback/>
  </mc:AlternateContent>
  <mc:AlternateContent xmlns:mc="http://schemas.openxmlformats.org/markup-compatibility/2006">
    <mc:Choice xmlns:a14="http://schemas.microsoft.com/office/drawing/2010/main" Requires="a14">
      <xdr:twoCellAnchor>
        <xdr:from>
          <xdr:col>49</xdr:col>
          <xdr:colOff>9525</xdr:colOff>
          <xdr:row>371</xdr:row>
          <xdr:rowOff>9525</xdr:rowOff>
        </xdr:from>
        <xdr:to>
          <xdr:col>52</xdr:col>
          <xdr:colOff>19050</xdr:colOff>
          <xdr:row>371</xdr:row>
          <xdr:rowOff>533400</xdr:rowOff>
        </xdr:to>
        <xdr:sp macro="" textlink="">
          <xdr:nvSpPr>
            <xdr:cNvPr id="10778" name="Button 538" hidden="1">
              <a:extLst>
                <a:ext uri="{63B3BB69-23CF-44E3-9099-C40C66FF867C}">
                  <a14:compatExt spid="_x0000_s10778"/>
                </a:ext>
                <a:ext uri="{FF2B5EF4-FFF2-40B4-BE49-F238E27FC236}">
                  <a16:creationId xmlns:a16="http://schemas.microsoft.com/office/drawing/2014/main" id="{00000000-0008-0000-0000-00001A2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1" i="0" u="none" strike="noStrike" baseline="0">
                  <a:solidFill>
                    <a:srgbClr val="0000FF"/>
                  </a:solidFill>
                  <a:latin typeface="Calibri"/>
                  <a:cs typeface="Calibri"/>
                </a:rPr>
                <a:t>VER CRITERIOS TÉCNICOS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16</xdr:col>
          <xdr:colOff>209550</xdr:colOff>
          <xdr:row>327</xdr:row>
          <xdr:rowOff>190500</xdr:rowOff>
        </xdr:from>
        <xdr:to>
          <xdr:col>27</xdr:col>
          <xdr:colOff>28575</xdr:colOff>
          <xdr:row>329</xdr:row>
          <xdr:rowOff>76200</xdr:rowOff>
        </xdr:to>
        <xdr:sp macro="" textlink="">
          <xdr:nvSpPr>
            <xdr:cNvPr id="10779" name="Button 539" descr="VER CÁLCULO DE LA OFERTA Y DEMANDA" hidden="1">
              <a:extLst>
                <a:ext uri="{63B3BB69-23CF-44E3-9099-C40C66FF867C}">
                  <a14:compatExt spid="_x0000_s10779"/>
                </a:ext>
                <a:ext uri="{FF2B5EF4-FFF2-40B4-BE49-F238E27FC236}">
                  <a16:creationId xmlns:a16="http://schemas.microsoft.com/office/drawing/2014/main" id="{00000000-0008-0000-0000-00001B2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200" b="1" i="0" u="none" strike="noStrike" baseline="0">
                  <a:solidFill>
                    <a:srgbClr val="0000FF"/>
                  </a:solidFill>
                  <a:latin typeface="Calibri"/>
                  <a:cs typeface="Calibri"/>
                </a:rPr>
                <a:t>VER CÁLCULO DE LA OFERTA Y DEMANDA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123825</xdr:colOff>
          <xdr:row>342</xdr:row>
          <xdr:rowOff>57150</xdr:rowOff>
        </xdr:from>
        <xdr:to>
          <xdr:col>26</xdr:col>
          <xdr:colOff>257175</xdr:colOff>
          <xdr:row>343</xdr:row>
          <xdr:rowOff>190500</xdr:rowOff>
        </xdr:to>
        <xdr:sp macro="" textlink="">
          <xdr:nvSpPr>
            <xdr:cNvPr id="10780" name="Button 540" hidden="1">
              <a:extLst>
                <a:ext uri="{63B3BB69-23CF-44E3-9099-C40C66FF867C}">
                  <a14:compatExt spid="_x0000_s10780"/>
                </a:ext>
                <a:ext uri="{FF2B5EF4-FFF2-40B4-BE49-F238E27FC236}">
                  <a16:creationId xmlns:a16="http://schemas.microsoft.com/office/drawing/2014/main" id="{00000000-0008-0000-0000-00001C2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200" b="1" i="0" u="none" strike="noStrike" baseline="0">
                  <a:solidFill>
                    <a:srgbClr val="0000FF"/>
                  </a:solidFill>
                  <a:latin typeface="Calibri"/>
                  <a:cs typeface="Calibri"/>
                </a:rPr>
                <a:t>VER CÁLCULO DE LA BRECHA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18</xdr:col>
          <xdr:colOff>38100</xdr:colOff>
          <xdr:row>366</xdr:row>
          <xdr:rowOff>180975</xdr:rowOff>
        </xdr:from>
        <xdr:to>
          <xdr:col>29</xdr:col>
          <xdr:colOff>152400</xdr:colOff>
          <xdr:row>368</xdr:row>
          <xdr:rowOff>28575</xdr:rowOff>
        </xdr:to>
        <xdr:sp macro="" textlink="">
          <xdr:nvSpPr>
            <xdr:cNvPr id="10781" name="Button 541" hidden="1">
              <a:extLst>
                <a:ext uri="{63B3BB69-23CF-44E3-9099-C40C66FF867C}">
                  <a14:compatExt spid="_x0000_s10781"/>
                </a:ext>
                <a:ext uri="{FF2B5EF4-FFF2-40B4-BE49-F238E27FC236}">
                  <a16:creationId xmlns:a16="http://schemas.microsoft.com/office/drawing/2014/main" id="{00000000-0008-0000-0000-00001D2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200" b="1" i="0" u="none" strike="noStrike" baseline="0">
                  <a:solidFill>
                    <a:srgbClr val="0000FF"/>
                  </a:solidFill>
                  <a:latin typeface="Calibri"/>
                  <a:cs typeface="Calibri"/>
                </a:rPr>
                <a:t>VER PLANTEAMIENTO TÉCNICO</a:t>
              </a:r>
            </a:p>
          </xdr:txBody>
        </xdr:sp>
        <xdr:clientData/>
      </xdr:twoCellAnchor>
    </mc:Choice>
    <mc:Fallback/>
  </mc:AlternateContent>
  <mc:AlternateContent xmlns:mc="http://schemas.openxmlformats.org/markup-compatibility/2006">
    <mc:Choice xmlns:a14="http://schemas.microsoft.com/office/drawing/2010/main" Requires="a14">
      <xdr:twoCellAnchor>
        <xdr:from>
          <xdr:col>16</xdr:col>
          <xdr:colOff>19050</xdr:colOff>
          <xdr:row>421</xdr:row>
          <xdr:rowOff>219075</xdr:rowOff>
        </xdr:from>
        <xdr:to>
          <xdr:col>23</xdr:col>
          <xdr:colOff>0</xdr:colOff>
          <xdr:row>422</xdr:row>
          <xdr:rowOff>742950</xdr:rowOff>
        </xdr:to>
        <xdr:sp macro="" textlink="">
          <xdr:nvSpPr>
            <xdr:cNvPr id="10783" name="Button 543" hidden="1">
              <a:extLst>
                <a:ext uri="{63B3BB69-23CF-44E3-9099-C40C66FF867C}">
                  <a14:compatExt spid="_x0000_s10783"/>
                </a:ext>
                <a:ext uri="{FF2B5EF4-FFF2-40B4-BE49-F238E27FC236}">
                  <a16:creationId xmlns:a16="http://schemas.microsoft.com/office/drawing/2014/main" id="{00000000-0008-0000-0000-00001F2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200" b="1" i="0" u="none" strike="noStrike" baseline="0">
                  <a:solidFill>
                    <a:srgbClr val="0000FF"/>
                  </a:solidFill>
                  <a:latin typeface="Calibri"/>
                  <a:cs typeface="Calibri"/>
                </a:rPr>
                <a:t>VER COSTOS DE EQUIPAMIENTO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23</xdr:col>
          <xdr:colOff>28575</xdr:colOff>
          <xdr:row>422</xdr:row>
          <xdr:rowOff>0</xdr:rowOff>
        </xdr:from>
        <xdr:to>
          <xdr:col>29</xdr:col>
          <xdr:colOff>266700</xdr:colOff>
          <xdr:row>422</xdr:row>
          <xdr:rowOff>742950</xdr:rowOff>
        </xdr:to>
        <xdr:sp macro="" textlink="">
          <xdr:nvSpPr>
            <xdr:cNvPr id="10784" name="Button 544" hidden="1">
              <a:extLst>
                <a:ext uri="{63B3BB69-23CF-44E3-9099-C40C66FF867C}">
                  <a14:compatExt spid="_x0000_s10784"/>
                </a:ext>
                <a:ext uri="{FF2B5EF4-FFF2-40B4-BE49-F238E27FC236}">
                  <a16:creationId xmlns:a16="http://schemas.microsoft.com/office/drawing/2014/main" id="{00000000-0008-0000-0000-0000202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200" b="1" i="0" u="none" strike="noStrike" baseline="0">
                  <a:solidFill>
                    <a:srgbClr val="0000FF"/>
                  </a:solidFill>
                  <a:latin typeface="Calibri"/>
                  <a:cs typeface="Calibri"/>
                </a:rPr>
                <a:t>VER COSTOS DE INFRAESTRUCTURA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30</xdr:col>
          <xdr:colOff>28575</xdr:colOff>
          <xdr:row>422</xdr:row>
          <xdr:rowOff>0</xdr:rowOff>
        </xdr:from>
        <xdr:to>
          <xdr:col>35</xdr:col>
          <xdr:colOff>266700</xdr:colOff>
          <xdr:row>422</xdr:row>
          <xdr:rowOff>742950</xdr:rowOff>
        </xdr:to>
        <xdr:sp macro="" textlink="">
          <xdr:nvSpPr>
            <xdr:cNvPr id="10785" name="Button 545" hidden="1">
              <a:extLst>
                <a:ext uri="{63B3BB69-23CF-44E3-9099-C40C66FF867C}">
                  <a14:compatExt spid="_x0000_s10785"/>
                </a:ext>
                <a:ext uri="{FF2B5EF4-FFF2-40B4-BE49-F238E27FC236}">
                  <a16:creationId xmlns:a16="http://schemas.microsoft.com/office/drawing/2014/main" id="{00000000-0008-0000-0000-0000212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200" b="1" i="0" u="none" strike="noStrike" baseline="0">
                  <a:solidFill>
                    <a:srgbClr val="0000FF"/>
                  </a:solidFill>
                  <a:latin typeface="Calibri"/>
                  <a:cs typeface="Calibri"/>
                </a:rPr>
                <a:t>VER COSTOS EXP TÉCNICOS Y OTROS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36</xdr:col>
          <xdr:colOff>9525</xdr:colOff>
          <xdr:row>422</xdr:row>
          <xdr:rowOff>0</xdr:rowOff>
        </xdr:from>
        <xdr:to>
          <xdr:col>41</xdr:col>
          <xdr:colOff>257175</xdr:colOff>
          <xdr:row>422</xdr:row>
          <xdr:rowOff>742950</xdr:rowOff>
        </xdr:to>
        <xdr:sp macro="" textlink="">
          <xdr:nvSpPr>
            <xdr:cNvPr id="10786" name="Button 546" hidden="1">
              <a:extLst>
                <a:ext uri="{63B3BB69-23CF-44E3-9099-C40C66FF867C}">
                  <a14:compatExt spid="_x0000_s10786"/>
                </a:ext>
                <a:ext uri="{FF2B5EF4-FFF2-40B4-BE49-F238E27FC236}">
                  <a16:creationId xmlns:a16="http://schemas.microsoft.com/office/drawing/2014/main" id="{00000000-0008-0000-0000-0000222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200" b="1" i="0" u="none" strike="noStrike" baseline="0">
                  <a:solidFill>
                    <a:srgbClr val="0000FF"/>
                  </a:solidFill>
                  <a:latin typeface="Calibri"/>
                  <a:cs typeface="Calibri"/>
                </a:rPr>
                <a:t>VER COSTOS DE O&amp;M</a:t>
              </a:r>
            </a:p>
          </xdr:txBody>
        </xdr:sp>
        <xdr:clientData/>
      </xdr:twoCellAnchor>
    </mc:Choice>
    <mc:Fallback/>
  </mc:AlternateContent>
  <mc:AlternateContent xmlns:mc="http://schemas.openxmlformats.org/markup-compatibility/2006">
    <mc:Choice xmlns:a14="http://schemas.microsoft.com/office/drawing/2010/main" Requires="a14">
      <xdr:twoCellAnchor>
        <xdr:from>
          <xdr:col>42</xdr:col>
          <xdr:colOff>19050</xdr:colOff>
          <xdr:row>422</xdr:row>
          <xdr:rowOff>0</xdr:rowOff>
        </xdr:from>
        <xdr:to>
          <xdr:col>47</xdr:col>
          <xdr:colOff>257175</xdr:colOff>
          <xdr:row>422</xdr:row>
          <xdr:rowOff>742950</xdr:rowOff>
        </xdr:to>
        <xdr:sp macro="" textlink="">
          <xdr:nvSpPr>
            <xdr:cNvPr id="10787" name="Button 547" hidden="1">
              <a:extLst>
                <a:ext uri="{63B3BB69-23CF-44E3-9099-C40C66FF867C}">
                  <a14:compatExt spid="_x0000_s10787"/>
                </a:ext>
                <a:ext uri="{FF2B5EF4-FFF2-40B4-BE49-F238E27FC236}">
                  <a16:creationId xmlns:a16="http://schemas.microsoft.com/office/drawing/2014/main" id="{00000000-0008-0000-0000-0000232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200" b="1" i="0" u="none" strike="noStrike" baseline="0">
                  <a:solidFill>
                    <a:srgbClr val="0000FF"/>
                  </a:solidFill>
                  <a:latin typeface="Calibri"/>
                  <a:cs typeface="Calibri"/>
                </a:rPr>
                <a:t>VER COSTOS REINV.</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276225</xdr:colOff>
          <xdr:row>635</xdr:row>
          <xdr:rowOff>66675</xdr:rowOff>
        </xdr:from>
        <xdr:to>
          <xdr:col>22</xdr:col>
          <xdr:colOff>209550</xdr:colOff>
          <xdr:row>637</xdr:row>
          <xdr:rowOff>66675</xdr:rowOff>
        </xdr:to>
        <xdr:sp macro="" textlink="">
          <xdr:nvSpPr>
            <xdr:cNvPr id="10788" name="Button 548" hidden="1">
              <a:extLst>
                <a:ext uri="{63B3BB69-23CF-44E3-9099-C40C66FF867C}">
                  <a14:compatExt spid="_x0000_s10788"/>
                </a:ext>
                <a:ext uri="{FF2B5EF4-FFF2-40B4-BE49-F238E27FC236}">
                  <a16:creationId xmlns:a16="http://schemas.microsoft.com/office/drawing/2014/main" id="{00000000-0008-0000-0000-0000242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200" b="1" i="0" u="none" strike="noStrike" baseline="0">
                  <a:solidFill>
                    <a:srgbClr val="0000FF"/>
                  </a:solidFill>
                  <a:latin typeface="Calibri"/>
                  <a:cs typeface="Calibri"/>
                </a:rPr>
                <a:t>VER COSTOS DE O&amp;M</a:t>
              </a:r>
            </a:p>
          </xdr:txBody>
        </xdr:sp>
        <xdr:clientData/>
      </xdr:twoCellAnchor>
    </mc:Choice>
    <mc:Fallback/>
  </mc:AlternateContent>
  <mc:AlternateContent xmlns:mc="http://schemas.openxmlformats.org/markup-compatibility/2006">
    <mc:Choice xmlns:a14="http://schemas.microsoft.com/office/drawing/2010/main" Requires="a14">
      <xdr:twoCellAnchor>
        <xdr:from>
          <xdr:col>23</xdr:col>
          <xdr:colOff>9525</xdr:colOff>
          <xdr:row>675</xdr:row>
          <xdr:rowOff>190500</xdr:rowOff>
        </xdr:from>
        <xdr:to>
          <xdr:col>28</xdr:col>
          <xdr:colOff>0</xdr:colOff>
          <xdr:row>679</xdr:row>
          <xdr:rowOff>190500</xdr:rowOff>
        </xdr:to>
        <xdr:sp macro="" textlink="">
          <xdr:nvSpPr>
            <xdr:cNvPr id="10789" name="Button 549" hidden="1">
              <a:extLst>
                <a:ext uri="{63B3BB69-23CF-44E3-9099-C40C66FF867C}">
                  <a14:compatExt spid="_x0000_s10789"/>
                </a:ext>
                <a:ext uri="{FF2B5EF4-FFF2-40B4-BE49-F238E27FC236}">
                  <a16:creationId xmlns:a16="http://schemas.microsoft.com/office/drawing/2014/main" id="{00000000-0008-0000-0000-0000252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200" b="1" i="0" u="none" strike="noStrike" baseline="0">
                  <a:solidFill>
                    <a:srgbClr val="0000FF"/>
                  </a:solidFill>
                  <a:latin typeface="Calibri"/>
                  <a:cs typeface="Calibri"/>
                </a:rPr>
                <a:t>VER CÁLCULO</a:t>
              </a:r>
            </a:p>
            <a:p>
              <a:pPr algn="ctr" rtl="0">
                <a:defRPr sz="1000"/>
              </a:pPr>
              <a:r>
                <a:rPr lang="es-PE" sz="1200" b="1" i="0" u="none" strike="noStrike" baseline="0">
                  <a:solidFill>
                    <a:srgbClr val="0000FF"/>
                  </a:solidFill>
                  <a:latin typeface="Calibri"/>
                  <a:cs typeface="Calibri"/>
                </a:rPr>
                <a:t>DEL COSTO EFICACIA</a:t>
              </a:r>
            </a:p>
          </xdr:txBody>
        </xdr:sp>
        <xdr:clientData/>
      </xdr:twoCellAnchor>
    </mc:Choice>
    <mc:Fallback/>
  </mc:AlternateContent>
  <mc:AlternateContent xmlns:mc="http://schemas.openxmlformats.org/markup-compatibility/2006">
    <mc:Choice xmlns:a14="http://schemas.microsoft.com/office/drawing/2010/main" Requires="a14">
      <xdr:twoCellAnchor>
        <xdr:from>
          <xdr:col>23</xdr:col>
          <xdr:colOff>247650</xdr:colOff>
          <xdr:row>694</xdr:row>
          <xdr:rowOff>95250</xdr:rowOff>
        </xdr:from>
        <xdr:to>
          <xdr:col>34</xdr:col>
          <xdr:colOff>66675</xdr:colOff>
          <xdr:row>696</xdr:row>
          <xdr:rowOff>104775</xdr:rowOff>
        </xdr:to>
        <xdr:sp macro="" textlink="">
          <xdr:nvSpPr>
            <xdr:cNvPr id="10790" name="Button 550" hidden="1">
              <a:extLst>
                <a:ext uri="{63B3BB69-23CF-44E3-9099-C40C66FF867C}">
                  <a14:compatExt spid="_x0000_s10790"/>
                </a:ext>
                <a:ext uri="{FF2B5EF4-FFF2-40B4-BE49-F238E27FC236}">
                  <a16:creationId xmlns:a16="http://schemas.microsoft.com/office/drawing/2014/main" id="{00000000-0008-0000-0000-0000262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200" b="1" i="0" u="none" strike="noStrike" baseline="0">
                  <a:solidFill>
                    <a:srgbClr val="0000FF"/>
                  </a:solidFill>
                  <a:latin typeface="Calibri"/>
                  <a:cs typeface="Calibri"/>
                </a:rPr>
                <a:t>VER CÁLCULO DE LA TARIFA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9525</xdr:rowOff>
        </xdr:from>
        <xdr:to>
          <xdr:col>26</xdr:col>
          <xdr:colOff>0</xdr:colOff>
          <xdr:row>17</xdr:row>
          <xdr:rowOff>9525</xdr:rowOff>
        </xdr:to>
        <xdr:sp macro="" textlink="">
          <xdr:nvSpPr>
            <xdr:cNvPr id="10793" name="Drop Down 553" hidden="1">
              <a:extLst>
                <a:ext uri="{63B3BB69-23CF-44E3-9099-C40C66FF867C}">
                  <a14:compatExt spid="_x0000_s10793"/>
                </a:ext>
                <a:ext uri="{FF2B5EF4-FFF2-40B4-BE49-F238E27FC236}">
                  <a16:creationId xmlns:a16="http://schemas.microsoft.com/office/drawing/2014/main" id="{00000000-0008-0000-0000-0000292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33</xdr:row>
          <xdr:rowOff>0</xdr:rowOff>
        </xdr:from>
        <xdr:to>
          <xdr:col>32</xdr:col>
          <xdr:colOff>28575</xdr:colOff>
          <xdr:row>34</xdr:row>
          <xdr:rowOff>0</xdr:rowOff>
        </xdr:to>
        <xdr:sp macro="" textlink="">
          <xdr:nvSpPr>
            <xdr:cNvPr id="10804" name="Drop Down 564" hidden="1">
              <a:extLst>
                <a:ext uri="{63B3BB69-23CF-44E3-9099-C40C66FF867C}">
                  <a14:compatExt spid="_x0000_s10804"/>
                </a:ext>
                <a:ext uri="{FF2B5EF4-FFF2-40B4-BE49-F238E27FC236}">
                  <a16:creationId xmlns:a16="http://schemas.microsoft.com/office/drawing/2014/main" id="{00000000-0008-0000-0000-0000342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201</xdr:row>
          <xdr:rowOff>9525</xdr:rowOff>
        </xdr:from>
        <xdr:to>
          <xdr:col>14</xdr:col>
          <xdr:colOff>257175</xdr:colOff>
          <xdr:row>201</xdr:row>
          <xdr:rowOff>219075</xdr:rowOff>
        </xdr:to>
        <xdr:sp macro="" textlink="">
          <xdr:nvSpPr>
            <xdr:cNvPr id="10806" name="Drop Down 566" hidden="1">
              <a:extLst>
                <a:ext uri="{63B3BB69-23CF-44E3-9099-C40C66FF867C}">
                  <a14:compatExt spid="_x0000_s10806"/>
                </a:ext>
                <a:ext uri="{FF2B5EF4-FFF2-40B4-BE49-F238E27FC236}">
                  <a16:creationId xmlns:a16="http://schemas.microsoft.com/office/drawing/2014/main" id="{00000000-0008-0000-0000-0000362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49</xdr:col>
          <xdr:colOff>38100</xdr:colOff>
          <xdr:row>251</xdr:row>
          <xdr:rowOff>38100</xdr:rowOff>
        </xdr:from>
        <xdr:to>
          <xdr:col>52</xdr:col>
          <xdr:colOff>19050</xdr:colOff>
          <xdr:row>253</xdr:row>
          <xdr:rowOff>0</xdr:rowOff>
        </xdr:to>
        <xdr:sp macro="" textlink="">
          <xdr:nvSpPr>
            <xdr:cNvPr id="10816" name="Button 576" hidden="1">
              <a:extLst>
                <a:ext uri="{63B3BB69-23CF-44E3-9099-C40C66FF867C}">
                  <a14:compatExt spid="_x0000_s10816"/>
                </a:ext>
                <a:ext uri="{FF2B5EF4-FFF2-40B4-BE49-F238E27FC236}">
                  <a16:creationId xmlns:a16="http://schemas.microsoft.com/office/drawing/2014/main" id="{00000000-0008-0000-0000-0000402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1" i="0" u="none" strike="noStrike" baseline="0">
                  <a:solidFill>
                    <a:srgbClr val="0000FF"/>
                  </a:solidFill>
                  <a:latin typeface="Calibri"/>
                  <a:cs typeface="Calibri"/>
                </a:rPr>
                <a:t>VER CRITERIOS TÉCNICOS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19050</xdr:colOff>
          <xdr:row>256</xdr:row>
          <xdr:rowOff>219075</xdr:rowOff>
        </xdr:from>
        <xdr:to>
          <xdr:col>52</xdr:col>
          <xdr:colOff>0</xdr:colOff>
          <xdr:row>257</xdr:row>
          <xdr:rowOff>180975</xdr:rowOff>
        </xdr:to>
        <xdr:sp macro="" textlink="">
          <xdr:nvSpPr>
            <xdr:cNvPr id="10817" name="Button 577" hidden="1">
              <a:extLst>
                <a:ext uri="{63B3BB69-23CF-44E3-9099-C40C66FF867C}">
                  <a14:compatExt spid="_x0000_s10817"/>
                </a:ext>
                <a:ext uri="{FF2B5EF4-FFF2-40B4-BE49-F238E27FC236}">
                  <a16:creationId xmlns:a16="http://schemas.microsoft.com/office/drawing/2014/main" id="{00000000-0008-0000-0000-0000412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1" i="0" u="none" strike="noStrike" baseline="0">
                  <a:solidFill>
                    <a:srgbClr val="0000FF"/>
                  </a:solidFill>
                  <a:latin typeface="Calibri"/>
                  <a:cs typeface="Calibri"/>
                </a:rPr>
                <a:t>VER CRITERIOS TÉCNICOS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49</xdr:col>
          <xdr:colOff>28575</xdr:colOff>
          <xdr:row>263</xdr:row>
          <xdr:rowOff>171450</xdr:rowOff>
        </xdr:from>
        <xdr:to>
          <xdr:col>52</xdr:col>
          <xdr:colOff>9525</xdr:colOff>
          <xdr:row>265</xdr:row>
          <xdr:rowOff>123825</xdr:rowOff>
        </xdr:to>
        <xdr:sp macro="" textlink="">
          <xdr:nvSpPr>
            <xdr:cNvPr id="10818" name="Button 578" hidden="1">
              <a:extLst>
                <a:ext uri="{63B3BB69-23CF-44E3-9099-C40C66FF867C}">
                  <a14:compatExt spid="_x0000_s10818"/>
                </a:ext>
                <a:ext uri="{FF2B5EF4-FFF2-40B4-BE49-F238E27FC236}">
                  <a16:creationId xmlns:a16="http://schemas.microsoft.com/office/drawing/2014/main" id="{00000000-0008-0000-0000-0000422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1" i="0" u="none" strike="noStrike" baseline="0">
                  <a:solidFill>
                    <a:srgbClr val="0000FF"/>
                  </a:solidFill>
                  <a:latin typeface="Calibri"/>
                  <a:cs typeface="Calibri"/>
                </a:rPr>
                <a:t>VER CRITERIOS TÉCNICOS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49</xdr:col>
          <xdr:colOff>47625</xdr:colOff>
          <xdr:row>272</xdr:row>
          <xdr:rowOff>47625</xdr:rowOff>
        </xdr:from>
        <xdr:to>
          <xdr:col>52</xdr:col>
          <xdr:colOff>28575</xdr:colOff>
          <xdr:row>274</xdr:row>
          <xdr:rowOff>9525</xdr:rowOff>
        </xdr:to>
        <xdr:sp macro="" textlink="">
          <xdr:nvSpPr>
            <xdr:cNvPr id="10819" name="Button 579" hidden="1">
              <a:extLst>
                <a:ext uri="{63B3BB69-23CF-44E3-9099-C40C66FF867C}">
                  <a14:compatExt spid="_x0000_s10819"/>
                </a:ext>
                <a:ext uri="{FF2B5EF4-FFF2-40B4-BE49-F238E27FC236}">
                  <a16:creationId xmlns:a16="http://schemas.microsoft.com/office/drawing/2014/main" id="{00000000-0008-0000-0000-0000432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1" i="0" u="none" strike="noStrike" baseline="0">
                  <a:solidFill>
                    <a:srgbClr val="0000FF"/>
                  </a:solidFill>
                  <a:latin typeface="Calibri"/>
                  <a:cs typeface="Calibri"/>
                </a:rPr>
                <a:t>VER CRITERIOS TÉCNICOS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49</xdr:col>
          <xdr:colOff>19050</xdr:colOff>
          <xdr:row>278</xdr:row>
          <xdr:rowOff>190500</xdr:rowOff>
        </xdr:from>
        <xdr:to>
          <xdr:col>52</xdr:col>
          <xdr:colOff>0</xdr:colOff>
          <xdr:row>280</xdr:row>
          <xdr:rowOff>152400</xdr:rowOff>
        </xdr:to>
        <xdr:sp macro="" textlink="">
          <xdr:nvSpPr>
            <xdr:cNvPr id="10820" name="Button 580" hidden="1">
              <a:extLst>
                <a:ext uri="{63B3BB69-23CF-44E3-9099-C40C66FF867C}">
                  <a14:compatExt spid="_x0000_s10820"/>
                </a:ext>
                <a:ext uri="{FF2B5EF4-FFF2-40B4-BE49-F238E27FC236}">
                  <a16:creationId xmlns:a16="http://schemas.microsoft.com/office/drawing/2014/main" id="{00000000-0008-0000-0000-0000442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1" i="0" u="none" strike="noStrike" baseline="0">
                  <a:solidFill>
                    <a:srgbClr val="0000FF"/>
                  </a:solidFill>
                  <a:latin typeface="Calibri"/>
                  <a:cs typeface="Calibri"/>
                </a:rPr>
                <a:t>VER CRITERIOS TÉCNICOS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28575</xdr:colOff>
          <xdr:row>288</xdr:row>
          <xdr:rowOff>123825</xdr:rowOff>
        </xdr:from>
        <xdr:to>
          <xdr:col>52</xdr:col>
          <xdr:colOff>9525</xdr:colOff>
          <xdr:row>289</xdr:row>
          <xdr:rowOff>85725</xdr:rowOff>
        </xdr:to>
        <xdr:sp macro="" textlink="">
          <xdr:nvSpPr>
            <xdr:cNvPr id="10821" name="Button 581" hidden="1">
              <a:extLst>
                <a:ext uri="{63B3BB69-23CF-44E3-9099-C40C66FF867C}">
                  <a14:compatExt spid="_x0000_s10821"/>
                </a:ext>
                <a:ext uri="{FF2B5EF4-FFF2-40B4-BE49-F238E27FC236}">
                  <a16:creationId xmlns:a16="http://schemas.microsoft.com/office/drawing/2014/main" id="{00000000-0008-0000-0000-0000452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1" i="0" u="none" strike="noStrike" baseline="0">
                  <a:solidFill>
                    <a:srgbClr val="0000FF"/>
                  </a:solidFill>
                  <a:latin typeface="Calibri"/>
                  <a:cs typeface="Calibri"/>
                </a:rPr>
                <a:t>VER CRITERIOS TÉCNICOS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49</xdr:col>
          <xdr:colOff>38100</xdr:colOff>
          <xdr:row>372</xdr:row>
          <xdr:rowOff>0</xdr:rowOff>
        </xdr:from>
        <xdr:to>
          <xdr:col>51</xdr:col>
          <xdr:colOff>276225</xdr:colOff>
          <xdr:row>372</xdr:row>
          <xdr:rowOff>0</xdr:rowOff>
        </xdr:to>
        <xdr:sp macro="" textlink="">
          <xdr:nvSpPr>
            <xdr:cNvPr id="10823" name="Button 583" hidden="1">
              <a:extLst>
                <a:ext uri="{63B3BB69-23CF-44E3-9099-C40C66FF867C}">
                  <a14:compatExt spid="_x0000_s10823"/>
                </a:ext>
                <a:ext uri="{FF2B5EF4-FFF2-40B4-BE49-F238E27FC236}">
                  <a16:creationId xmlns:a16="http://schemas.microsoft.com/office/drawing/2014/main" id="{00000000-0008-0000-0000-0000472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1" i="0" u="none" strike="noStrike" baseline="0">
                  <a:solidFill>
                    <a:srgbClr val="0000FF"/>
                  </a:solidFill>
                  <a:latin typeface="Calibri"/>
                  <a:cs typeface="Calibri"/>
                </a:rPr>
                <a:t>VER CRITERIOS TÉCNICOS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0</xdr:colOff>
          <xdr:row>378</xdr:row>
          <xdr:rowOff>38100</xdr:rowOff>
        </xdr:from>
        <xdr:to>
          <xdr:col>52</xdr:col>
          <xdr:colOff>9525</xdr:colOff>
          <xdr:row>379</xdr:row>
          <xdr:rowOff>19050</xdr:rowOff>
        </xdr:to>
        <xdr:sp macro="" textlink="">
          <xdr:nvSpPr>
            <xdr:cNvPr id="10824" name="Button 584" hidden="1">
              <a:extLst>
                <a:ext uri="{63B3BB69-23CF-44E3-9099-C40C66FF867C}">
                  <a14:compatExt spid="_x0000_s10824"/>
                </a:ext>
                <a:ext uri="{FF2B5EF4-FFF2-40B4-BE49-F238E27FC236}">
                  <a16:creationId xmlns:a16="http://schemas.microsoft.com/office/drawing/2014/main" id="{00000000-0008-0000-0000-0000482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1" i="0" u="none" strike="noStrike" baseline="0">
                  <a:solidFill>
                    <a:srgbClr val="0000FF"/>
                  </a:solidFill>
                  <a:latin typeface="Calibri"/>
                  <a:cs typeface="Calibri"/>
                </a:rPr>
                <a:t>VER CRITERIOS TÉCNICOS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49</xdr:col>
          <xdr:colOff>19050</xdr:colOff>
          <xdr:row>386</xdr:row>
          <xdr:rowOff>219075</xdr:rowOff>
        </xdr:from>
        <xdr:to>
          <xdr:col>52</xdr:col>
          <xdr:colOff>19050</xdr:colOff>
          <xdr:row>387</xdr:row>
          <xdr:rowOff>47625</xdr:rowOff>
        </xdr:to>
        <xdr:sp macro="" textlink="">
          <xdr:nvSpPr>
            <xdr:cNvPr id="10825" name="Button 585" hidden="1">
              <a:extLst>
                <a:ext uri="{63B3BB69-23CF-44E3-9099-C40C66FF867C}">
                  <a14:compatExt spid="_x0000_s10825"/>
                </a:ext>
                <a:ext uri="{FF2B5EF4-FFF2-40B4-BE49-F238E27FC236}">
                  <a16:creationId xmlns:a16="http://schemas.microsoft.com/office/drawing/2014/main" id="{00000000-0008-0000-0000-0000492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1" i="0" u="none" strike="noStrike" baseline="0">
                  <a:solidFill>
                    <a:srgbClr val="0000FF"/>
                  </a:solidFill>
                  <a:latin typeface="Calibri"/>
                  <a:cs typeface="Calibri"/>
                </a:rPr>
                <a:t>VER CRITERIOS TÉCNICOS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48</xdr:col>
          <xdr:colOff>295275</xdr:colOff>
          <xdr:row>393</xdr:row>
          <xdr:rowOff>409575</xdr:rowOff>
        </xdr:from>
        <xdr:to>
          <xdr:col>52</xdr:col>
          <xdr:colOff>9525</xdr:colOff>
          <xdr:row>394</xdr:row>
          <xdr:rowOff>390525</xdr:rowOff>
        </xdr:to>
        <xdr:sp macro="" textlink="">
          <xdr:nvSpPr>
            <xdr:cNvPr id="10826" name="Button 586" hidden="1">
              <a:extLst>
                <a:ext uri="{63B3BB69-23CF-44E3-9099-C40C66FF867C}">
                  <a14:compatExt spid="_x0000_s10826"/>
                </a:ext>
                <a:ext uri="{FF2B5EF4-FFF2-40B4-BE49-F238E27FC236}">
                  <a16:creationId xmlns:a16="http://schemas.microsoft.com/office/drawing/2014/main" id="{00000000-0008-0000-0000-00004A2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1" i="0" u="none" strike="noStrike" baseline="0">
                  <a:solidFill>
                    <a:srgbClr val="0000FF"/>
                  </a:solidFill>
                  <a:latin typeface="Calibri"/>
                  <a:cs typeface="Calibri"/>
                </a:rPr>
                <a:t>VER CRITERIOS TÉCNICOS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49</xdr:col>
          <xdr:colOff>9525</xdr:colOff>
          <xdr:row>404</xdr:row>
          <xdr:rowOff>276225</xdr:rowOff>
        </xdr:from>
        <xdr:to>
          <xdr:col>52</xdr:col>
          <xdr:colOff>19050</xdr:colOff>
          <xdr:row>406</xdr:row>
          <xdr:rowOff>104775</xdr:rowOff>
        </xdr:to>
        <xdr:sp macro="" textlink="">
          <xdr:nvSpPr>
            <xdr:cNvPr id="10827" name="Button 587" hidden="1">
              <a:extLst>
                <a:ext uri="{63B3BB69-23CF-44E3-9099-C40C66FF867C}">
                  <a14:compatExt spid="_x0000_s10827"/>
                </a:ext>
                <a:ext uri="{FF2B5EF4-FFF2-40B4-BE49-F238E27FC236}">
                  <a16:creationId xmlns:a16="http://schemas.microsoft.com/office/drawing/2014/main" id="{00000000-0008-0000-0000-00004B2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1" i="0" u="none" strike="noStrike" baseline="0">
                  <a:solidFill>
                    <a:srgbClr val="0000FF"/>
                  </a:solidFill>
                  <a:latin typeface="Calibri"/>
                  <a:cs typeface="Calibri"/>
                </a:rPr>
                <a:t>VER CRITERIOS TÉCNICOS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49</xdr:col>
          <xdr:colOff>9525</xdr:colOff>
          <xdr:row>415</xdr:row>
          <xdr:rowOff>28575</xdr:rowOff>
        </xdr:from>
        <xdr:to>
          <xdr:col>52</xdr:col>
          <xdr:colOff>9525</xdr:colOff>
          <xdr:row>416</xdr:row>
          <xdr:rowOff>9525</xdr:rowOff>
        </xdr:to>
        <xdr:sp macro="" textlink="">
          <xdr:nvSpPr>
            <xdr:cNvPr id="10828" name="Button 588" hidden="1">
              <a:extLst>
                <a:ext uri="{63B3BB69-23CF-44E3-9099-C40C66FF867C}">
                  <a14:compatExt spid="_x0000_s10828"/>
                </a:ext>
                <a:ext uri="{FF2B5EF4-FFF2-40B4-BE49-F238E27FC236}">
                  <a16:creationId xmlns:a16="http://schemas.microsoft.com/office/drawing/2014/main" id="{00000000-0008-0000-0000-00004C2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1" i="0" u="none" strike="noStrike" baseline="0">
                  <a:solidFill>
                    <a:srgbClr val="0000FF"/>
                  </a:solidFill>
                  <a:latin typeface="Calibri"/>
                  <a:cs typeface="Calibri"/>
                </a:rPr>
                <a:t>VER CRITERIOS TÉCNICOS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152400</xdr:rowOff>
        </xdr:from>
        <xdr:to>
          <xdr:col>2</xdr:col>
          <xdr:colOff>19050</xdr:colOff>
          <xdr:row>172</xdr:row>
          <xdr:rowOff>28575</xdr:rowOff>
        </xdr:to>
        <xdr:sp macro="" textlink="">
          <xdr:nvSpPr>
            <xdr:cNvPr id="10829" name="Check Box 589" hidden="1">
              <a:extLst>
                <a:ext uri="{63B3BB69-23CF-44E3-9099-C40C66FF867C}">
                  <a14:compatExt spid="_x0000_s10829"/>
                </a:ext>
                <a:ext uri="{FF2B5EF4-FFF2-40B4-BE49-F238E27FC236}">
                  <a16:creationId xmlns:a16="http://schemas.microsoft.com/office/drawing/2014/main" id="{00000000-0008-0000-0000-00004D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57150</xdr:colOff>
          <xdr:row>170</xdr:row>
          <xdr:rowOff>180975</xdr:rowOff>
        </xdr:from>
        <xdr:to>
          <xdr:col>21</xdr:col>
          <xdr:colOff>0</xdr:colOff>
          <xdr:row>172</xdr:row>
          <xdr:rowOff>57150</xdr:rowOff>
        </xdr:to>
        <xdr:sp macro="" textlink="">
          <xdr:nvSpPr>
            <xdr:cNvPr id="10830" name="Check Box 590" hidden="1">
              <a:extLst>
                <a:ext uri="{63B3BB69-23CF-44E3-9099-C40C66FF867C}">
                  <a14:compatExt spid="_x0000_s10830"/>
                </a:ext>
                <a:ext uri="{FF2B5EF4-FFF2-40B4-BE49-F238E27FC236}">
                  <a16:creationId xmlns:a16="http://schemas.microsoft.com/office/drawing/2014/main" id="{00000000-0008-0000-0000-00004E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152400</xdr:rowOff>
        </xdr:from>
        <xdr:to>
          <xdr:col>2</xdr:col>
          <xdr:colOff>19050</xdr:colOff>
          <xdr:row>173</xdr:row>
          <xdr:rowOff>28575</xdr:rowOff>
        </xdr:to>
        <xdr:sp macro="" textlink="">
          <xdr:nvSpPr>
            <xdr:cNvPr id="10831" name="Check Box 591" hidden="1">
              <a:extLst>
                <a:ext uri="{63B3BB69-23CF-44E3-9099-C40C66FF867C}">
                  <a14:compatExt spid="_x0000_s10831"/>
                </a:ext>
                <a:ext uri="{FF2B5EF4-FFF2-40B4-BE49-F238E27FC236}">
                  <a16:creationId xmlns:a16="http://schemas.microsoft.com/office/drawing/2014/main" id="{00000000-0008-0000-0000-00004F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57150</xdr:colOff>
          <xdr:row>171</xdr:row>
          <xdr:rowOff>209550</xdr:rowOff>
        </xdr:from>
        <xdr:to>
          <xdr:col>21</xdr:col>
          <xdr:colOff>0</xdr:colOff>
          <xdr:row>173</xdr:row>
          <xdr:rowOff>85725</xdr:rowOff>
        </xdr:to>
        <xdr:sp macro="" textlink="">
          <xdr:nvSpPr>
            <xdr:cNvPr id="10832" name="Check Box 592" hidden="1">
              <a:extLst>
                <a:ext uri="{63B3BB69-23CF-44E3-9099-C40C66FF867C}">
                  <a14:compatExt spid="_x0000_s10832"/>
                </a:ext>
                <a:ext uri="{FF2B5EF4-FFF2-40B4-BE49-F238E27FC236}">
                  <a16:creationId xmlns:a16="http://schemas.microsoft.com/office/drawing/2014/main" id="{00000000-0008-0000-0000-000050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209550</xdr:rowOff>
        </xdr:from>
        <xdr:to>
          <xdr:col>2</xdr:col>
          <xdr:colOff>19050</xdr:colOff>
          <xdr:row>174</xdr:row>
          <xdr:rowOff>66675</xdr:rowOff>
        </xdr:to>
        <xdr:sp macro="" textlink="">
          <xdr:nvSpPr>
            <xdr:cNvPr id="10833" name="Check Box 593" hidden="1">
              <a:extLst>
                <a:ext uri="{63B3BB69-23CF-44E3-9099-C40C66FF867C}">
                  <a14:compatExt spid="_x0000_s10833"/>
                </a:ext>
                <a:ext uri="{FF2B5EF4-FFF2-40B4-BE49-F238E27FC236}">
                  <a16:creationId xmlns:a16="http://schemas.microsoft.com/office/drawing/2014/main" id="{00000000-0008-0000-0000-000051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172</xdr:row>
          <xdr:rowOff>180975</xdr:rowOff>
        </xdr:from>
        <xdr:to>
          <xdr:col>20</xdr:col>
          <xdr:colOff>371475</xdr:colOff>
          <xdr:row>174</xdr:row>
          <xdr:rowOff>47625</xdr:rowOff>
        </xdr:to>
        <xdr:sp macro="" textlink="">
          <xdr:nvSpPr>
            <xdr:cNvPr id="10834" name="Check Box 594" hidden="1">
              <a:extLst>
                <a:ext uri="{63B3BB69-23CF-44E3-9099-C40C66FF867C}">
                  <a14:compatExt spid="_x0000_s10834"/>
                </a:ext>
                <a:ext uri="{FF2B5EF4-FFF2-40B4-BE49-F238E27FC236}">
                  <a16:creationId xmlns:a16="http://schemas.microsoft.com/office/drawing/2014/main" id="{00000000-0008-0000-0000-000052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173</xdr:row>
          <xdr:rowOff>180975</xdr:rowOff>
        </xdr:from>
        <xdr:to>
          <xdr:col>20</xdr:col>
          <xdr:colOff>371475</xdr:colOff>
          <xdr:row>175</xdr:row>
          <xdr:rowOff>47625</xdr:rowOff>
        </xdr:to>
        <xdr:sp macro="" textlink="">
          <xdr:nvSpPr>
            <xdr:cNvPr id="10835" name="Check Box 595" hidden="1">
              <a:extLst>
                <a:ext uri="{63B3BB69-23CF-44E3-9099-C40C66FF867C}">
                  <a14:compatExt spid="_x0000_s10835"/>
                </a:ext>
                <a:ext uri="{FF2B5EF4-FFF2-40B4-BE49-F238E27FC236}">
                  <a16:creationId xmlns:a16="http://schemas.microsoft.com/office/drawing/2014/main" id="{00000000-0008-0000-0000-000053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57150</xdr:colOff>
          <xdr:row>174</xdr:row>
          <xdr:rowOff>180975</xdr:rowOff>
        </xdr:from>
        <xdr:to>
          <xdr:col>21</xdr:col>
          <xdr:colOff>0</xdr:colOff>
          <xdr:row>176</xdr:row>
          <xdr:rowOff>57150</xdr:rowOff>
        </xdr:to>
        <xdr:sp macro="" textlink="">
          <xdr:nvSpPr>
            <xdr:cNvPr id="10836" name="Check Box 596" hidden="1">
              <a:extLst>
                <a:ext uri="{63B3BB69-23CF-44E3-9099-C40C66FF867C}">
                  <a14:compatExt spid="_x0000_s10836"/>
                </a:ext>
                <a:ext uri="{FF2B5EF4-FFF2-40B4-BE49-F238E27FC236}">
                  <a16:creationId xmlns:a16="http://schemas.microsoft.com/office/drawing/2014/main" id="{00000000-0008-0000-0000-000054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219075</xdr:rowOff>
        </xdr:from>
        <xdr:to>
          <xdr:col>2</xdr:col>
          <xdr:colOff>19050</xdr:colOff>
          <xdr:row>177</xdr:row>
          <xdr:rowOff>76200</xdr:rowOff>
        </xdr:to>
        <xdr:sp macro="" textlink="">
          <xdr:nvSpPr>
            <xdr:cNvPr id="10837" name="Check Box 597" hidden="1">
              <a:extLst>
                <a:ext uri="{63B3BB69-23CF-44E3-9099-C40C66FF867C}">
                  <a14:compatExt spid="_x0000_s10837"/>
                </a:ext>
                <a:ext uri="{FF2B5EF4-FFF2-40B4-BE49-F238E27FC236}">
                  <a16:creationId xmlns:a16="http://schemas.microsoft.com/office/drawing/2014/main" id="{00000000-0008-0000-0000-000055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175</xdr:row>
          <xdr:rowOff>180975</xdr:rowOff>
        </xdr:from>
        <xdr:to>
          <xdr:col>20</xdr:col>
          <xdr:colOff>371475</xdr:colOff>
          <xdr:row>177</xdr:row>
          <xdr:rowOff>57150</xdr:rowOff>
        </xdr:to>
        <xdr:sp macro="" textlink="">
          <xdr:nvSpPr>
            <xdr:cNvPr id="10838" name="Check Box 598" hidden="1">
              <a:extLst>
                <a:ext uri="{63B3BB69-23CF-44E3-9099-C40C66FF867C}">
                  <a14:compatExt spid="_x0000_s10838"/>
                </a:ext>
                <a:ext uri="{FF2B5EF4-FFF2-40B4-BE49-F238E27FC236}">
                  <a16:creationId xmlns:a16="http://schemas.microsoft.com/office/drawing/2014/main" id="{00000000-0008-0000-0000-000056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57150</xdr:colOff>
          <xdr:row>176</xdr:row>
          <xdr:rowOff>190500</xdr:rowOff>
        </xdr:from>
        <xdr:to>
          <xdr:col>21</xdr:col>
          <xdr:colOff>0</xdr:colOff>
          <xdr:row>178</xdr:row>
          <xdr:rowOff>57150</xdr:rowOff>
        </xdr:to>
        <xdr:sp macro="" textlink="">
          <xdr:nvSpPr>
            <xdr:cNvPr id="10839" name="Check Box 599" hidden="1">
              <a:extLst>
                <a:ext uri="{63B3BB69-23CF-44E3-9099-C40C66FF867C}">
                  <a14:compatExt spid="_x0000_s10839"/>
                </a:ext>
                <a:ext uri="{FF2B5EF4-FFF2-40B4-BE49-F238E27FC236}">
                  <a16:creationId xmlns:a16="http://schemas.microsoft.com/office/drawing/2014/main" id="{00000000-0008-0000-0000-000057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177</xdr:row>
          <xdr:rowOff>190500</xdr:rowOff>
        </xdr:from>
        <xdr:to>
          <xdr:col>20</xdr:col>
          <xdr:colOff>371475</xdr:colOff>
          <xdr:row>179</xdr:row>
          <xdr:rowOff>66675</xdr:rowOff>
        </xdr:to>
        <xdr:sp macro="" textlink="">
          <xdr:nvSpPr>
            <xdr:cNvPr id="10840" name="Check Box 600" hidden="1">
              <a:extLst>
                <a:ext uri="{63B3BB69-23CF-44E3-9099-C40C66FF867C}">
                  <a14:compatExt spid="_x0000_s10840"/>
                </a:ext>
                <a:ext uri="{FF2B5EF4-FFF2-40B4-BE49-F238E27FC236}">
                  <a16:creationId xmlns:a16="http://schemas.microsoft.com/office/drawing/2014/main" id="{00000000-0008-0000-0000-000058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178</xdr:row>
          <xdr:rowOff>180975</xdr:rowOff>
        </xdr:from>
        <xdr:to>
          <xdr:col>20</xdr:col>
          <xdr:colOff>371475</xdr:colOff>
          <xdr:row>180</xdr:row>
          <xdr:rowOff>47625</xdr:rowOff>
        </xdr:to>
        <xdr:sp macro="" textlink="">
          <xdr:nvSpPr>
            <xdr:cNvPr id="10841" name="Check Box 601" hidden="1">
              <a:extLst>
                <a:ext uri="{63B3BB69-23CF-44E3-9099-C40C66FF867C}">
                  <a14:compatExt spid="_x0000_s10841"/>
                </a:ext>
                <a:ext uri="{FF2B5EF4-FFF2-40B4-BE49-F238E27FC236}">
                  <a16:creationId xmlns:a16="http://schemas.microsoft.com/office/drawing/2014/main" id="{00000000-0008-0000-0000-000059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9525</xdr:rowOff>
        </xdr:from>
        <xdr:to>
          <xdr:col>2</xdr:col>
          <xdr:colOff>19050</xdr:colOff>
          <xdr:row>181</xdr:row>
          <xdr:rowOff>85725</xdr:rowOff>
        </xdr:to>
        <xdr:sp macro="" textlink="">
          <xdr:nvSpPr>
            <xdr:cNvPr id="10842" name="Check Box 602" hidden="1">
              <a:extLst>
                <a:ext uri="{63B3BB69-23CF-44E3-9099-C40C66FF867C}">
                  <a14:compatExt spid="_x0000_s10842"/>
                </a:ext>
                <a:ext uri="{FF2B5EF4-FFF2-40B4-BE49-F238E27FC236}">
                  <a16:creationId xmlns:a16="http://schemas.microsoft.com/office/drawing/2014/main" id="{00000000-0008-0000-0000-00005A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179</xdr:row>
          <xdr:rowOff>171450</xdr:rowOff>
        </xdr:from>
        <xdr:to>
          <xdr:col>20</xdr:col>
          <xdr:colOff>371475</xdr:colOff>
          <xdr:row>181</xdr:row>
          <xdr:rowOff>38100</xdr:rowOff>
        </xdr:to>
        <xdr:sp macro="" textlink="">
          <xdr:nvSpPr>
            <xdr:cNvPr id="10843" name="Check Box 603" hidden="1">
              <a:extLst>
                <a:ext uri="{63B3BB69-23CF-44E3-9099-C40C66FF867C}">
                  <a14:compatExt spid="_x0000_s10843"/>
                </a:ext>
                <a:ext uri="{FF2B5EF4-FFF2-40B4-BE49-F238E27FC236}">
                  <a16:creationId xmlns:a16="http://schemas.microsoft.com/office/drawing/2014/main" id="{00000000-0008-0000-0000-00005B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180</xdr:row>
          <xdr:rowOff>161925</xdr:rowOff>
        </xdr:from>
        <xdr:to>
          <xdr:col>20</xdr:col>
          <xdr:colOff>371475</xdr:colOff>
          <xdr:row>182</xdr:row>
          <xdr:rowOff>19050</xdr:rowOff>
        </xdr:to>
        <xdr:sp macro="" textlink="">
          <xdr:nvSpPr>
            <xdr:cNvPr id="10844" name="Check Box 604" hidden="1">
              <a:extLst>
                <a:ext uri="{63B3BB69-23CF-44E3-9099-C40C66FF867C}">
                  <a14:compatExt spid="_x0000_s10844"/>
                </a:ext>
                <a:ext uri="{FF2B5EF4-FFF2-40B4-BE49-F238E27FC236}">
                  <a16:creationId xmlns:a16="http://schemas.microsoft.com/office/drawing/2014/main" id="{00000000-0008-0000-0000-00005C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9525</xdr:rowOff>
        </xdr:from>
        <xdr:to>
          <xdr:col>2</xdr:col>
          <xdr:colOff>19050</xdr:colOff>
          <xdr:row>183</xdr:row>
          <xdr:rowOff>95250</xdr:rowOff>
        </xdr:to>
        <xdr:sp macro="" textlink="">
          <xdr:nvSpPr>
            <xdr:cNvPr id="10845" name="Check Box 605" hidden="1">
              <a:extLst>
                <a:ext uri="{63B3BB69-23CF-44E3-9099-C40C66FF867C}">
                  <a14:compatExt spid="_x0000_s10845"/>
                </a:ext>
                <a:ext uri="{FF2B5EF4-FFF2-40B4-BE49-F238E27FC236}">
                  <a16:creationId xmlns:a16="http://schemas.microsoft.com/office/drawing/2014/main" id="{00000000-0008-0000-0000-00005D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181</xdr:row>
          <xdr:rowOff>200025</xdr:rowOff>
        </xdr:from>
        <xdr:to>
          <xdr:col>20</xdr:col>
          <xdr:colOff>371475</xdr:colOff>
          <xdr:row>183</xdr:row>
          <xdr:rowOff>76200</xdr:rowOff>
        </xdr:to>
        <xdr:sp macro="" textlink="">
          <xdr:nvSpPr>
            <xdr:cNvPr id="10846" name="Check Box 606" hidden="1">
              <a:extLst>
                <a:ext uri="{63B3BB69-23CF-44E3-9099-C40C66FF867C}">
                  <a14:compatExt spid="_x0000_s10846"/>
                </a:ext>
                <a:ext uri="{FF2B5EF4-FFF2-40B4-BE49-F238E27FC236}">
                  <a16:creationId xmlns:a16="http://schemas.microsoft.com/office/drawing/2014/main" id="{00000000-0008-0000-0000-00005E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57150</xdr:colOff>
          <xdr:row>182</xdr:row>
          <xdr:rowOff>171450</xdr:rowOff>
        </xdr:from>
        <xdr:to>
          <xdr:col>21</xdr:col>
          <xdr:colOff>0</xdr:colOff>
          <xdr:row>184</xdr:row>
          <xdr:rowOff>47625</xdr:rowOff>
        </xdr:to>
        <xdr:sp macro="" textlink="">
          <xdr:nvSpPr>
            <xdr:cNvPr id="10847" name="Check Box 607" hidden="1">
              <a:extLst>
                <a:ext uri="{63B3BB69-23CF-44E3-9099-C40C66FF867C}">
                  <a14:compatExt spid="_x0000_s10847"/>
                </a:ext>
                <a:ext uri="{FF2B5EF4-FFF2-40B4-BE49-F238E27FC236}">
                  <a16:creationId xmlns:a16="http://schemas.microsoft.com/office/drawing/2014/main" id="{00000000-0008-0000-0000-00005F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0</xdr:rowOff>
        </xdr:from>
        <xdr:to>
          <xdr:col>2</xdr:col>
          <xdr:colOff>19050</xdr:colOff>
          <xdr:row>185</xdr:row>
          <xdr:rowOff>95250</xdr:rowOff>
        </xdr:to>
        <xdr:sp macro="" textlink="">
          <xdr:nvSpPr>
            <xdr:cNvPr id="10848" name="Check Box 608" hidden="1">
              <a:extLst>
                <a:ext uri="{63B3BB69-23CF-44E3-9099-C40C66FF867C}">
                  <a14:compatExt spid="_x0000_s10848"/>
                </a:ext>
                <a:ext uri="{FF2B5EF4-FFF2-40B4-BE49-F238E27FC236}">
                  <a16:creationId xmlns:a16="http://schemas.microsoft.com/office/drawing/2014/main" id="{00000000-0008-0000-0000-000060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57150</xdr:colOff>
          <xdr:row>183</xdr:row>
          <xdr:rowOff>180975</xdr:rowOff>
        </xdr:from>
        <xdr:to>
          <xdr:col>21</xdr:col>
          <xdr:colOff>0</xdr:colOff>
          <xdr:row>185</xdr:row>
          <xdr:rowOff>47625</xdr:rowOff>
        </xdr:to>
        <xdr:sp macro="" textlink="">
          <xdr:nvSpPr>
            <xdr:cNvPr id="10849" name="Check Box 609" hidden="1">
              <a:extLst>
                <a:ext uri="{63B3BB69-23CF-44E3-9099-C40C66FF867C}">
                  <a14:compatExt spid="_x0000_s10849"/>
                </a:ext>
                <a:ext uri="{FF2B5EF4-FFF2-40B4-BE49-F238E27FC236}">
                  <a16:creationId xmlns:a16="http://schemas.microsoft.com/office/drawing/2014/main" id="{00000000-0008-0000-0000-000061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57150</xdr:colOff>
          <xdr:row>184</xdr:row>
          <xdr:rowOff>180975</xdr:rowOff>
        </xdr:from>
        <xdr:to>
          <xdr:col>21</xdr:col>
          <xdr:colOff>0</xdr:colOff>
          <xdr:row>186</xdr:row>
          <xdr:rowOff>57150</xdr:rowOff>
        </xdr:to>
        <xdr:sp macro="" textlink="">
          <xdr:nvSpPr>
            <xdr:cNvPr id="10850" name="Check Box 610" hidden="1">
              <a:extLst>
                <a:ext uri="{63B3BB69-23CF-44E3-9099-C40C66FF867C}">
                  <a14:compatExt spid="_x0000_s10850"/>
                </a:ext>
                <a:ext uri="{FF2B5EF4-FFF2-40B4-BE49-F238E27FC236}">
                  <a16:creationId xmlns:a16="http://schemas.microsoft.com/office/drawing/2014/main" id="{00000000-0008-0000-0000-000062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188</xdr:row>
          <xdr:rowOff>190500</xdr:rowOff>
        </xdr:from>
        <xdr:to>
          <xdr:col>2</xdr:col>
          <xdr:colOff>19050</xdr:colOff>
          <xdr:row>190</xdr:row>
          <xdr:rowOff>57150</xdr:rowOff>
        </xdr:to>
        <xdr:sp macro="" textlink="">
          <xdr:nvSpPr>
            <xdr:cNvPr id="10851" name="Check Box 611" hidden="1">
              <a:extLst>
                <a:ext uri="{63B3BB69-23CF-44E3-9099-C40C66FF867C}">
                  <a14:compatExt spid="_x0000_s10851"/>
                </a:ext>
                <a:ext uri="{FF2B5EF4-FFF2-40B4-BE49-F238E27FC236}">
                  <a16:creationId xmlns:a16="http://schemas.microsoft.com/office/drawing/2014/main" id="{00000000-0008-0000-0000-000063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188</xdr:row>
          <xdr:rowOff>190500</xdr:rowOff>
        </xdr:from>
        <xdr:to>
          <xdr:col>20</xdr:col>
          <xdr:colOff>361950</xdr:colOff>
          <xdr:row>190</xdr:row>
          <xdr:rowOff>66675</xdr:rowOff>
        </xdr:to>
        <xdr:sp macro="" textlink="">
          <xdr:nvSpPr>
            <xdr:cNvPr id="10852" name="Check Box 612" hidden="1">
              <a:extLst>
                <a:ext uri="{63B3BB69-23CF-44E3-9099-C40C66FF867C}">
                  <a14:compatExt spid="_x0000_s10852"/>
                </a:ext>
                <a:ext uri="{FF2B5EF4-FFF2-40B4-BE49-F238E27FC236}">
                  <a16:creationId xmlns:a16="http://schemas.microsoft.com/office/drawing/2014/main" id="{00000000-0008-0000-0000-000064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180975</xdr:rowOff>
        </xdr:from>
        <xdr:to>
          <xdr:col>2</xdr:col>
          <xdr:colOff>19050</xdr:colOff>
          <xdr:row>191</xdr:row>
          <xdr:rowOff>38100</xdr:rowOff>
        </xdr:to>
        <xdr:sp macro="" textlink="">
          <xdr:nvSpPr>
            <xdr:cNvPr id="10853" name="Check Box 613" hidden="1">
              <a:extLst>
                <a:ext uri="{63B3BB69-23CF-44E3-9099-C40C66FF867C}">
                  <a14:compatExt spid="_x0000_s10853"/>
                </a:ext>
                <a:ext uri="{FF2B5EF4-FFF2-40B4-BE49-F238E27FC236}">
                  <a16:creationId xmlns:a16="http://schemas.microsoft.com/office/drawing/2014/main" id="{00000000-0008-0000-0000-000065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28575</xdr:colOff>
          <xdr:row>190</xdr:row>
          <xdr:rowOff>180975</xdr:rowOff>
        </xdr:from>
        <xdr:to>
          <xdr:col>20</xdr:col>
          <xdr:colOff>342900</xdr:colOff>
          <xdr:row>192</xdr:row>
          <xdr:rowOff>47625</xdr:rowOff>
        </xdr:to>
        <xdr:sp macro="" textlink="">
          <xdr:nvSpPr>
            <xdr:cNvPr id="10854" name="Check Box 614" hidden="1">
              <a:extLst>
                <a:ext uri="{63B3BB69-23CF-44E3-9099-C40C66FF867C}">
                  <a14:compatExt spid="_x0000_s10854"/>
                </a:ext>
                <a:ext uri="{FF2B5EF4-FFF2-40B4-BE49-F238E27FC236}">
                  <a16:creationId xmlns:a16="http://schemas.microsoft.com/office/drawing/2014/main" id="{00000000-0008-0000-0000-000066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190500</xdr:rowOff>
        </xdr:from>
        <xdr:to>
          <xdr:col>2</xdr:col>
          <xdr:colOff>19050</xdr:colOff>
          <xdr:row>192</xdr:row>
          <xdr:rowOff>38100</xdr:rowOff>
        </xdr:to>
        <xdr:sp macro="" textlink="">
          <xdr:nvSpPr>
            <xdr:cNvPr id="10855" name="Check Box 615" hidden="1">
              <a:extLst>
                <a:ext uri="{63B3BB69-23CF-44E3-9099-C40C66FF867C}">
                  <a14:compatExt spid="_x0000_s10855"/>
                </a:ext>
                <a:ext uri="{FF2B5EF4-FFF2-40B4-BE49-F238E27FC236}">
                  <a16:creationId xmlns:a16="http://schemas.microsoft.com/office/drawing/2014/main" id="{00000000-0008-0000-0000-000067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190500</xdr:rowOff>
        </xdr:from>
        <xdr:to>
          <xdr:col>2</xdr:col>
          <xdr:colOff>19050</xdr:colOff>
          <xdr:row>193</xdr:row>
          <xdr:rowOff>47625</xdr:rowOff>
        </xdr:to>
        <xdr:sp macro="" textlink="">
          <xdr:nvSpPr>
            <xdr:cNvPr id="10857" name="Check Box 617" hidden="1">
              <a:extLst>
                <a:ext uri="{63B3BB69-23CF-44E3-9099-C40C66FF867C}">
                  <a14:compatExt spid="_x0000_s10857"/>
                </a:ext>
                <a:ext uri="{FF2B5EF4-FFF2-40B4-BE49-F238E27FC236}">
                  <a16:creationId xmlns:a16="http://schemas.microsoft.com/office/drawing/2014/main" id="{00000000-0008-0000-0000-000069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229</xdr:row>
          <xdr:rowOff>200025</xdr:rowOff>
        </xdr:from>
        <xdr:to>
          <xdr:col>2</xdr:col>
          <xdr:colOff>28575</xdr:colOff>
          <xdr:row>231</xdr:row>
          <xdr:rowOff>76200</xdr:rowOff>
        </xdr:to>
        <xdr:sp macro="" textlink="">
          <xdr:nvSpPr>
            <xdr:cNvPr id="10859" name="Check Box 619" hidden="1">
              <a:extLst>
                <a:ext uri="{63B3BB69-23CF-44E3-9099-C40C66FF867C}">
                  <a14:compatExt spid="_x0000_s10859"/>
                </a:ext>
                <a:ext uri="{FF2B5EF4-FFF2-40B4-BE49-F238E27FC236}">
                  <a16:creationId xmlns:a16="http://schemas.microsoft.com/office/drawing/2014/main" id="{00000000-0008-0000-0000-00006B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229</xdr:row>
          <xdr:rowOff>190500</xdr:rowOff>
        </xdr:from>
        <xdr:to>
          <xdr:col>20</xdr:col>
          <xdr:colOff>361950</xdr:colOff>
          <xdr:row>231</xdr:row>
          <xdr:rowOff>66675</xdr:rowOff>
        </xdr:to>
        <xdr:sp macro="" textlink="">
          <xdr:nvSpPr>
            <xdr:cNvPr id="10860" name="Check Box 620" hidden="1">
              <a:extLst>
                <a:ext uri="{63B3BB69-23CF-44E3-9099-C40C66FF867C}">
                  <a14:compatExt spid="_x0000_s10860"/>
                </a:ext>
                <a:ext uri="{FF2B5EF4-FFF2-40B4-BE49-F238E27FC236}">
                  <a16:creationId xmlns:a16="http://schemas.microsoft.com/office/drawing/2014/main" id="{00000000-0008-0000-0000-00006C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230</xdr:row>
          <xdr:rowOff>190500</xdr:rowOff>
        </xdr:from>
        <xdr:to>
          <xdr:col>2</xdr:col>
          <xdr:colOff>28575</xdr:colOff>
          <xdr:row>232</xdr:row>
          <xdr:rowOff>57150</xdr:rowOff>
        </xdr:to>
        <xdr:sp macro="" textlink="">
          <xdr:nvSpPr>
            <xdr:cNvPr id="10861" name="Check Box 621" hidden="1">
              <a:extLst>
                <a:ext uri="{63B3BB69-23CF-44E3-9099-C40C66FF867C}">
                  <a14:compatExt spid="_x0000_s10861"/>
                </a:ext>
                <a:ext uri="{FF2B5EF4-FFF2-40B4-BE49-F238E27FC236}">
                  <a16:creationId xmlns:a16="http://schemas.microsoft.com/office/drawing/2014/main" id="{00000000-0008-0000-0000-00006D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230</xdr:row>
          <xdr:rowOff>152400</xdr:rowOff>
        </xdr:from>
        <xdr:to>
          <xdr:col>20</xdr:col>
          <xdr:colOff>361950</xdr:colOff>
          <xdr:row>232</xdr:row>
          <xdr:rowOff>28575</xdr:rowOff>
        </xdr:to>
        <xdr:sp macro="" textlink="">
          <xdr:nvSpPr>
            <xdr:cNvPr id="10862" name="Check Box 622" hidden="1">
              <a:extLst>
                <a:ext uri="{63B3BB69-23CF-44E3-9099-C40C66FF867C}">
                  <a14:compatExt spid="_x0000_s10862"/>
                </a:ext>
                <a:ext uri="{FF2B5EF4-FFF2-40B4-BE49-F238E27FC236}">
                  <a16:creationId xmlns:a16="http://schemas.microsoft.com/office/drawing/2014/main" id="{00000000-0008-0000-0000-00006E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232</xdr:row>
          <xdr:rowOff>57150</xdr:rowOff>
        </xdr:from>
        <xdr:to>
          <xdr:col>2</xdr:col>
          <xdr:colOff>9525</xdr:colOff>
          <xdr:row>233</xdr:row>
          <xdr:rowOff>161925</xdr:rowOff>
        </xdr:to>
        <xdr:sp macro="" textlink="">
          <xdr:nvSpPr>
            <xdr:cNvPr id="10863" name="Check Box 623" hidden="1">
              <a:extLst>
                <a:ext uri="{63B3BB69-23CF-44E3-9099-C40C66FF867C}">
                  <a14:compatExt spid="_x0000_s10863"/>
                </a:ext>
                <a:ext uri="{FF2B5EF4-FFF2-40B4-BE49-F238E27FC236}">
                  <a16:creationId xmlns:a16="http://schemas.microsoft.com/office/drawing/2014/main" id="{00000000-0008-0000-0000-00006F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231</xdr:row>
          <xdr:rowOff>161925</xdr:rowOff>
        </xdr:from>
        <xdr:to>
          <xdr:col>20</xdr:col>
          <xdr:colOff>361950</xdr:colOff>
          <xdr:row>233</xdr:row>
          <xdr:rowOff>28575</xdr:rowOff>
        </xdr:to>
        <xdr:sp macro="" textlink="">
          <xdr:nvSpPr>
            <xdr:cNvPr id="10864" name="Check Box 624" hidden="1">
              <a:extLst>
                <a:ext uri="{63B3BB69-23CF-44E3-9099-C40C66FF867C}">
                  <a14:compatExt spid="_x0000_s10864"/>
                </a:ext>
                <a:ext uri="{FF2B5EF4-FFF2-40B4-BE49-F238E27FC236}">
                  <a16:creationId xmlns:a16="http://schemas.microsoft.com/office/drawing/2014/main" id="{00000000-0008-0000-0000-000070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232</xdr:row>
          <xdr:rowOff>161925</xdr:rowOff>
        </xdr:from>
        <xdr:to>
          <xdr:col>20</xdr:col>
          <xdr:colOff>361950</xdr:colOff>
          <xdr:row>234</xdr:row>
          <xdr:rowOff>28575</xdr:rowOff>
        </xdr:to>
        <xdr:sp macro="" textlink="">
          <xdr:nvSpPr>
            <xdr:cNvPr id="10865" name="Check Box 625" hidden="1">
              <a:extLst>
                <a:ext uri="{63B3BB69-23CF-44E3-9099-C40C66FF867C}">
                  <a14:compatExt spid="_x0000_s10865"/>
                </a:ext>
                <a:ext uri="{FF2B5EF4-FFF2-40B4-BE49-F238E27FC236}">
                  <a16:creationId xmlns:a16="http://schemas.microsoft.com/office/drawing/2014/main" id="{00000000-0008-0000-0000-000071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233</xdr:row>
          <xdr:rowOff>161925</xdr:rowOff>
        </xdr:from>
        <xdr:to>
          <xdr:col>20</xdr:col>
          <xdr:colOff>361950</xdr:colOff>
          <xdr:row>235</xdr:row>
          <xdr:rowOff>38100</xdr:rowOff>
        </xdr:to>
        <xdr:sp macro="" textlink="">
          <xdr:nvSpPr>
            <xdr:cNvPr id="10866" name="Check Box 626" hidden="1">
              <a:extLst>
                <a:ext uri="{63B3BB69-23CF-44E3-9099-C40C66FF867C}">
                  <a14:compatExt spid="_x0000_s10866"/>
                </a:ext>
                <a:ext uri="{FF2B5EF4-FFF2-40B4-BE49-F238E27FC236}">
                  <a16:creationId xmlns:a16="http://schemas.microsoft.com/office/drawing/2014/main" id="{00000000-0008-0000-0000-000072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235</xdr:row>
          <xdr:rowOff>66675</xdr:rowOff>
        </xdr:from>
        <xdr:to>
          <xdr:col>2</xdr:col>
          <xdr:colOff>9525</xdr:colOff>
          <xdr:row>236</xdr:row>
          <xdr:rowOff>171450</xdr:rowOff>
        </xdr:to>
        <xdr:sp macro="" textlink="">
          <xdr:nvSpPr>
            <xdr:cNvPr id="10867" name="Check Box 627" hidden="1">
              <a:extLst>
                <a:ext uri="{63B3BB69-23CF-44E3-9099-C40C66FF867C}">
                  <a14:compatExt spid="_x0000_s10867"/>
                </a:ext>
                <a:ext uri="{FF2B5EF4-FFF2-40B4-BE49-F238E27FC236}">
                  <a16:creationId xmlns:a16="http://schemas.microsoft.com/office/drawing/2014/main" id="{00000000-0008-0000-0000-000073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234</xdr:row>
          <xdr:rowOff>161925</xdr:rowOff>
        </xdr:from>
        <xdr:to>
          <xdr:col>20</xdr:col>
          <xdr:colOff>361950</xdr:colOff>
          <xdr:row>236</xdr:row>
          <xdr:rowOff>38100</xdr:rowOff>
        </xdr:to>
        <xdr:sp macro="" textlink="">
          <xdr:nvSpPr>
            <xdr:cNvPr id="10868" name="Check Box 628" hidden="1">
              <a:extLst>
                <a:ext uri="{63B3BB69-23CF-44E3-9099-C40C66FF867C}">
                  <a14:compatExt spid="_x0000_s10868"/>
                </a:ext>
                <a:ext uri="{FF2B5EF4-FFF2-40B4-BE49-F238E27FC236}">
                  <a16:creationId xmlns:a16="http://schemas.microsoft.com/office/drawing/2014/main" id="{00000000-0008-0000-0000-000074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235</xdr:row>
          <xdr:rowOff>171450</xdr:rowOff>
        </xdr:from>
        <xdr:to>
          <xdr:col>20</xdr:col>
          <xdr:colOff>361950</xdr:colOff>
          <xdr:row>237</xdr:row>
          <xdr:rowOff>38100</xdr:rowOff>
        </xdr:to>
        <xdr:sp macro="" textlink="">
          <xdr:nvSpPr>
            <xdr:cNvPr id="10869" name="Check Box 629" hidden="1">
              <a:extLst>
                <a:ext uri="{63B3BB69-23CF-44E3-9099-C40C66FF867C}">
                  <a14:compatExt spid="_x0000_s10869"/>
                </a:ext>
                <a:ext uri="{FF2B5EF4-FFF2-40B4-BE49-F238E27FC236}">
                  <a16:creationId xmlns:a16="http://schemas.microsoft.com/office/drawing/2014/main" id="{00000000-0008-0000-0000-000075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236</xdr:row>
          <xdr:rowOff>171450</xdr:rowOff>
        </xdr:from>
        <xdr:to>
          <xdr:col>20</xdr:col>
          <xdr:colOff>361950</xdr:colOff>
          <xdr:row>238</xdr:row>
          <xdr:rowOff>47625</xdr:rowOff>
        </xdr:to>
        <xdr:sp macro="" textlink="">
          <xdr:nvSpPr>
            <xdr:cNvPr id="10870" name="Check Box 630" hidden="1">
              <a:extLst>
                <a:ext uri="{63B3BB69-23CF-44E3-9099-C40C66FF867C}">
                  <a14:compatExt spid="_x0000_s10870"/>
                </a:ext>
                <a:ext uri="{FF2B5EF4-FFF2-40B4-BE49-F238E27FC236}">
                  <a16:creationId xmlns:a16="http://schemas.microsoft.com/office/drawing/2014/main" id="{00000000-0008-0000-0000-000076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237</xdr:row>
          <xdr:rowOff>171450</xdr:rowOff>
        </xdr:from>
        <xdr:to>
          <xdr:col>20</xdr:col>
          <xdr:colOff>361950</xdr:colOff>
          <xdr:row>239</xdr:row>
          <xdr:rowOff>47625</xdr:rowOff>
        </xdr:to>
        <xdr:sp macro="" textlink="">
          <xdr:nvSpPr>
            <xdr:cNvPr id="10871" name="Check Box 631" hidden="1">
              <a:extLst>
                <a:ext uri="{63B3BB69-23CF-44E3-9099-C40C66FF867C}">
                  <a14:compatExt spid="_x0000_s10871"/>
                </a:ext>
                <a:ext uri="{FF2B5EF4-FFF2-40B4-BE49-F238E27FC236}">
                  <a16:creationId xmlns:a16="http://schemas.microsoft.com/office/drawing/2014/main" id="{00000000-0008-0000-0000-000077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239</xdr:row>
          <xdr:rowOff>76200</xdr:rowOff>
        </xdr:from>
        <xdr:to>
          <xdr:col>2</xdr:col>
          <xdr:colOff>9525</xdr:colOff>
          <xdr:row>240</xdr:row>
          <xdr:rowOff>180975</xdr:rowOff>
        </xdr:to>
        <xdr:sp macro="" textlink="">
          <xdr:nvSpPr>
            <xdr:cNvPr id="10872" name="Check Box 632" hidden="1">
              <a:extLst>
                <a:ext uri="{63B3BB69-23CF-44E3-9099-C40C66FF867C}">
                  <a14:compatExt spid="_x0000_s10872"/>
                </a:ext>
                <a:ext uri="{FF2B5EF4-FFF2-40B4-BE49-F238E27FC236}">
                  <a16:creationId xmlns:a16="http://schemas.microsoft.com/office/drawing/2014/main" id="{00000000-0008-0000-0000-000078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238</xdr:row>
          <xdr:rowOff>180975</xdr:rowOff>
        </xdr:from>
        <xdr:to>
          <xdr:col>20</xdr:col>
          <xdr:colOff>361950</xdr:colOff>
          <xdr:row>240</xdr:row>
          <xdr:rowOff>47625</xdr:rowOff>
        </xdr:to>
        <xdr:sp macro="" textlink="">
          <xdr:nvSpPr>
            <xdr:cNvPr id="10873" name="Check Box 633" hidden="1">
              <a:extLst>
                <a:ext uri="{63B3BB69-23CF-44E3-9099-C40C66FF867C}">
                  <a14:compatExt spid="_x0000_s10873"/>
                </a:ext>
                <a:ext uri="{FF2B5EF4-FFF2-40B4-BE49-F238E27FC236}">
                  <a16:creationId xmlns:a16="http://schemas.microsoft.com/office/drawing/2014/main" id="{00000000-0008-0000-0000-000079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239</xdr:row>
          <xdr:rowOff>180975</xdr:rowOff>
        </xdr:from>
        <xdr:to>
          <xdr:col>20</xdr:col>
          <xdr:colOff>361950</xdr:colOff>
          <xdr:row>241</xdr:row>
          <xdr:rowOff>47625</xdr:rowOff>
        </xdr:to>
        <xdr:sp macro="" textlink="">
          <xdr:nvSpPr>
            <xdr:cNvPr id="10874" name="Check Box 634" hidden="1">
              <a:extLst>
                <a:ext uri="{63B3BB69-23CF-44E3-9099-C40C66FF867C}">
                  <a14:compatExt spid="_x0000_s10874"/>
                </a:ext>
                <a:ext uri="{FF2B5EF4-FFF2-40B4-BE49-F238E27FC236}">
                  <a16:creationId xmlns:a16="http://schemas.microsoft.com/office/drawing/2014/main" id="{00000000-0008-0000-0000-00007A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241</xdr:row>
          <xdr:rowOff>76200</xdr:rowOff>
        </xdr:from>
        <xdr:to>
          <xdr:col>2</xdr:col>
          <xdr:colOff>9525</xdr:colOff>
          <xdr:row>242</xdr:row>
          <xdr:rowOff>190500</xdr:rowOff>
        </xdr:to>
        <xdr:sp macro="" textlink="">
          <xdr:nvSpPr>
            <xdr:cNvPr id="10875" name="Check Box 635" hidden="1">
              <a:extLst>
                <a:ext uri="{63B3BB69-23CF-44E3-9099-C40C66FF867C}">
                  <a14:compatExt spid="_x0000_s10875"/>
                </a:ext>
                <a:ext uri="{FF2B5EF4-FFF2-40B4-BE49-F238E27FC236}">
                  <a16:creationId xmlns:a16="http://schemas.microsoft.com/office/drawing/2014/main" id="{00000000-0008-0000-0000-00007B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240</xdr:row>
          <xdr:rowOff>180975</xdr:rowOff>
        </xdr:from>
        <xdr:to>
          <xdr:col>20</xdr:col>
          <xdr:colOff>361950</xdr:colOff>
          <xdr:row>242</xdr:row>
          <xdr:rowOff>57150</xdr:rowOff>
        </xdr:to>
        <xdr:sp macro="" textlink="">
          <xdr:nvSpPr>
            <xdr:cNvPr id="10876" name="Check Box 636" hidden="1">
              <a:extLst>
                <a:ext uri="{63B3BB69-23CF-44E3-9099-C40C66FF867C}">
                  <a14:compatExt spid="_x0000_s10876"/>
                </a:ext>
                <a:ext uri="{FF2B5EF4-FFF2-40B4-BE49-F238E27FC236}">
                  <a16:creationId xmlns:a16="http://schemas.microsoft.com/office/drawing/2014/main" id="{00000000-0008-0000-0000-00007C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241</xdr:row>
          <xdr:rowOff>180975</xdr:rowOff>
        </xdr:from>
        <xdr:to>
          <xdr:col>20</xdr:col>
          <xdr:colOff>361950</xdr:colOff>
          <xdr:row>243</xdr:row>
          <xdr:rowOff>57150</xdr:rowOff>
        </xdr:to>
        <xdr:sp macro="" textlink="">
          <xdr:nvSpPr>
            <xdr:cNvPr id="10877" name="Check Box 637" hidden="1">
              <a:extLst>
                <a:ext uri="{63B3BB69-23CF-44E3-9099-C40C66FF867C}">
                  <a14:compatExt spid="_x0000_s10877"/>
                </a:ext>
                <a:ext uri="{FF2B5EF4-FFF2-40B4-BE49-F238E27FC236}">
                  <a16:creationId xmlns:a16="http://schemas.microsoft.com/office/drawing/2014/main" id="{00000000-0008-0000-0000-00007D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243</xdr:row>
          <xdr:rowOff>85725</xdr:rowOff>
        </xdr:from>
        <xdr:to>
          <xdr:col>2</xdr:col>
          <xdr:colOff>9525</xdr:colOff>
          <xdr:row>244</xdr:row>
          <xdr:rowOff>180975</xdr:rowOff>
        </xdr:to>
        <xdr:sp macro="" textlink="">
          <xdr:nvSpPr>
            <xdr:cNvPr id="10878" name="Check Box 638" hidden="1">
              <a:extLst>
                <a:ext uri="{63B3BB69-23CF-44E3-9099-C40C66FF867C}">
                  <a14:compatExt spid="_x0000_s10878"/>
                </a:ext>
                <a:ext uri="{FF2B5EF4-FFF2-40B4-BE49-F238E27FC236}">
                  <a16:creationId xmlns:a16="http://schemas.microsoft.com/office/drawing/2014/main" id="{00000000-0008-0000-0000-00007E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242</xdr:row>
          <xdr:rowOff>190500</xdr:rowOff>
        </xdr:from>
        <xdr:to>
          <xdr:col>20</xdr:col>
          <xdr:colOff>361950</xdr:colOff>
          <xdr:row>244</xdr:row>
          <xdr:rowOff>57150</xdr:rowOff>
        </xdr:to>
        <xdr:sp macro="" textlink="">
          <xdr:nvSpPr>
            <xdr:cNvPr id="10879" name="Check Box 639" hidden="1">
              <a:extLst>
                <a:ext uri="{63B3BB69-23CF-44E3-9099-C40C66FF867C}">
                  <a14:compatExt spid="_x0000_s10879"/>
                </a:ext>
                <a:ext uri="{FF2B5EF4-FFF2-40B4-BE49-F238E27FC236}">
                  <a16:creationId xmlns:a16="http://schemas.microsoft.com/office/drawing/2014/main" id="{00000000-0008-0000-0000-00007F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243</xdr:row>
          <xdr:rowOff>180975</xdr:rowOff>
        </xdr:from>
        <xdr:to>
          <xdr:col>20</xdr:col>
          <xdr:colOff>361950</xdr:colOff>
          <xdr:row>245</xdr:row>
          <xdr:rowOff>57150</xdr:rowOff>
        </xdr:to>
        <xdr:sp macro="" textlink="">
          <xdr:nvSpPr>
            <xdr:cNvPr id="10880" name="Check Box 640" hidden="1">
              <a:extLst>
                <a:ext uri="{63B3BB69-23CF-44E3-9099-C40C66FF867C}">
                  <a14:compatExt spid="_x0000_s10880"/>
                </a:ext>
                <a:ext uri="{FF2B5EF4-FFF2-40B4-BE49-F238E27FC236}">
                  <a16:creationId xmlns:a16="http://schemas.microsoft.com/office/drawing/2014/main" id="{00000000-0008-0000-0000-000080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76200</xdr:colOff>
          <xdr:row>250</xdr:row>
          <xdr:rowOff>76200</xdr:rowOff>
        </xdr:from>
        <xdr:to>
          <xdr:col>28</xdr:col>
          <xdr:colOff>19050</xdr:colOff>
          <xdr:row>251</xdr:row>
          <xdr:rowOff>9525</xdr:rowOff>
        </xdr:to>
        <xdr:sp macro="" textlink="">
          <xdr:nvSpPr>
            <xdr:cNvPr id="10881" name="Check Box 641" hidden="1">
              <a:extLst>
                <a:ext uri="{63B3BB69-23CF-44E3-9099-C40C66FF867C}">
                  <a14:compatExt spid="_x0000_s10881"/>
                </a:ext>
                <a:ext uri="{FF2B5EF4-FFF2-40B4-BE49-F238E27FC236}">
                  <a16:creationId xmlns:a16="http://schemas.microsoft.com/office/drawing/2014/main" id="{00000000-0008-0000-0000-000081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85725</xdr:colOff>
          <xdr:row>250</xdr:row>
          <xdr:rowOff>400050</xdr:rowOff>
        </xdr:from>
        <xdr:to>
          <xdr:col>28</xdr:col>
          <xdr:colOff>28575</xdr:colOff>
          <xdr:row>252</xdr:row>
          <xdr:rowOff>104775</xdr:rowOff>
        </xdr:to>
        <xdr:sp macro="" textlink="">
          <xdr:nvSpPr>
            <xdr:cNvPr id="10882" name="Check Box 642" hidden="1">
              <a:extLst>
                <a:ext uri="{63B3BB69-23CF-44E3-9099-C40C66FF867C}">
                  <a14:compatExt spid="_x0000_s10882"/>
                </a:ext>
                <a:ext uri="{FF2B5EF4-FFF2-40B4-BE49-F238E27FC236}">
                  <a16:creationId xmlns:a16="http://schemas.microsoft.com/office/drawing/2014/main" id="{00000000-0008-0000-0000-000082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85725</xdr:colOff>
          <xdr:row>251</xdr:row>
          <xdr:rowOff>161925</xdr:rowOff>
        </xdr:from>
        <xdr:to>
          <xdr:col>28</xdr:col>
          <xdr:colOff>28575</xdr:colOff>
          <xdr:row>253</xdr:row>
          <xdr:rowOff>28575</xdr:rowOff>
        </xdr:to>
        <xdr:sp macro="" textlink="">
          <xdr:nvSpPr>
            <xdr:cNvPr id="10883" name="Check Box 643" hidden="1">
              <a:extLst>
                <a:ext uri="{63B3BB69-23CF-44E3-9099-C40C66FF867C}">
                  <a14:compatExt spid="_x0000_s10883"/>
                </a:ext>
                <a:ext uri="{FF2B5EF4-FFF2-40B4-BE49-F238E27FC236}">
                  <a16:creationId xmlns:a16="http://schemas.microsoft.com/office/drawing/2014/main" id="{00000000-0008-0000-0000-000083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85725</xdr:colOff>
          <xdr:row>252</xdr:row>
          <xdr:rowOff>161925</xdr:rowOff>
        </xdr:from>
        <xdr:to>
          <xdr:col>28</xdr:col>
          <xdr:colOff>28575</xdr:colOff>
          <xdr:row>254</xdr:row>
          <xdr:rowOff>28575</xdr:rowOff>
        </xdr:to>
        <xdr:sp macro="" textlink="">
          <xdr:nvSpPr>
            <xdr:cNvPr id="10884" name="Check Box 644" hidden="1">
              <a:extLst>
                <a:ext uri="{63B3BB69-23CF-44E3-9099-C40C66FF867C}">
                  <a14:compatExt spid="_x0000_s10884"/>
                </a:ext>
                <a:ext uri="{FF2B5EF4-FFF2-40B4-BE49-F238E27FC236}">
                  <a16:creationId xmlns:a16="http://schemas.microsoft.com/office/drawing/2014/main" id="{00000000-0008-0000-0000-000084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85725</xdr:colOff>
          <xdr:row>253</xdr:row>
          <xdr:rowOff>152400</xdr:rowOff>
        </xdr:from>
        <xdr:to>
          <xdr:col>28</xdr:col>
          <xdr:colOff>28575</xdr:colOff>
          <xdr:row>255</xdr:row>
          <xdr:rowOff>28575</xdr:rowOff>
        </xdr:to>
        <xdr:sp macro="" textlink="">
          <xdr:nvSpPr>
            <xdr:cNvPr id="10886" name="Check Box 646" hidden="1">
              <a:extLst>
                <a:ext uri="{63B3BB69-23CF-44E3-9099-C40C66FF867C}">
                  <a14:compatExt spid="_x0000_s10886"/>
                </a:ext>
                <a:ext uri="{FF2B5EF4-FFF2-40B4-BE49-F238E27FC236}">
                  <a16:creationId xmlns:a16="http://schemas.microsoft.com/office/drawing/2014/main" id="{00000000-0008-0000-0000-000086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85725</xdr:colOff>
          <xdr:row>254</xdr:row>
          <xdr:rowOff>161925</xdr:rowOff>
        </xdr:from>
        <xdr:to>
          <xdr:col>28</xdr:col>
          <xdr:colOff>28575</xdr:colOff>
          <xdr:row>256</xdr:row>
          <xdr:rowOff>28575</xdr:rowOff>
        </xdr:to>
        <xdr:sp macro="" textlink="">
          <xdr:nvSpPr>
            <xdr:cNvPr id="10887" name="Check Box 647" hidden="1">
              <a:extLst>
                <a:ext uri="{63B3BB69-23CF-44E3-9099-C40C66FF867C}">
                  <a14:compatExt spid="_x0000_s10887"/>
                </a:ext>
                <a:ext uri="{FF2B5EF4-FFF2-40B4-BE49-F238E27FC236}">
                  <a16:creationId xmlns:a16="http://schemas.microsoft.com/office/drawing/2014/main" id="{00000000-0008-0000-0000-000087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85725</xdr:colOff>
          <xdr:row>255</xdr:row>
          <xdr:rowOff>209550</xdr:rowOff>
        </xdr:from>
        <xdr:to>
          <xdr:col>28</xdr:col>
          <xdr:colOff>28575</xdr:colOff>
          <xdr:row>256</xdr:row>
          <xdr:rowOff>304800</xdr:rowOff>
        </xdr:to>
        <xdr:sp macro="" textlink="">
          <xdr:nvSpPr>
            <xdr:cNvPr id="10888" name="Check Box 648" hidden="1">
              <a:extLst>
                <a:ext uri="{63B3BB69-23CF-44E3-9099-C40C66FF867C}">
                  <a14:compatExt spid="_x0000_s10888"/>
                </a:ext>
                <a:ext uri="{FF2B5EF4-FFF2-40B4-BE49-F238E27FC236}">
                  <a16:creationId xmlns:a16="http://schemas.microsoft.com/office/drawing/2014/main" id="{00000000-0008-0000-0000-000088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85725</xdr:colOff>
          <xdr:row>257</xdr:row>
          <xdr:rowOff>180975</xdr:rowOff>
        </xdr:from>
        <xdr:to>
          <xdr:col>28</xdr:col>
          <xdr:colOff>28575</xdr:colOff>
          <xdr:row>258</xdr:row>
          <xdr:rowOff>47625</xdr:rowOff>
        </xdr:to>
        <xdr:sp macro="" textlink="">
          <xdr:nvSpPr>
            <xdr:cNvPr id="10889" name="Check Box 649" hidden="1">
              <a:extLst>
                <a:ext uri="{63B3BB69-23CF-44E3-9099-C40C66FF867C}">
                  <a14:compatExt spid="_x0000_s10889"/>
                </a:ext>
                <a:ext uri="{FF2B5EF4-FFF2-40B4-BE49-F238E27FC236}">
                  <a16:creationId xmlns:a16="http://schemas.microsoft.com/office/drawing/2014/main" id="{00000000-0008-0000-0000-000089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85725</xdr:colOff>
          <xdr:row>258</xdr:row>
          <xdr:rowOff>19050</xdr:rowOff>
        </xdr:from>
        <xdr:to>
          <xdr:col>27</xdr:col>
          <xdr:colOff>333375</xdr:colOff>
          <xdr:row>258</xdr:row>
          <xdr:rowOff>276225</xdr:rowOff>
        </xdr:to>
        <xdr:sp macro="" textlink="">
          <xdr:nvSpPr>
            <xdr:cNvPr id="10890" name="Check Box 650" hidden="1">
              <a:extLst>
                <a:ext uri="{63B3BB69-23CF-44E3-9099-C40C66FF867C}">
                  <a14:compatExt spid="_x0000_s10890"/>
                </a:ext>
                <a:ext uri="{FF2B5EF4-FFF2-40B4-BE49-F238E27FC236}">
                  <a16:creationId xmlns:a16="http://schemas.microsoft.com/office/drawing/2014/main" id="{00000000-0008-0000-0000-00008A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66675</xdr:colOff>
          <xdr:row>259</xdr:row>
          <xdr:rowOff>0</xdr:rowOff>
        </xdr:from>
        <xdr:to>
          <xdr:col>27</xdr:col>
          <xdr:colOff>295275</xdr:colOff>
          <xdr:row>259</xdr:row>
          <xdr:rowOff>247650</xdr:rowOff>
        </xdr:to>
        <xdr:sp macro="" textlink="">
          <xdr:nvSpPr>
            <xdr:cNvPr id="10891" name="Check Box 651" hidden="1">
              <a:extLst>
                <a:ext uri="{63B3BB69-23CF-44E3-9099-C40C66FF867C}">
                  <a14:compatExt spid="_x0000_s10891"/>
                </a:ext>
                <a:ext uri="{FF2B5EF4-FFF2-40B4-BE49-F238E27FC236}">
                  <a16:creationId xmlns:a16="http://schemas.microsoft.com/office/drawing/2014/main" id="{00000000-0008-0000-0000-00008B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66675</xdr:colOff>
          <xdr:row>259</xdr:row>
          <xdr:rowOff>428625</xdr:rowOff>
        </xdr:from>
        <xdr:to>
          <xdr:col>27</xdr:col>
          <xdr:colOff>333375</xdr:colOff>
          <xdr:row>261</xdr:row>
          <xdr:rowOff>38100</xdr:rowOff>
        </xdr:to>
        <xdr:sp macro="" textlink="">
          <xdr:nvSpPr>
            <xdr:cNvPr id="10892" name="Check Box 652" hidden="1">
              <a:extLst>
                <a:ext uri="{63B3BB69-23CF-44E3-9099-C40C66FF867C}">
                  <a14:compatExt spid="_x0000_s10892"/>
                </a:ext>
                <a:ext uri="{FF2B5EF4-FFF2-40B4-BE49-F238E27FC236}">
                  <a16:creationId xmlns:a16="http://schemas.microsoft.com/office/drawing/2014/main" id="{00000000-0008-0000-0000-00008C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66675</xdr:colOff>
          <xdr:row>260</xdr:row>
          <xdr:rowOff>180975</xdr:rowOff>
        </xdr:from>
        <xdr:to>
          <xdr:col>27</xdr:col>
          <xdr:colOff>333375</xdr:colOff>
          <xdr:row>262</xdr:row>
          <xdr:rowOff>9525</xdr:rowOff>
        </xdr:to>
        <xdr:sp macro="" textlink="">
          <xdr:nvSpPr>
            <xdr:cNvPr id="10893" name="Check Box 653" hidden="1">
              <a:extLst>
                <a:ext uri="{63B3BB69-23CF-44E3-9099-C40C66FF867C}">
                  <a14:compatExt spid="_x0000_s10893"/>
                </a:ext>
                <a:ext uri="{FF2B5EF4-FFF2-40B4-BE49-F238E27FC236}">
                  <a16:creationId xmlns:a16="http://schemas.microsoft.com/office/drawing/2014/main" id="{00000000-0008-0000-0000-00008D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66675</xdr:colOff>
          <xdr:row>261</xdr:row>
          <xdr:rowOff>200025</xdr:rowOff>
        </xdr:from>
        <xdr:to>
          <xdr:col>27</xdr:col>
          <xdr:colOff>285750</xdr:colOff>
          <xdr:row>263</xdr:row>
          <xdr:rowOff>9525</xdr:rowOff>
        </xdr:to>
        <xdr:sp macro="" textlink="">
          <xdr:nvSpPr>
            <xdr:cNvPr id="10894" name="Check Box 654" hidden="1">
              <a:extLst>
                <a:ext uri="{63B3BB69-23CF-44E3-9099-C40C66FF867C}">
                  <a14:compatExt spid="_x0000_s10894"/>
                </a:ext>
                <a:ext uri="{FF2B5EF4-FFF2-40B4-BE49-F238E27FC236}">
                  <a16:creationId xmlns:a16="http://schemas.microsoft.com/office/drawing/2014/main" id="{00000000-0008-0000-0000-00008E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66675</xdr:colOff>
          <xdr:row>262</xdr:row>
          <xdr:rowOff>190500</xdr:rowOff>
        </xdr:from>
        <xdr:to>
          <xdr:col>27</xdr:col>
          <xdr:colOff>323850</xdr:colOff>
          <xdr:row>264</xdr:row>
          <xdr:rowOff>0</xdr:rowOff>
        </xdr:to>
        <xdr:sp macro="" textlink="">
          <xdr:nvSpPr>
            <xdr:cNvPr id="10895" name="Check Box 655" hidden="1">
              <a:extLst>
                <a:ext uri="{63B3BB69-23CF-44E3-9099-C40C66FF867C}">
                  <a14:compatExt spid="_x0000_s10895"/>
                </a:ext>
                <a:ext uri="{FF2B5EF4-FFF2-40B4-BE49-F238E27FC236}">
                  <a16:creationId xmlns:a16="http://schemas.microsoft.com/office/drawing/2014/main" id="{00000000-0008-0000-0000-00008F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66675</xdr:colOff>
          <xdr:row>263</xdr:row>
          <xdr:rowOff>219075</xdr:rowOff>
        </xdr:from>
        <xdr:to>
          <xdr:col>27</xdr:col>
          <xdr:colOff>304800</xdr:colOff>
          <xdr:row>265</xdr:row>
          <xdr:rowOff>9525</xdr:rowOff>
        </xdr:to>
        <xdr:sp macro="" textlink="">
          <xdr:nvSpPr>
            <xdr:cNvPr id="10896" name="Check Box 656" hidden="1">
              <a:extLst>
                <a:ext uri="{63B3BB69-23CF-44E3-9099-C40C66FF867C}">
                  <a14:compatExt spid="_x0000_s10896"/>
                </a:ext>
                <a:ext uri="{FF2B5EF4-FFF2-40B4-BE49-F238E27FC236}">
                  <a16:creationId xmlns:a16="http://schemas.microsoft.com/office/drawing/2014/main" id="{00000000-0008-0000-0000-000090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66675</xdr:colOff>
          <xdr:row>264</xdr:row>
          <xdr:rowOff>219075</xdr:rowOff>
        </xdr:from>
        <xdr:to>
          <xdr:col>27</xdr:col>
          <xdr:colOff>333375</xdr:colOff>
          <xdr:row>266</xdr:row>
          <xdr:rowOff>76200</xdr:rowOff>
        </xdr:to>
        <xdr:sp macro="" textlink="">
          <xdr:nvSpPr>
            <xdr:cNvPr id="10897" name="Check Box 657" hidden="1">
              <a:extLst>
                <a:ext uri="{63B3BB69-23CF-44E3-9099-C40C66FF867C}">
                  <a14:compatExt spid="_x0000_s10897"/>
                </a:ext>
                <a:ext uri="{FF2B5EF4-FFF2-40B4-BE49-F238E27FC236}">
                  <a16:creationId xmlns:a16="http://schemas.microsoft.com/office/drawing/2014/main" id="{00000000-0008-0000-0000-000091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66675</xdr:colOff>
          <xdr:row>265</xdr:row>
          <xdr:rowOff>219075</xdr:rowOff>
        </xdr:from>
        <xdr:to>
          <xdr:col>27</xdr:col>
          <xdr:colOff>295275</xdr:colOff>
          <xdr:row>267</xdr:row>
          <xdr:rowOff>28575</xdr:rowOff>
        </xdr:to>
        <xdr:sp macro="" textlink="">
          <xdr:nvSpPr>
            <xdr:cNvPr id="10898" name="Check Box 658" hidden="1">
              <a:extLst>
                <a:ext uri="{63B3BB69-23CF-44E3-9099-C40C66FF867C}">
                  <a14:compatExt spid="_x0000_s10898"/>
                </a:ext>
                <a:ext uri="{FF2B5EF4-FFF2-40B4-BE49-F238E27FC236}">
                  <a16:creationId xmlns:a16="http://schemas.microsoft.com/office/drawing/2014/main" id="{00000000-0008-0000-0000-000092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66675</xdr:colOff>
          <xdr:row>266</xdr:row>
          <xdr:rowOff>209550</xdr:rowOff>
        </xdr:from>
        <xdr:to>
          <xdr:col>27</xdr:col>
          <xdr:colOff>314325</xdr:colOff>
          <xdr:row>268</xdr:row>
          <xdr:rowOff>47625</xdr:rowOff>
        </xdr:to>
        <xdr:sp macro="" textlink="">
          <xdr:nvSpPr>
            <xdr:cNvPr id="10899" name="Check Box 659" hidden="1">
              <a:extLst>
                <a:ext uri="{63B3BB69-23CF-44E3-9099-C40C66FF867C}">
                  <a14:compatExt spid="_x0000_s10899"/>
                </a:ext>
                <a:ext uri="{FF2B5EF4-FFF2-40B4-BE49-F238E27FC236}">
                  <a16:creationId xmlns:a16="http://schemas.microsoft.com/office/drawing/2014/main" id="{00000000-0008-0000-0000-000093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66675</xdr:colOff>
          <xdr:row>267</xdr:row>
          <xdr:rowOff>219075</xdr:rowOff>
        </xdr:from>
        <xdr:to>
          <xdr:col>27</xdr:col>
          <xdr:colOff>304800</xdr:colOff>
          <xdr:row>269</xdr:row>
          <xdr:rowOff>38100</xdr:rowOff>
        </xdr:to>
        <xdr:sp macro="" textlink="">
          <xdr:nvSpPr>
            <xdr:cNvPr id="10900" name="Check Box 660" hidden="1">
              <a:extLst>
                <a:ext uri="{63B3BB69-23CF-44E3-9099-C40C66FF867C}">
                  <a14:compatExt spid="_x0000_s10900"/>
                </a:ext>
                <a:ext uri="{FF2B5EF4-FFF2-40B4-BE49-F238E27FC236}">
                  <a16:creationId xmlns:a16="http://schemas.microsoft.com/office/drawing/2014/main" id="{00000000-0008-0000-0000-000094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66675</xdr:colOff>
          <xdr:row>269</xdr:row>
          <xdr:rowOff>0</xdr:rowOff>
        </xdr:from>
        <xdr:to>
          <xdr:col>27</xdr:col>
          <xdr:colOff>333375</xdr:colOff>
          <xdr:row>270</xdr:row>
          <xdr:rowOff>57150</xdr:rowOff>
        </xdr:to>
        <xdr:sp macro="" textlink="">
          <xdr:nvSpPr>
            <xdr:cNvPr id="10901" name="Check Box 661" hidden="1">
              <a:extLst>
                <a:ext uri="{63B3BB69-23CF-44E3-9099-C40C66FF867C}">
                  <a14:compatExt spid="_x0000_s10901"/>
                </a:ext>
                <a:ext uri="{FF2B5EF4-FFF2-40B4-BE49-F238E27FC236}">
                  <a16:creationId xmlns:a16="http://schemas.microsoft.com/office/drawing/2014/main" id="{00000000-0008-0000-0000-000095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57150</xdr:colOff>
          <xdr:row>269</xdr:row>
          <xdr:rowOff>190500</xdr:rowOff>
        </xdr:from>
        <xdr:to>
          <xdr:col>28</xdr:col>
          <xdr:colOff>19050</xdr:colOff>
          <xdr:row>271</xdr:row>
          <xdr:rowOff>76200</xdr:rowOff>
        </xdr:to>
        <xdr:sp macro="" textlink="">
          <xdr:nvSpPr>
            <xdr:cNvPr id="10902" name="Check Box 662" hidden="1">
              <a:extLst>
                <a:ext uri="{63B3BB69-23CF-44E3-9099-C40C66FF867C}">
                  <a14:compatExt spid="_x0000_s10902"/>
                </a:ext>
                <a:ext uri="{FF2B5EF4-FFF2-40B4-BE49-F238E27FC236}">
                  <a16:creationId xmlns:a16="http://schemas.microsoft.com/office/drawing/2014/main" id="{00000000-0008-0000-0000-000096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57150</xdr:colOff>
          <xdr:row>270</xdr:row>
          <xdr:rowOff>190500</xdr:rowOff>
        </xdr:from>
        <xdr:to>
          <xdr:col>28</xdr:col>
          <xdr:colOff>19050</xdr:colOff>
          <xdr:row>272</xdr:row>
          <xdr:rowOff>66675</xdr:rowOff>
        </xdr:to>
        <xdr:sp macro="" textlink="">
          <xdr:nvSpPr>
            <xdr:cNvPr id="10903" name="Check Box 663" hidden="1">
              <a:extLst>
                <a:ext uri="{63B3BB69-23CF-44E3-9099-C40C66FF867C}">
                  <a14:compatExt spid="_x0000_s10903"/>
                </a:ext>
                <a:ext uri="{FF2B5EF4-FFF2-40B4-BE49-F238E27FC236}">
                  <a16:creationId xmlns:a16="http://schemas.microsoft.com/office/drawing/2014/main" id="{00000000-0008-0000-0000-000097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57150</xdr:colOff>
          <xdr:row>271</xdr:row>
          <xdr:rowOff>200025</xdr:rowOff>
        </xdr:from>
        <xdr:to>
          <xdr:col>28</xdr:col>
          <xdr:colOff>19050</xdr:colOff>
          <xdr:row>273</xdr:row>
          <xdr:rowOff>66675</xdr:rowOff>
        </xdr:to>
        <xdr:sp macro="" textlink="">
          <xdr:nvSpPr>
            <xdr:cNvPr id="10904" name="Check Box 664" hidden="1">
              <a:extLst>
                <a:ext uri="{63B3BB69-23CF-44E3-9099-C40C66FF867C}">
                  <a14:compatExt spid="_x0000_s10904"/>
                </a:ext>
                <a:ext uri="{FF2B5EF4-FFF2-40B4-BE49-F238E27FC236}">
                  <a16:creationId xmlns:a16="http://schemas.microsoft.com/office/drawing/2014/main" id="{00000000-0008-0000-0000-000098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57150</xdr:colOff>
          <xdr:row>272</xdr:row>
          <xdr:rowOff>200025</xdr:rowOff>
        </xdr:from>
        <xdr:to>
          <xdr:col>28</xdr:col>
          <xdr:colOff>19050</xdr:colOff>
          <xdr:row>274</xdr:row>
          <xdr:rowOff>66675</xdr:rowOff>
        </xdr:to>
        <xdr:sp macro="" textlink="">
          <xdr:nvSpPr>
            <xdr:cNvPr id="10905" name="Check Box 665" hidden="1">
              <a:extLst>
                <a:ext uri="{63B3BB69-23CF-44E3-9099-C40C66FF867C}">
                  <a14:compatExt spid="_x0000_s10905"/>
                </a:ext>
                <a:ext uri="{FF2B5EF4-FFF2-40B4-BE49-F238E27FC236}">
                  <a16:creationId xmlns:a16="http://schemas.microsoft.com/office/drawing/2014/main" id="{00000000-0008-0000-0000-000099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57150</xdr:colOff>
          <xdr:row>273</xdr:row>
          <xdr:rowOff>200025</xdr:rowOff>
        </xdr:from>
        <xdr:to>
          <xdr:col>28</xdr:col>
          <xdr:colOff>19050</xdr:colOff>
          <xdr:row>275</xdr:row>
          <xdr:rowOff>76200</xdr:rowOff>
        </xdr:to>
        <xdr:sp macro="" textlink="">
          <xdr:nvSpPr>
            <xdr:cNvPr id="10906" name="Check Box 666" hidden="1">
              <a:extLst>
                <a:ext uri="{63B3BB69-23CF-44E3-9099-C40C66FF867C}">
                  <a14:compatExt spid="_x0000_s10906"/>
                </a:ext>
                <a:ext uri="{FF2B5EF4-FFF2-40B4-BE49-F238E27FC236}">
                  <a16:creationId xmlns:a16="http://schemas.microsoft.com/office/drawing/2014/main" id="{00000000-0008-0000-0000-00009A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57150</xdr:colOff>
          <xdr:row>274</xdr:row>
          <xdr:rowOff>209550</xdr:rowOff>
        </xdr:from>
        <xdr:to>
          <xdr:col>28</xdr:col>
          <xdr:colOff>19050</xdr:colOff>
          <xdr:row>276</xdr:row>
          <xdr:rowOff>76200</xdr:rowOff>
        </xdr:to>
        <xdr:sp macro="" textlink="">
          <xdr:nvSpPr>
            <xdr:cNvPr id="10907" name="Check Box 667" hidden="1">
              <a:extLst>
                <a:ext uri="{63B3BB69-23CF-44E3-9099-C40C66FF867C}">
                  <a14:compatExt spid="_x0000_s10907"/>
                </a:ext>
                <a:ext uri="{FF2B5EF4-FFF2-40B4-BE49-F238E27FC236}">
                  <a16:creationId xmlns:a16="http://schemas.microsoft.com/office/drawing/2014/main" id="{00000000-0008-0000-0000-00009B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57150</xdr:colOff>
          <xdr:row>275</xdr:row>
          <xdr:rowOff>190500</xdr:rowOff>
        </xdr:from>
        <xdr:to>
          <xdr:col>28</xdr:col>
          <xdr:colOff>0</xdr:colOff>
          <xdr:row>277</xdr:row>
          <xdr:rowOff>57150</xdr:rowOff>
        </xdr:to>
        <xdr:sp macro="" textlink="">
          <xdr:nvSpPr>
            <xdr:cNvPr id="10908" name="Check Box 668" hidden="1">
              <a:extLst>
                <a:ext uri="{63B3BB69-23CF-44E3-9099-C40C66FF867C}">
                  <a14:compatExt spid="_x0000_s10908"/>
                </a:ext>
                <a:ext uri="{FF2B5EF4-FFF2-40B4-BE49-F238E27FC236}">
                  <a16:creationId xmlns:a16="http://schemas.microsoft.com/office/drawing/2014/main" id="{00000000-0008-0000-0000-00009C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57150</xdr:colOff>
          <xdr:row>276</xdr:row>
          <xdr:rowOff>190500</xdr:rowOff>
        </xdr:from>
        <xdr:to>
          <xdr:col>28</xdr:col>
          <xdr:colOff>0</xdr:colOff>
          <xdr:row>277</xdr:row>
          <xdr:rowOff>285750</xdr:rowOff>
        </xdr:to>
        <xdr:sp macro="" textlink="">
          <xdr:nvSpPr>
            <xdr:cNvPr id="10909" name="Check Box 669" hidden="1">
              <a:extLst>
                <a:ext uri="{63B3BB69-23CF-44E3-9099-C40C66FF867C}">
                  <a14:compatExt spid="_x0000_s10909"/>
                </a:ext>
                <a:ext uri="{FF2B5EF4-FFF2-40B4-BE49-F238E27FC236}">
                  <a16:creationId xmlns:a16="http://schemas.microsoft.com/office/drawing/2014/main" id="{00000000-0008-0000-0000-00009D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57150</xdr:colOff>
          <xdr:row>277</xdr:row>
          <xdr:rowOff>428625</xdr:rowOff>
        </xdr:from>
        <xdr:to>
          <xdr:col>28</xdr:col>
          <xdr:colOff>0</xdr:colOff>
          <xdr:row>279</xdr:row>
          <xdr:rowOff>66675</xdr:rowOff>
        </xdr:to>
        <xdr:sp macro="" textlink="">
          <xdr:nvSpPr>
            <xdr:cNvPr id="10910" name="Check Box 670" hidden="1">
              <a:extLst>
                <a:ext uri="{63B3BB69-23CF-44E3-9099-C40C66FF867C}">
                  <a14:compatExt spid="_x0000_s10910"/>
                </a:ext>
                <a:ext uri="{FF2B5EF4-FFF2-40B4-BE49-F238E27FC236}">
                  <a16:creationId xmlns:a16="http://schemas.microsoft.com/office/drawing/2014/main" id="{00000000-0008-0000-0000-00009E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57150</xdr:colOff>
          <xdr:row>278</xdr:row>
          <xdr:rowOff>200025</xdr:rowOff>
        </xdr:from>
        <xdr:to>
          <xdr:col>28</xdr:col>
          <xdr:colOff>0</xdr:colOff>
          <xdr:row>280</xdr:row>
          <xdr:rowOff>66675</xdr:rowOff>
        </xdr:to>
        <xdr:sp macro="" textlink="">
          <xdr:nvSpPr>
            <xdr:cNvPr id="10911" name="Check Box 671" hidden="1">
              <a:extLst>
                <a:ext uri="{63B3BB69-23CF-44E3-9099-C40C66FF867C}">
                  <a14:compatExt spid="_x0000_s10911"/>
                </a:ext>
                <a:ext uri="{FF2B5EF4-FFF2-40B4-BE49-F238E27FC236}">
                  <a16:creationId xmlns:a16="http://schemas.microsoft.com/office/drawing/2014/main" id="{00000000-0008-0000-0000-00009F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57150</xdr:colOff>
          <xdr:row>279</xdr:row>
          <xdr:rowOff>200025</xdr:rowOff>
        </xdr:from>
        <xdr:to>
          <xdr:col>28</xdr:col>
          <xdr:colOff>0</xdr:colOff>
          <xdr:row>281</xdr:row>
          <xdr:rowOff>76200</xdr:rowOff>
        </xdr:to>
        <xdr:sp macro="" textlink="">
          <xdr:nvSpPr>
            <xdr:cNvPr id="10912" name="Check Box 672" hidden="1">
              <a:extLst>
                <a:ext uri="{63B3BB69-23CF-44E3-9099-C40C66FF867C}">
                  <a14:compatExt spid="_x0000_s10912"/>
                </a:ext>
                <a:ext uri="{FF2B5EF4-FFF2-40B4-BE49-F238E27FC236}">
                  <a16:creationId xmlns:a16="http://schemas.microsoft.com/office/drawing/2014/main" id="{00000000-0008-0000-0000-0000A0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57150</xdr:colOff>
          <xdr:row>280</xdr:row>
          <xdr:rowOff>209550</xdr:rowOff>
        </xdr:from>
        <xdr:to>
          <xdr:col>28</xdr:col>
          <xdr:colOff>0</xdr:colOff>
          <xdr:row>282</xdr:row>
          <xdr:rowOff>76200</xdr:rowOff>
        </xdr:to>
        <xdr:sp macro="" textlink="">
          <xdr:nvSpPr>
            <xdr:cNvPr id="10913" name="Check Box 673" hidden="1">
              <a:extLst>
                <a:ext uri="{63B3BB69-23CF-44E3-9099-C40C66FF867C}">
                  <a14:compatExt spid="_x0000_s10913"/>
                </a:ext>
                <a:ext uri="{FF2B5EF4-FFF2-40B4-BE49-F238E27FC236}">
                  <a16:creationId xmlns:a16="http://schemas.microsoft.com/office/drawing/2014/main" id="{00000000-0008-0000-0000-0000A1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57150</xdr:colOff>
          <xdr:row>281</xdr:row>
          <xdr:rowOff>209550</xdr:rowOff>
        </xdr:from>
        <xdr:to>
          <xdr:col>28</xdr:col>
          <xdr:colOff>0</xdr:colOff>
          <xdr:row>283</xdr:row>
          <xdr:rowOff>76200</xdr:rowOff>
        </xdr:to>
        <xdr:sp macro="" textlink="">
          <xdr:nvSpPr>
            <xdr:cNvPr id="10914" name="Check Box 674" hidden="1">
              <a:extLst>
                <a:ext uri="{63B3BB69-23CF-44E3-9099-C40C66FF867C}">
                  <a14:compatExt spid="_x0000_s10914"/>
                </a:ext>
                <a:ext uri="{FF2B5EF4-FFF2-40B4-BE49-F238E27FC236}">
                  <a16:creationId xmlns:a16="http://schemas.microsoft.com/office/drawing/2014/main" id="{00000000-0008-0000-0000-0000A2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57150</xdr:colOff>
          <xdr:row>282</xdr:row>
          <xdr:rowOff>209550</xdr:rowOff>
        </xdr:from>
        <xdr:to>
          <xdr:col>28</xdr:col>
          <xdr:colOff>0</xdr:colOff>
          <xdr:row>284</xdr:row>
          <xdr:rowOff>76200</xdr:rowOff>
        </xdr:to>
        <xdr:sp macro="" textlink="">
          <xdr:nvSpPr>
            <xdr:cNvPr id="10915" name="Check Box 675" hidden="1">
              <a:extLst>
                <a:ext uri="{63B3BB69-23CF-44E3-9099-C40C66FF867C}">
                  <a14:compatExt spid="_x0000_s10915"/>
                </a:ext>
                <a:ext uri="{FF2B5EF4-FFF2-40B4-BE49-F238E27FC236}">
                  <a16:creationId xmlns:a16="http://schemas.microsoft.com/office/drawing/2014/main" id="{00000000-0008-0000-0000-0000A3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47625</xdr:colOff>
          <xdr:row>283</xdr:row>
          <xdr:rowOff>190500</xdr:rowOff>
        </xdr:from>
        <xdr:to>
          <xdr:col>27</xdr:col>
          <xdr:colOff>361950</xdr:colOff>
          <xdr:row>285</xdr:row>
          <xdr:rowOff>66675</xdr:rowOff>
        </xdr:to>
        <xdr:sp macro="" textlink="">
          <xdr:nvSpPr>
            <xdr:cNvPr id="10916" name="Check Box 676" hidden="1">
              <a:extLst>
                <a:ext uri="{63B3BB69-23CF-44E3-9099-C40C66FF867C}">
                  <a14:compatExt spid="_x0000_s10916"/>
                </a:ext>
                <a:ext uri="{FF2B5EF4-FFF2-40B4-BE49-F238E27FC236}">
                  <a16:creationId xmlns:a16="http://schemas.microsoft.com/office/drawing/2014/main" id="{00000000-0008-0000-0000-0000A4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38100</xdr:colOff>
          <xdr:row>284</xdr:row>
          <xdr:rowOff>200025</xdr:rowOff>
        </xdr:from>
        <xdr:to>
          <xdr:col>27</xdr:col>
          <xdr:colOff>352425</xdr:colOff>
          <xdr:row>286</xdr:row>
          <xdr:rowOff>66675</xdr:rowOff>
        </xdr:to>
        <xdr:sp macro="" textlink="">
          <xdr:nvSpPr>
            <xdr:cNvPr id="10917" name="Check Box 677" hidden="1">
              <a:extLst>
                <a:ext uri="{63B3BB69-23CF-44E3-9099-C40C66FF867C}">
                  <a14:compatExt spid="_x0000_s10917"/>
                </a:ext>
                <a:ext uri="{FF2B5EF4-FFF2-40B4-BE49-F238E27FC236}">
                  <a16:creationId xmlns:a16="http://schemas.microsoft.com/office/drawing/2014/main" id="{00000000-0008-0000-0000-0000A5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47625</xdr:colOff>
          <xdr:row>285</xdr:row>
          <xdr:rowOff>200025</xdr:rowOff>
        </xdr:from>
        <xdr:to>
          <xdr:col>27</xdr:col>
          <xdr:colOff>361950</xdr:colOff>
          <xdr:row>287</xdr:row>
          <xdr:rowOff>66675</xdr:rowOff>
        </xdr:to>
        <xdr:sp macro="" textlink="">
          <xdr:nvSpPr>
            <xdr:cNvPr id="10918" name="Check Box 678" hidden="1">
              <a:extLst>
                <a:ext uri="{63B3BB69-23CF-44E3-9099-C40C66FF867C}">
                  <a14:compatExt spid="_x0000_s10918"/>
                </a:ext>
                <a:ext uri="{FF2B5EF4-FFF2-40B4-BE49-F238E27FC236}">
                  <a16:creationId xmlns:a16="http://schemas.microsoft.com/office/drawing/2014/main" id="{00000000-0008-0000-0000-0000A6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47625</xdr:colOff>
          <xdr:row>286</xdr:row>
          <xdr:rowOff>200025</xdr:rowOff>
        </xdr:from>
        <xdr:to>
          <xdr:col>27</xdr:col>
          <xdr:colOff>361950</xdr:colOff>
          <xdr:row>288</xdr:row>
          <xdr:rowOff>76200</xdr:rowOff>
        </xdr:to>
        <xdr:sp macro="" textlink="">
          <xdr:nvSpPr>
            <xdr:cNvPr id="10919" name="Check Box 679" hidden="1">
              <a:extLst>
                <a:ext uri="{63B3BB69-23CF-44E3-9099-C40C66FF867C}">
                  <a14:compatExt spid="_x0000_s10919"/>
                </a:ext>
                <a:ext uri="{FF2B5EF4-FFF2-40B4-BE49-F238E27FC236}">
                  <a16:creationId xmlns:a16="http://schemas.microsoft.com/office/drawing/2014/main" id="{00000000-0008-0000-0000-0000A7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47625</xdr:colOff>
          <xdr:row>287</xdr:row>
          <xdr:rowOff>209550</xdr:rowOff>
        </xdr:from>
        <xdr:to>
          <xdr:col>27</xdr:col>
          <xdr:colOff>361950</xdr:colOff>
          <xdr:row>288</xdr:row>
          <xdr:rowOff>304800</xdr:rowOff>
        </xdr:to>
        <xdr:sp macro="" textlink="">
          <xdr:nvSpPr>
            <xdr:cNvPr id="10920" name="Check Box 680" hidden="1">
              <a:extLst>
                <a:ext uri="{63B3BB69-23CF-44E3-9099-C40C66FF867C}">
                  <a14:compatExt spid="_x0000_s10920"/>
                </a:ext>
                <a:ext uri="{FF2B5EF4-FFF2-40B4-BE49-F238E27FC236}">
                  <a16:creationId xmlns:a16="http://schemas.microsoft.com/office/drawing/2014/main" id="{00000000-0008-0000-0000-0000A8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47625</xdr:colOff>
          <xdr:row>288</xdr:row>
          <xdr:rowOff>438150</xdr:rowOff>
        </xdr:from>
        <xdr:to>
          <xdr:col>27</xdr:col>
          <xdr:colOff>361950</xdr:colOff>
          <xdr:row>289</xdr:row>
          <xdr:rowOff>304800</xdr:rowOff>
        </xdr:to>
        <xdr:sp macro="" textlink="">
          <xdr:nvSpPr>
            <xdr:cNvPr id="10921" name="Check Box 681" hidden="1">
              <a:extLst>
                <a:ext uri="{63B3BB69-23CF-44E3-9099-C40C66FF867C}">
                  <a14:compatExt spid="_x0000_s10921"/>
                </a:ext>
                <a:ext uri="{FF2B5EF4-FFF2-40B4-BE49-F238E27FC236}">
                  <a16:creationId xmlns:a16="http://schemas.microsoft.com/office/drawing/2014/main" id="{00000000-0008-0000-0000-0000A9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47625</xdr:colOff>
          <xdr:row>289</xdr:row>
          <xdr:rowOff>447675</xdr:rowOff>
        </xdr:from>
        <xdr:to>
          <xdr:col>27</xdr:col>
          <xdr:colOff>285750</xdr:colOff>
          <xdr:row>291</xdr:row>
          <xdr:rowOff>9525</xdr:rowOff>
        </xdr:to>
        <xdr:sp macro="" textlink="">
          <xdr:nvSpPr>
            <xdr:cNvPr id="10922" name="Check Box 682" hidden="1">
              <a:extLst>
                <a:ext uri="{63B3BB69-23CF-44E3-9099-C40C66FF867C}">
                  <a14:compatExt spid="_x0000_s10922"/>
                </a:ext>
                <a:ext uri="{FF2B5EF4-FFF2-40B4-BE49-F238E27FC236}">
                  <a16:creationId xmlns:a16="http://schemas.microsoft.com/office/drawing/2014/main" id="{00000000-0008-0000-0000-0000AA2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28</xdr:row>
          <xdr:rowOff>9525</xdr:rowOff>
        </xdr:from>
        <xdr:to>
          <xdr:col>32</xdr:col>
          <xdr:colOff>28575</xdr:colOff>
          <xdr:row>29</xdr:row>
          <xdr:rowOff>9525</xdr:rowOff>
        </xdr:to>
        <xdr:sp macro="" textlink="">
          <xdr:nvSpPr>
            <xdr:cNvPr id="10925" name="Drop Down 685" hidden="1">
              <a:extLst>
                <a:ext uri="{63B3BB69-23CF-44E3-9099-C40C66FF867C}">
                  <a14:compatExt spid="_x0000_s10925"/>
                </a:ext>
                <a:ext uri="{FF2B5EF4-FFF2-40B4-BE49-F238E27FC236}">
                  <a16:creationId xmlns:a16="http://schemas.microsoft.com/office/drawing/2014/main" id="{00000000-0008-0000-0000-0000AD2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50</xdr:row>
          <xdr:rowOff>9525</xdr:rowOff>
        </xdr:from>
        <xdr:to>
          <xdr:col>40</xdr:col>
          <xdr:colOff>295275</xdr:colOff>
          <xdr:row>51</xdr:row>
          <xdr:rowOff>9525</xdr:rowOff>
        </xdr:to>
        <xdr:sp macro="" textlink="">
          <xdr:nvSpPr>
            <xdr:cNvPr id="10928" name="Drop Down 688" hidden="1">
              <a:extLst>
                <a:ext uri="{63B3BB69-23CF-44E3-9099-C40C66FF867C}">
                  <a14:compatExt spid="_x0000_s10928"/>
                </a:ext>
                <a:ext uri="{FF2B5EF4-FFF2-40B4-BE49-F238E27FC236}">
                  <a16:creationId xmlns:a16="http://schemas.microsoft.com/office/drawing/2014/main" id="{00000000-0008-0000-0000-0000B02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xdr:colOff>
          <xdr:row>50</xdr:row>
          <xdr:rowOff>19050</xdr:rowOff>
        </xdr:from>
        <xdr:to>
          <xdr:col>42</xdr:col>
          <xdr:colOff>276225</xdr:colOff>
          <xdr:row>51</xdr:row>
          <xdr:rowOff>19050</xdr:rowOff>
        </xdr:to>
        <xdr:sp macro="" textlink="">
          <xdr:nvSpPr>
            <xdr:cNvPr id="10929" name="Drop Down 689" hidden="1">
              <a:extLst>
                <a:ext uri="{63B3BB69-23CF-44E3-9099-C40C66FF867C}">
                  <a14:compatExt spid="_x0000_s10929"/>
                </a:ext>
                <a:ext uri="{FF2B5EF4-FFF2-40B4-BE49-F238E27FC236}">
                  <a16:creationId xmlns:a16="http://schemas.microsoft.com/office/drawing/2014/main" id="{00000000-0008-0000-0000-0000B12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285750</xdr:colOff>
          <xdr:row>50</xdr:row>
          <xdr:rowOff>19050</xdr:rowOff>
        </xdr:from>
        <xdr:to>
          <xdr:col>45</xdr:col>
          <xdr:colOff>276225</xdr:colOff>
          <xdr:row>51</xdr:row>
          <xdr:rowOff>19050</xdr:rowOff>
        </xdr:to>
        <xdr:sp macro="" textlink="">
          <xdr:nvSpPr>
            <xdr:cNvPr id="10930" name="Drop Down 690" hidden="1">
              <a:extLst>
                <a:ext uri="{63B3BB69-23CF-44E3-9099-C40C66FF867C}">
                  <a14:compatExt spid="_x0000_s10930"/>
                </a:ext>
                <a:ext uri="{FF2B5EF4-FFF2-40B4-BE49-F238E27FC236}">
                  <a16:creationId xmlns:a16="http://schemas.microsoft.com/office/drawing/2014/main" id="{00000000-0008-0000-0000-0000B22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490</xdr:row>
          <xdr:rowOff>38100</xdr:rowOff>
        </xdr:from>
        <xdr:to>
          <xdr:col>8</xdr:col>
          <xdr:colOff>285750</xdr:colOff>
          <xdr:row>490</xdr:row>
          <xdr:rowOff>342900</xdr:rowOff>
        </xdr:to>
        <xdr:sp macro="" textlink="">
          <xdr:nvSpPr>
            <xdr:cNvPr id="11015" name="ComboBox1" hidden="1">
              <a:extLst>
                <a:ext uri="{63B3BB69-23CF-44E3-9099-C40C66FF867C}">
                  <a14:compatExt spid="_x0000_s11015"/>
                </a:ext>
                <a:ext uri="{FF2B5EF4-FFF2-40B4-BE49-F238E27FC236}">
                  <a16:creationId xmlns:a16="http://schemas.microsoft.com/office/drawing/2014/main" id="{00000000-0008-0000-0000-000007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9525</xdr:colOff>
          <xdr:row>657</xdr:row>
          <xdr:rowOff>9525</xdr:rowOff>
        </xdr:from>
        <xdr:to>
          <xdr:col>17</xdr:col>
          <xdr:colOff>19050</xdr:colOff>
          <xdr:row>657</xdr:row>
          <xdr:rowOff>323850</xdr:rowOff>
        </xdr:to>
        <xdr:sp macro="" textlink="">
          <xdr:nvSpPr>
            <xdr:cNvPr id="11017" name="ComboBox2" hidden="1">
              <a:extLst>
                <a:ext uri="{63B3BB69-23CF-44E3-9099-C40C66FF867C}">
                  <a14:compatExt spid="_x0000_s11017"/>
                </a:ext>
                <a:ext uri="{FF2B5EF4-FFF2-40B4-BE49-F238E27FC236}">
                  <a16:creationId xmlns:a16="http://schemas.microsoft.com/office/drawing/2014/main" id="{00000000-0008-0000-0000-000009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38100</xdr:colOff>
          <xdr:row>657</xdr:row>
          <xdr:rowOff>9525</xdr:rowOff>
        </xdr:from>
        <xdr:to>
          <xdr:col>20</xdr:col>
          <xdr:colOff>38100</xdr:colOff>
          <xdr:row>657</xdr:row>
          <xdr:rowOff>323850</xdr:rowOff>
        </xdr:to>
        <xdr:sp macro="" textlink="">
          <xdr:nvSpPr>
            <xdr:cNvPr id="11018" name="ComboBox3" hidden="1">
              <a:extLst>
                <a:ext uri="{63B3BB69-23CF-44E3-9099-C40C66FF867C}">
                  <a14:compatExt spid="_x0000_s11018"/>
                </a:ext>
                <a:ext uri="{FF2B5EF4-FFF2-40B4-BE49-F238E27FC236}">
                  <a16:creationId xmlns:a16="http://schemas.microsoft.com/office/drawing/2014/main" id="{00000000-0008-0000-0000-00000A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689</xdr:row>
          <xdr:rowOff>9525</xdr:rowOff>
        </xdr:from>
        <xdr:to>
          <xdr:col>8</xdr:col>
          <xdr:colOff>9525</xdr:colOff>
          <xdr:row>690</xdr:row>
          <xdr:rowOff>19050</xdr:rowOff>
        </xdr:to>
        <xdr:sp macro="" textlink="">
          <xdr:nvSpPr>
            <xdr:cNvPr id="11020" name="ComboBox4" hidden="1">
              <a:extLst>
                <a:ext uri="{63B3BB69-23CF-44E3-9099-C40C66FF867C}">
                  <a14:compatExt spid="_x0000_s11020"/>
                </a:ext>
                <a:ext uri="{FF2B5EF4-FFF2-40B4-BE49-F238E27FC236}">
                  <a16:creationId xmlns:a16="http://schemas.microsoft.com/office/drawing/2014/main" id="{00000000-0008-0000-0000-00000C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19050</xdr:colOff>
          <xdr:row>701</xdr:row>
          <xdr:rowOff>19050</xdr:rowOff>
        </xdr:from>
        <xdr:to>
          <xdr:col>14</xdr:col>
          <xdr:colOff>19050</xdr:colOff>
          <xdr:row>701</xdr:row>
          <xdr:rowOff>247650</xdr:rowOff>
        </xdr:to>
        <xdr:sp macro="" textlink="">
          <xdr:nvSpPr>
            <xdr:cNvPr id="11023" name="ComboBox5" hidden="1">
              <a:extLst>
                <a:ext uri="{63B3BB69-23CF-44E3-9099-C40C66FF867C}">
                  <a14:compatExt spid="_x0000_s11023"/>
                </a:ext>
                <a:ext uri="{FF2B5EF4-FFF2-40B4-BE49-F238E27FC236}">
                  <a16:creationId xmlns:a16="http://schemas.microsoft.com/office/drawing/2014/main" id="{00000000-0008-0000-0000-00000F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19050</xdr:colOff>
          <xdr:row>702</xdr:row>
          <xdr:rowOff>9525</xdr:rowOff>
        </xdr:from>
        <xdr:to>
          <xdr:col>14</xdr:col>
          <xdr:colOff>19050</xdr:colOff>
          <xdr:row>702</xdr:row>
          <xdr:rowOff>247650</xdr:rowOff>
        </xdr:to>
        <xdr:sp macro="" textlink="">
          <xdr:nvSpPr>
            <xdr:cNvPr id="11024" name="ComboBox6" hidden="1">
              <a:extLst>
                <a:ext uri="{63B3BB69-23CF-44E3-9099-C40C66FF867C}">
                  <a14:compatExt spid="_x0000_s11024"/>
                </a:ext>
                <a:ext uri="{FF2B5EF4-FFF2-40B4-BE49-F238E27FC236}">
                  <a16:creationId xmlns:a16="http://schemas.microsoft.com/office/drawing/2014/main" id="{00000000-0008-0000-0000-000010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19050</xdr:colOff>
          <xdr:row>703</xdr:row>
          <xdr:rowOff>19050</xdr:rowOff>
        </xdr:from>
        <xdr:to>
          <xdr:col>14</xdr:col>
          <xdr:colOff>19050</xdr:colOff>
          <xdr:row>703</xdr:row>
          <xdr:rowOff>247650</xdr:rowOff>
        </xdr:to>
        <xdr:sp macro="" textlink="">
          <xdr:nvSpPr>
            <xdr:cNvPr id="11025" name="ComboBox7" hidden="1">
              <a:extLst>
                <a:ext uri="{63B3BB69-23CF-44E3-9099-C40C66FF867C}">
                  <a14:compatExt spid="_x0000_s11025"/>
                </a:ext>
                <a:ext uri="{FF2B5EF4-FFF2-40B4-BE49-F238E27FC236}">
                  <a16:creationId xmlns:a16="http://schemas.microsoft.com/office/drawing/2014/main" id="{00000000-0008-0000-0000-000011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19050</xdr:colOff>
          <xdr:row>704</xdr:row>
          <xdr:rowOff>19050</xdr:rowOff>
        </xdr:from>
        <xdr:to>
          <xdr:col>14</xdr:col>
          <xdr:colOff>19050</xdr:colOff>
          <xdr:row>704</xdr:row>
          <xdr:rowOff>257175</xdr:rowOff>
        </xdr:to>
        <xdr:sp macro="" textlink="">
          <xdr:nvSpPr>
            <xdr:cNvPr id="11026" name="ComboBox8" hidden="1">
              <a:extLst>
                <a:ext uri="{63B3BB69-23CF-44E3-9099-C40C66FF867C}">
                  <a14:compatExt spid="_x0000_s11026"/>
                </a:ext>
                <a:ext uri="{FF2B5EF4-FFF2-40B4-BE49-F238E27FC236}">
                  <a16:creationId xmlns:a16="http://schemas.microsoft.com/office/drawing/2014/main" id="{00000000-0008-0000-0000-000012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19050</xdr:colOff>
          <xdr:row>705</xdr:row>
          <xdr:rowOff>19050</xdr:rowOff>
        </xdr:from>
        <xdr:to>
          <xdr:col>14</xdr:col>
          <xdr:colOff>19050</xdr:colOff>
          <xdr:row>705</xdr:row>
          <xdr:rowOff>257175</xdr:rowOff>
        </xdr:to>
        <xdr:sp macro="" textlink="">
          <xdr:nvSpPr>
            <xdr:cNvPr id="11027" name="ComboBox9" hidden="1">
              <a:extLst>
                <a:ext uri="{63B3BB69-23CF-44E3-9099-C40C66FF867C}">
                  <a14:compatExt spid="_x0000_s11027"/>
                </a:ext>
                <a:ext uri="{FF2B5EF4-FFF2-40B4-BE49-F238E27FC236}">
                  <a16:creationId xmlns:a16="http://schemas.microsoft.com/office/drawing/2014/main" id="{00000000-0008-0000-0000-000013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19050</xdr:colOff>
          <xdr:row>706</xdr:row>
          <xdr:rowOff>47625</xdr:rowOff>
        </xdr:from>
        <xdr:to>
          <xdr:col>14</xdr:col>
          <xdr:colOff>19050</xdr:colOff>
          <xdr:row>707</xdr:row>
          <xdr:rowOff>9525</xdr:rowOff>
        </xdr:to>
        <xdr:sp macro="" textlink="">
          <xdr:nvSpPr>
            <xdr:cNvPr id="11028" name="ComboBox10" hidden="1">
              <a:extLst>
                <a:ext uri="{63B3BB69-23CF-44E3-9099-C40C66FF867C}">
                  <a14:compatExt spid="_x0000_s11028"/>
                </a:ext>
                <a:ext uri="{FF2B5EF4-FFF2-40B4-BE49-F238E27FC236}">
                  <a16:creationId xmlns:a16="http://schemas.microsoft.com/office/drawing/2014/main" id="{00000000-0008-0000-0000-000014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28575</xdr:colOff>
          <xdr:row>701</xdr:row>
          <xdr:rowOff>19050</xdr:rowOff>
        </xdr:from>
        <xdr:to>
          <xdr:col>18</xdr:col>
          <xdr:colOff>19050</xdr:colOff>
          <xdr:row>701</xdr:row>
          <xdr:rowOff>257175</xdr:rowOff>
        </xdr:to>
        <xdr:sp macro="" textlink="">
          <xdr:nvSpPr>
            <xdr:cNvPr id="11029" name="ComboBox11" hidden="1">
              <a:extLst>
                <a:ext uri="{63B3BB69-23CF-44E3-9099-C40C66FF867C}">
                  <a14:compatExt spid="_x0000_s11029"/>
                </a:ext>
                <a:ext uri="{FF2B5EF4-FFF2-40B4-BE49-F238E27FC236}">
                  <a16:creationId xmlns:a16="http://schemas.microsoft.com/office/drawing/2014/main" id="{00000000-0008-0000-0000-000015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28575</xdr:colOff>
          <xdr:row>702</xdr:row>
          <xdr:rowOff>9525</xdr:rowOff>
        </xdr:from>
        <xdr:to>
          <xdr:col>18</xdr:col>
          <xdr:colOff>19050</xdr:colOff>
          <xdr:row>702</xdr:row>
          <xdr:rowOff>247650</xdr:rowOff>
        </xdr:to>
        <xdr:sp macro="" textlink="">
          <xdr:nvSpPr>
            <xdr:cNvPr id="11038" name="ComboBox12" hidden="1">
              <a:extLst>
                <a:ext uri="{63B3BB69-23CF-44E3-9099-C40C66FF867C}">
                  <a14:compatExt spid="_x0000_s11038"/>
                </a:ext>
                <a:ext uri="{FF2B5EF4-FFF2-40B4-BE49-F238E27FC236}">
                  <a16:creationId xmlns:a16="http://schemas.microsoft.com/office/drawing/2014/main" id="{00000000-0008-0000-0000-00001E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28575</xdr:colOff>
          <xdr:row>703</xdr:row>
          <xdr:rowOff>19050</xdr:rowOff>
        </xdr:from>
        <xdr:to>
          <xdr:col>18</xdr:col>
          <xdr:colOff>19050</xdr:colOff>
          <xdr:row>703</xdr:row>
          <xdr:rowOff>257175</xdr:rowOff>
        </xdr:to>
        <xdr:sp macro="" textlink="">
          <xdr:nvSpPr>
            <xdr:cNvPr id="11039" name="ComboBox13" hidden="1">
              <a:extLst>
                <a:ext uri="{63B3BB69-23CF-44E3-9099-C40C66FF867C}">
                  <a14:compatExt spid="_x0000_s11039"/>
                </a:ext>
                <a:ext uri="{FF2B5EF4-FFF2-40B4-BE49-F238E27FC236}">
                  <a16:creationId xmlns:a16="http://schemas.microsoft.com/office/drawing/2014/main" id="{00000000-0008-0000-0000-00001F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28575</xdr:colOff>
          <xdr:row>704</xdr:row>
          <xdr:rowOff>38100</xdr:rowOff>
        </xdr:from>
        <xdr:to>
          <xdr:col>18</xdr:col>
          <xdr:colOff>19050</xdr:colOff>
          <xdr:row>705</xdr:row>
          <xdr:rowOff>9525</xdr:rowOff>
        </xdr:to>
        <xdr:sp macro="" textlink="">
          <xdr:nvSpPr>
            <xdr:cNvPr id="11040" name="ComboBox14" hidden="1">
              <a:extLst>
                <a:ext uri="{63B3BB69-23CF-44E3-9099-C40C66FF867C}">
                  <a14:compatExt spid="_x0000_s11040"/>
                </a:ext>
                <a:ext uri="{FF2B5EF4-FFF2-40B4-BE49-F238E27FC236}">
                  <a16:creationId xmlns:a16="http://schemas.microsoft.com/office/drawing/2014/main" id="{00000000-0008-0000-0000-000020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28575</xdr:colOff>
          <xdr:row>705</xdr:row>
          <xdr:rowOff>19050</xdr:rowOff>
        </xdr:from>
        <xdr:to>
          <xdr:col>18</xdr:col>
          <xdr:colOff>19050</xdr:colOff>
          <xdr:row>705</xdr:row>
          <xdr:rowOff>257175</xdr:rowOff>
        </xdr:to>
        <xdr:sp macro="" textlink="">
          <xdr:nvSpPr>
            <xdr:cNvPr id="11041" name="ComboBox15" hidden="1">
              <a:extLst>
                <a:ext uri="{63B3BB69-23CF-44E3-9099-C40C66FF867C}">
                  <a14:compatExt spid="_x0000_s11041"/>
                </a:ext>
                <a:ext uri="{FF2B5EF4-FFF2-40B4-BE49-F238E27FC236}">
                  <a16:creationId xmlns:a16="http://schemas.microsoft.com/office/drawing/2014/main" id="{00000000-0008-0000-0000-000021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28575</xdr:colOff>
          <xdr:row>706</xdr:row>
          <xdr:rowOff>28575</xdr:rowOff>
        </xdr:from>
        <xdr:to>
          <xdr:col>18</xdr:col>
          <xdr:colOff>19050</xdr:colOff>
          <xdr:row>707</xdr:row>
          <xdr:rowOff>9525</xdr:rowOff>
        </xdr:to>
        <xdr:sp macro="" textlink="">
          <xdr:nvSpPr>
            <xdr:cNvPr id="11042" name="ComboBox16" hidden="1">
              <a:extLst>
                <a:ext uri="{63B3BB69-23CF-44E3-9099-C40C66FF867C}">
                  <a14:compatExt spid="_x0000_s11042"/>
                </a:ext>
                <a:ext uri="{FF2B5EF4-FFF2-40B4-BE49-F238E27FC236}">
                  <a16:creationId xmlns:a16="http://schemas.microsoft.com/office/drawing/2014/main" id="{00000000-0008-0000-0000-000022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28575</xdr:colOff>
          <xdr:row>701</xdr:row>
          <xdr:rowOff>9525</xdr:rowOff>
        </xdr:from>
        <xdr:to>
          <xdr:col>22</xdr:col>
          <xdr:colOff>0</xdr:colOff>
          <xdr:row>701</xdr:row>
          <xdr:rowOff>238125</xdr:rowOff>
        </xdr:to>
        <xdr:sp macro="" textlink="">
          <xdr:nvSpPr>
            <xdr:cNvPr id="11043" name="ComboBox17" hidden="1">
              <a:extLst>
                <a:ext uri="{63B3BB69-23CF-44E3-9099-C40C66FF867C}">
                  <a14:compatExt spid="_x0000_s11043"/>
                </a:ext>
                <a:ext uri="{FF2B5EF4-FFF2-40B4-BE49-F238E27FC236}">
                  <a16:creationId xmlns:a16="http://schemas.microsoft.com/office/drawing/2014/main" id="{00000000-0008-0000-0000-000023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28575</xdr:colOff>
          <xdr:row>702</xdr:row>
          <xdr:rowOff>0</xdr:rowOff>
        </xdr:from>
        <xdr:to>
          <xdr:col>22</xdr:col>
          <xdr:colOff>0</xdr:colOff>
          <xdr:row>702</xdr:row>
          <xdr:rowOff>238125</xdr:rowOff>
        </xdr:to>
        <xdr:sp macro="" textlink="">
          <xdr:nvSpPr>
            <xdr:cNvPr id="11044" name="ComboBox18" hidden="1">
              <a:extLst>
                <a:ext uri="{63B3BB69-23CF-44E3-9099-C40C66FF867C}">
                  <a14:compatExt spid="_x0000_s11044"/>
                </a:ext>
                <a:ext uri="{FF2B5EF4-FFF2-40B4-BE49-F238E27FC236}">
                  <a16:creationId xmlns:a16="http://schemas.microsoft.com/office/drawing/2014/main" id="{00000000-0008-0000-0000-000024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28575</xdr:colOff>
          <xdr:row>703</xdr:row>
          <xdr:rowOff>9525</xdr:rowOff>
        </xdr:from>
        <xdr:to>
          <xdr:col>22</xdr:col>
          <xdr:colOff>0</xdr:colOff>
          <xdr:row>703</xdr:row>
          <xdr:rowOff>238125</xdr:rowOff>
        </xdr:to>
        <xdr:sp macro="" textlink="">
          <xdr:nvSpPr>
            <xdr:cNvPr id="11045" name="ComboBox19" hidden="1">
              <a:extLst>
                <a:ext uri="{63B3BB69-23CF-44E3-9099-C40C66FF867C}">
                  <a14:compatExt spid="_x0000_s11045"/>
                </a:ext>
                <a:ext uri="{FF2B5EF4-FFF2-40B4-BE49-F238E27FC236}">
                  <a16:creationId xmlns:a16="http://schemas.microsoft.com/office/drawing/2014/main" id="{00000000-0008-0000-0000-000025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47625</xdr:colOff>
          <xdr:row>704</xdr:row>
          <xdr:rowOff>47625</xdr:rowOff>
        </xdr:from>
        <xdr:to>
          <xdr:col>21</xdr:col>
          <xdr:colOff>361950</xdr:colOff>
          <xdr:row>705</xdr:row>
          <xdr:rowOff>9525</xdr:rowOff>
        </xdr:to>
        <xdr:sp macro="" textlink="">
          <xdr:nvSpPr>
            <xdr:cNvPr id="11046" name="ComboBox20" hidden="1">
              <a:extLst>
                <a:ext uri="{63B3BB69-23CF-44E3-9099-C40C66FF867C}">
                  <a14:compatExt spid="_x0000_s11046"/>
                </a:ext>
                <a:ext uri="{FF2B5EF4-FFF2-40B4-BE49-F238E27FC236}">
                  <a16:creationId xmlns:a16="http://schemas.microsoft.com/office/drawing/2014/main" id="{00000000-0008-0000-0000-000026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28575</xdr:colOff>
          <xdr:row>705</xdr:row>
          <xdr:rowOff>9525</xdr:rowOff>
        </xdr:from>
        <xdr:to>
          <xdr:col>22</xdr:col>
          <xdr:colOff>0</xdr:colOff>
          <xdr:row>705</xdr:row>
          <xdr:rowOff>228600</xdr:rowOff>
        </xdr:to>
        <xdr:sp macro="" textlink="">
          <xdr:nvSpPr>
            <xdr:cNvPr id="11047" name="ComboBox21" hidden="1">
              <a:extLst>
                <a:ext uri="{63B3BB69-23CF-44E3-9099-C40C66FF867C}">
                  <a14:compatExt spid="_x0000_s11047"/>
                </a:ext>
                <a:ext uri="{FF2B5EF4-FFF2-40B4-BE49-F238E27FC236}">
                  <a16:creationId xmlns:a16="http://schemas.microsoft.com/office/drawing/2014/main" id="{00000000-0008-0000-0000-000027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28575</xdr:colOff>
          <xdr:row>706</xdr:row>
          <xdr:rowOff>28575</xdr:rowOff>
        </xdr:from>
        <xdr:to>
          <xdr:col>22</xdr:col>
          <xdr:colOff>0</xdr:colOff>
          <xdr:row>707</xdr:row>
          <xdr:rowOff>9525</xdr:rowOff>
        </xdr:to>
        <xdr:sp macro="" textlink="">
          <xdr:nvSpPr>
            <xdr:cNvPr id="11048" name="ComboBox22" hidden="1">
              <a:extLst>
                <a:ext uri="{63B3BB69-23CF-44E3-9099-C40C66FF867C}">
                  <a14:compatExt spid="_x0000_s11048"/>
                </a:ext>
                <a:ext uri="{FF2B5EF4-FFF2-40B4-BE49-F238E27FC236}">
                  <a16:creationId xmlns:a16="http://schemas.microsoft.com/office/drawing/2014/main" id="{00000000-0008-0000-0000-000028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19050</xdr:colOff>
          <xdr:row>711</xdr:row>
          <xdr:rowOff>28575</xdr:rowOff>
        </xdr:from>
        <xdr:to>
          <xdr:col>30</xdr:col>
          <xdr:colOff>285750</xdr:colOff>
          <xdr:row>711</xdr:row>
          <xdr:rowOff>333375</xdr:rowOff>
        </xdr:to>
        <xdr:sp macro="" textlink="">
          <xdr:nvSpPr>
            <xdr:cNvPr id="11050" name="ComboBox23" hidden="1">
              <a:extLst>
                <a:ext uri="{63B3BB69-23CF-44E3-9099-C40C66FF867C}">
                  <a14:compatExt spid="_x0000_s11050"/>
                </a:ext>
                <a:ext uri="{FF2B5EF4-FFF2-40B4-BE49-F238E27FC236}">
                  <a16:creationId xmlns:a16="http://schemas.microsoft.com/office/drawing/2014/main" id="{00000000-0008-0000-0000-00002A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295275</xdr:colOff>
          <xdr:row>713</xdr:row>
          <xdr:rowOff>19050</xdr:rowOff>
        </xdr:from>
        <xdr:to>
          <xdr:col>30</xdr:col>
          <xdr:colOff>295275</xdr:colOff>
          <xdr:row>714</xdr:row>
          <xdr:rowOff>0</xdr:rowOff>
        </xdr:to>
        <xdr:sp macro="" textlink="">
          <xdr:nvSpPr>
            <xdr:cNvPr id="11052" name="ComboBox24" hidden="1">
              <a:extLst>
                <a:ext uri="{63B3BB69-23CF-44E3-9099-C40C66FF867C}">
                  <a14:compatExt spid="_x0000_s11052"/>
                </a:ext>
                <a:ext uri="{FF2B5EF4-FFF2-40B4-BE49-F238E27FC236}">
                  <a16:creationId xmlns:a16="http://schemas.microsoft.com/office/drawing/2014/main" id="{00000000-0008-0000-0000-00002C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xdr:colOff>
          <xdr:row>295</xdr:row>
          <xdr:rowOff>171450</xdr:rowOff>
        </xdr:from>
        <xdr:to>
          <xdr:col>20</xdr:col>
          <xdr:colOff>342900</xdr:colOff>
          <xdr:row>296</xdr:row>
          <xdr:rowOff>257175</xdr:rowOff>
        </xdr:to>
        <xdr:sp macro="" textlink="">
          <xdr:nvSpPr>
            <xdr:cNvPr id="11053" name="Check Box 813" hidden="1">
              <a:extLst>
                <a:ext uri="{63B3BB69-23CF-44E3-9099-C40C66FF867C}">
                  <a14:compatExt spid="_x0000_s11053"/>
                </a:ext>
                <a:ext uri="{FF2B5EF4-FFF2-40B4-BE49-F238E27FC236}">
                  <a16:creationId xmlns:a16="http://schemas.microsoft.com/office/drawing/2014/main" id="{00000000-0008-0000-0000-00002D2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xdr:colOff>
          <xdr:row>296</xdr:row>
          <xdr:rowOff>409575</xdr:rowOff>
        </xdr:from>
        <xdr:to>
          <xdr:col>20</xdr:col>
          <xdr:colOff>342900</xdr:colOff>
          <xdr:row>297</xdr:row>
          <xdr:rowOff>276225</xdr:rowOff>
        </xdr:to>
        <xdr:sp macro="" textlink="">
          <xdr:nvSpPr>
            <xdr:cNvPr id="11054" name="Check Box 814" hidden="1">
              <a:extLst>
                <a:ext uri="{63B3BB69-23CF-44E3-9099-C40C66FF867C}">
                  <a14:compatExt spid="_x0000_s11054"/>
                </a:ext>
                <a:ext uri="{FF2B5EF4-FFF2-40B4-BE49-F238E27FC236}">
                  <a16:creationId xmlns:a16="http://schemas.microsoft.com/office/drawing/2014/main" id="{00000000-0008-0000-0000-00002E2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xdr:colOff>
          <xdr:row>297</xdr:row>
          <xdr:rowOff>419100</xdr:rowOff>
        </xdr:from>
        <xdr:to>
          <xdr:col>20</xdr:col>
          <xdr:colOff>342900</xdr:colOff>
          <xdr:row>298</xdr:row>
          <xdr:rowOff>295275</xdr:rowOff>
        </xdr:to>
        <xdr:sp macro="" textlink="">
          <xdr:nvSpPr>
            <xdr:cNvPr id="11055" name="Check Box 815" hidden="1">
              <a:extLst>
                <a:ext uri="{63B3BB69-23CF-44E3-9099-C40C66FF867C}">
                  <a14:compatExt spid="_x0000_s11055"/>
                </a:ext>
                <a:ext uri="{FF2B5EF4-FFF2-40B4-BE49-F238E27FC236}">
                  <a16:creationId xmlns:a16="http://schemas.microsoft.com/office/drawing/2014/main" id="{00000000-0008-0000-0000-00002F2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xdr:colOff>
          <xdr:row>298</xdr:row>
          <xdr:rowOff>419100</xdr:rowOff>
        </xdr:from>
        <xdr:to>
          <xdr:col>20</xdr:col>
          <xdr:colOff>342900</xdr:colOff>
          <xdr:row>299</xdr:row>
          <xdr:rowOff>295275</xdr:rowOff>
        </xdr:to>
        <xdr:sp macro="" textlink="">
          <xdr:nvSpPr>
            <xdr:cNvPr id="11056" name="Check Box 816" hidden="1">
              <a:extLst>
                <a:ext uri="{63B3BB69-23CF-44E3-9099-C40C66FF867C}">
                  <a14:compatExt spid="_x0000_s11056"/>
                </a:ext>
                <a:ext uri="{FF2B5EF4-FFF2-40B4-BE49-F238E27FC236}">
                  <a16:creationId xmlns:a16="http://schemas.microsoft.com/office/drawing/2014/main" id="{00000000-0008-0000-0000-0000302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19050</xdr:colOff>
          <xdr:row>299</xdr:row>
          <xdr:rowOff>409575</xdr:rowOff>
        </xdr:from>
        <xdr:to>
          <xdr:col>20</xdr:col>
          <xdr:colOff>342900</xdr:colOff>
          <xdr:row>301</xdr:row>
          <xdr:rowOff>38100</xdr:rowOff>
        </xdr:to>
        <xdr:sp macro="" textlink="">
          <xdr:nvSpPr>
            <xdr:cNvPr id="11058" name="Check Box 818" hidden="1">
              <a:extLst>
                <a:ext uri="{63B3BB69-23CF-44E3-9099-C40C66FF867C}">
                  <a14:compatExt spid="_x0000_s11058"/>
                </a:ext>
                <a:ext uri="{FF2B5EF4-FFF2-40B4-BE49-F238E27FC236}">
                  <a16:creationId xmlns:a16="http://schemas.microsoft.com/office/drawing/2014/main" id="{00000000-0008-0000-0000-0000322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52</xdr:row>
          <xdr:rowOff>19050</xdr:rowOff>
        </xdr:from>
        <xdr:to>
          <xdr:col>40</xdr:col>
          <xdr:colOff>295275</xdr:colOff>
          <xdr:row>53</xdr:row>
          <xdr:rowOff>19050</xdr:rowOff>
        </xdr:to>
        <xdr:sp macro="" textlink="">
          <xdr:nvSpPr>
            <xdr:cNvPr id="11059" name="Drop Down 688" hidden="1">
              <a:extLst>
                <a:ext uri="{63B3BB69-23CF-44E3-9099-C40C66FF867C}">
                  <a14:compatExt spid="_x0000_s11059"/>
                </a:ext>
                <a:ext uri="{FF2B5EF4-FFF2-40B4-BE49-F238E27FC236}">
                  <a16:creationId xmlns:a16="http://schemas.microsoft.com/office/drawing/2014/main" id="{00000000-0008-0000-0000-000033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0</xdr:colOff>
          <xdr:row>52</xdr:row>
          <xdr:rowOff>9525</xdr:rowOff>
        </xdr:from>
        <xdr:to>
          <xdr:col>42</xdr:col>
          <xdr:colOff>276225</xdr:colOff>
          <xdr:row>53</xdr:row>
          <xdr:rowOff>19050</xdr:rowOff>
        </xdr:to>
        <xdr:sp macro="" textlink="">
          <xdr:nvSpPr>
            <xdr:cNvPr id="11060" name="Drop Down 689" hidden="1">
              <a:extLst>
                <a:ext uri="{63B3BB69-23CF-44E3-9099-C40C66FF867C}">
                  <a14:compatExt spid="_x0000_s11060"/>
                </a:ext>
                <a:ext uri="{FF2B5EF4-FFF2-40B4-BE49-F238E27FC236}">
                  <a16:creationId xmlns:a16="http://schemas.microsoft.com/office/drawing/2014/main" id="{00000000-0008-0000-0000-000034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285750</xdr:colOff>
          <xdr:row>52</xdr:row>
          <xdr:rowOff>28575</xdr:rowOff>
        </xdr:from>
        <xdr:to>
          <xdr:col>45</xdr:col>
          <xdr:colOff>285750</xdr:colOff>
          <xdr:row>53</xdr:row>
          <xdr:rowOff>28575</xdr:rowOff>
        </xdr:to>
        <xdr:sp macro="" textlink="">
          <xdr:nvSpPr>
            <xdr:cNvPr id="11061" name="Drop Down 690" hidden="1">
              <a:extLst>
                <a:ext uri="{63B3BB69-23CF-44E3-9099-C40C66FF867C}">
                  <a14:compatExt spid="_x0000_s11061"/>
                </a:ext>
                <a:ext uri="{FF2B5EF4-FFF2-40B4-BE49-F238E27FC236}">
                  <a16:creationId xmlns:a16="http://schemas.microsoft.com/office/drawing/2014/main" id="{00000000-0008-0000-0000-000035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371475</xdr:colOff>
          <xdr:row>70</xdr:row>
          <xdr:rowOff>19050</xdr:rowOff>
        </xdr:from>
        <xdr:to>
          <xdr:col>51</xdr:col>
          <xdr:colOff>209550</xdr:colOff>
          <xdr:row>71</xdr:row>
          <xdr:rowOff>9525</xdr:rowOff>
        </xdr:to>
        <xdr:sp macro="" textlink="">
          <xdr:nvSpPr>
            <xdr:cNvPr id="11063" name="Drop Down 564" hidden="1">
              <a:extLst>
                <a:ext uri="{63B3BB69-23CF-44E3-9099-C40C66FF867C}">
                  <a14:compatExt spid="_x0000_s11063"/>
                </a:ext>
                <a:ext uri="{FF2B5EF4-FFF2-40B4-BE49-F238E27FC236}">
                  <a16:creationId xmlns:a16="http://schemas.microsoft.com/office/drawing/2014/main" id="{00000000-0008-0000-0000-000037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202</xdr:row>
          <xdr:rowOff>9525</xdr:rowOff>
        </xdr:from>
        <xdr:to>
          <xdr:col>14</xdr:col>
          <xdr:colOff>257175</xdr:colOff>
          <xdr:row>202</xdr:row>
          <xdr:rowOff>219075</xdr:rowOff>
        </xdr:to>
        <xdr:sp macro="" textlink="">
          <xdr:nvSpPr>
            <xdr:cNvPr id="11064" name="Drop Down 566" hidden="1">
              <a:extLst>
                <a:ext uri="{63B3BB69-23CF-44E3-9099-C40C66FF867C}">
                  <a14:compatExt spid="_x0000_s11064"/>
                </a:ext>
                <a:ext uri="{FF2B5EF4-FFF2-40B4-BE49-F238E27FC236}">
                  <a16:creationId xmlns:a16="http://schemas.microsoft.com/office/drawing/2014/main" id="{00000000-0008-0000-0000-000038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203</xdr:row>
          <xdr:rowOff>9525</xdr:rowOff>
        </xdr:from>
        <xdr:to>
          <xdr:col>14</xdr:col>
          <xdr:colOff>257175</xdr:colOff>
          <xdr:row>203</xdr:row>
          <xdr:rowOff>219075</xdr:rowOff>
        </xdr:to>
        <xdr:sp macro="" textlink="">
          <xdr:nvSpPr>
            <xdr:cNvPr id="11065" name="Drop Down 566" hidden="1">
              <a:extLst>
                <a:ext uri="{63B3BB69-23CF-44E3-9099-C40C66FF867C}">
                  <a14:compatExt spid="_x0000_s11065"/>
                </a:ext>
                <a:ext uri="{FF2B5EF4-FFF2-40B4-BE49-F238E27FC236}">
                  <a16:creationId xmlns:a16="http://schemas.microsoft.com/office/drawing/2014/main" id="{00000000-0008-0000-0000-000039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204</xdr:row>
          <xdr:rowOff>19050</xdr:rowOff>
        </xdr:from>
        <xdr:to>
          <xdr:col>14</xdr:col>
          <xdr:colOff>257175</xdr:colOff>
          <xdr:row>205</xdr:row>
          <xdr:rowOff>0</xdr:rowOff>
        </xdr:to>
        <xdr:sp macro="" textlink="">
          <xdr:nvSpPr>
            <xdr:cNvPr id="11066" name="Drop Down 566" hidden="1">
              <a:extLst>
                <a:ext uri="{63B3BB69-23CF-44E3-9099-C40C66FF867C}">
                  <a14:compatExt spid="_x0000_s11066"/>
                </a:ext>
                <a:ext uri="{FF2B5EF4-FFF2-40B4-BE49-F238E27FC236}">
                  <a16:creationId xmlns:a16="http://schemas.microsoft.com/office/drawing/2014/main" id="{00000000-0008-0000-0000-00003A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205</xdr:row>
          <xdr:rowOff>19050</xdr:rowOff>
        </xdr:from>
        <xdr:to>
          <xdr:col>14</xdr:col>
          <xdr:colOff>257175</xdr:colOff>
          <xdr:row>206</xdr:row>
          <xdr:rowOff>0</xdr:rowOff>
        </xdr:to>
        <xdr:sp macro="" textlink="">
          <xdr:nvSpPr>
            <xdr:cNvPr id="11067" name="Drop Down 566" hidden="1">
              <a:extLst>
                <a:ext uri="{63B3BB69-23CF-44E3-9099-C40C66FF867C}">
                  <a14:compatExt spid="_x0000_s11067"/>
                </a:ext>
                <a:ext uri="{FF2B5EF4-FFF2-40B4-BE49-F238E27FC236}">
                  <a16:creationId xmlns:a16="http://schemas.microsoft.com/office/drawing/2014/main" id="{00000000-0008-0000-0000-00003B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206</xdr:row>
          <xdr:rowOff>19050</xdr:rowOff>
        </xdr:from>
        <xdr:to>
          <xdr:col>14</xdr:col>
          <xdr:colOff>257175</xdr:colOff>
          <xdr:row>207</xdr:row>
          <xdr:rowOff>0</xdr:rowOff>
        </xdr:to>
        <xdr:sp macro="" textlink="">
          <xdr:nvSpPr>
            <xdr:cNvPr id="11068" name="Drop Down 566" hidden="1">
              <a:extLst>
                <a:ext uri="{63B3BB69-23CF-44E3-9099-C40C66FF867C}">
                  <a14:compatExt spid="_x0000_s11068"/>
                </a:ext>
                <a:ext uri="{FF2B5EF4-FFF2-40B4-BE49-F238E27FC236}">
                  <a16:creationId xmlns:a16="http://schemas.microsoft.com/office/drawing/2014/main" id="{00000000-0008-0000-0000-00003C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303</xdr:row>
          <xdr:rowOff>200025</xdr:rowOff>
        </xdr:from>
        <xdr:to>
          <xdr:col>25</xdr:col>
          <xdr:colOff>47625</xdr:colOff>
          <xdr:row>305</xdr:row>
          <xdr:rowOff>19050</xdr:rowOff>
        </xdr:to>
        <xdr:sp macro="" textlink="">
          <xdr:nvSpPr>
            <xdr:cNvPr id="11069" name="Check Box 829" hidden="1">
              <a:extLst>
                <a:ext uri="{63B3BB69-23CF-44E3-9099-C40C66FF867C}">
                  <a14:compatExt spid="_x0000_s11069"/>
                </a:ext>
                <a:ext uri="{FF2B5EF4-FFF2-40B4-BE49-F238E27FC236}">
                  <a16:creationId xmlns:a16="http://schemas.microsoft.com/office/drawing/2014/main" id="{00000000-0008-0000-0000-00003D2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304</xdr:row>
          <xdr:rowOff>200025</xdr:rowOff>
        </xdr:from>
        <xdr:to>
          <xdr:col>25</xdr:col>
          <xdr:colOff>47625</xdr:colOff>
          <xdr:row>306</xdr:row>
          <xdr:rowOff>19050</xdr:rowOff>
        </xdr:to>
        <xdr:sp macro="" textlink="">
          <xdr:nvSpPr>
            <xdr:cNvPr id="11070" name="Check Box 830" hidden="1">
              <a:extLst>
                <a:ext uri="{63B3BB69-23CF-44E3-9099-C40C66FF867C}">
                  <a14:compatExt spid="_x0000_s11070"/>
                </a:ext>
                <a:ext uri="{FF2B5EF4-FFF2-40B4-BE49-F238E27FC236}">
                  <a16:creationId xmlns:a16="http://schemas.microsoft.com/office/drawing/2014/main" id="{00000000-0008-0000-0000-00003E2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305</xdr:row>
          <xdr:rowOff>200025</xdr:rowOff>
        </xdr:from>
        <xdr:to>
          <xdr:col>25</xdr:col>
          <xdr:colOff>47625</xdr:colOff>
          <xdr:row>307</xdr:row>
          <xdr:rowOff>28575</xdr:rowOff>
        </xdr:to>
        <xdr:sp macro="" textlink="">
          <xdr:nvSpPr>
            <xdr:cNvPr id="11071" name="Check Box 831" hidden="1">
              <a:extLst>
                <a:ext uri="{63B3BB69-23CF-44E3-9099-C40C66FF867C}">
                  <a14:compatExt spid="_x0000_s11071"/>
                </a:ext>
                <a:ext uri="{FF2B5EF4-FFF2-40B4-BE49-F238E27FC236}">
                  <a16:creationId xmlns:a16="http://schemas.microsoft.com/office/drawing/2014/main" id="{00000000-0008-0000-0000-00003F2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306</xdr:row>
          <xdr:rowOff>209550</xdr:rowOff>
        </xdr:from>
        <xdr:to>
          <xdr:col>25</xdr:col>
          <xdr:colOff>47625</xdr:colOff>
          <xdr:row>308</xdr:row>
          <xdr:rowOff>28575</xdr:rowOff>
        </xdr:to>
        <xdr:sp macro="" textlink="">
          <xdr:nvSpPr>
            <xdr:cNvPr id="11072" name="Check Box 832" hidden="1">
              <a:extLst>
                <a:ext uri="{63B3BB69-23CF-44E3-9099-C40C66FF867C}">
                  <a14:compatExt spid="_x0000_s11072"/>
                </a:ext>
                <a:ext uri="{FF2B5EF4-FFF2-40B4-BE49-F238E27FC236}">
                  <a16:creationId xmlns:a16="http://schemas.microsoft.com/office/drawing/2014/main" id="{00000000-0008-0000-0000-0000402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307</xdr:row>
          <xdr:rowOff>209550</xdr:rowOff>
        </xdr:from>
        <xdr:to>
          <xdr:col>25</xdr:col>
          <xdr:colOff>47625</xdr:colOff>
          <xdr:row>309</xdr:row>
          <xdr:rowOff>28575</xdr:rowOff>
        </xdr:to>
        <xdr:sp macro="" textlink="">
          <xdr:nvSpPr>
            <xdr:cNvPr id="11073" name="Check Box 833" hidden="1">
              <a:extLst>
                <a:ext uri="{63B3BB69-23CF-44E3-9099-C40C66FF867C}">
                  <a14:compatExt spid="_x0000_s11073"/>
                </a:ext>
                <a:ext uri="{FF2B5EF4-FFF2-40B4-BE49-F238E27FC236}">
                  <a16:creationId xmlns:a16="http://schemas.microsoft.com/office/drawing/2014/main" id="{00000000-0008-0000-0000-0000412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311</xdr:row>
          <xdr:rowOff>219075</xdr:rowOff>
        </xdr:from>
        <xdr:to>
          <xdr:col>25</xdr:col>
          <xdr:colOff>47625</xdr:colOff>
          <xdr:row>313</xdr:row>
          <xdr:rowOff>38100</xdr:rowOff>
        </xdr:to>
        <xdr:sp macro="" textlink="">
          <xdr:nvSpPr>
            <xdr:cNvPr id="11074" name="Check Box 834" hidden="1">
              <a:extLst>
                <a:ext uri="{63B3BB69-23CF-44E3-9099-C40C66FF867C}">
                  <a14:compatExt spid="_x0000_s11074"/>
                </a:ext>
                <a:ext uri="{FF2B5EF4-FFF2-40B4-BE49-F238E27FC236}">
                  <a16:creationId xmlns:a16="http://schemas.microsoft.com/office/drawing/2014/main" id="{00000000-0008-0000-0000-0000422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312</xdr:row>
          <xdr:rowOff>219075</xdr:rowOff>
        </xdr:from>
        <xdr:to>
          <xdr:col>25</xdr:col>
          <xdr:colOff>47625</xdr:colOff>
          <xdr:row>314</xdr:row>
          <xdr:rowOff>47625</xdr:rowOff>
        </xdr:to>
        <xdr:sp macro="" textlink="">
          <xdr:nvSpPr>
            <xdr:cNvPr id="11075" name="Check Box 835" hidden="1">
              <a:extLst>
                <a:ext uri="{63B3BB69-23CF-44E3-9099-C40C66FF867C}">
                  <a14:compatExt spid="_x0000_s11075"/>
                </a:ext>
                <a:ext uri="{FF2B5EF4-FFF2-40B4-BE49-F238E27FC236}">
                  <a16:creationId xmlns:a16="http://schemas.microsoft.com/office/drawing/2014/main" id="{00000000-0008-0000-0000-0000432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314</xdr:row>
          <xdr:rowOff>0</xdr:rowOff>
        </xdr:from>
        <xdr:to>
          <xdr:col>25</xdr:col>
          <xdr:colOff>47625</xdr:colOff>
          <xdr:row>315</xdr:row>
          <xdr:rowOff>38100</xdr:rowOff>
        </xdr:to>
        <xdr:sp macro="" textlink="">
          <xdr:nvSpPr>
            <xdr:cNvPr id="11076" name="Check Box 836" hidden="1">
              <a:extLst>
                <a:ext uri="{63B3BB69-23CF-44E3-9099-C40C66FF867C}">
                  <a14:compatExt spid="_x0000_s11076"/>
                </a:ext>
                <a:ext uri="{FF2B5EF4-FFF2-40B4-BE49-F238E27FC236}">
                  <a16:creationId xmlns:a16="http://schemas.microsoft.com/office/drawing/2014/main" id="{00000000-0008-0000-0000-0000442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315</xdr:row>
          <xdr:rowOff>0</xdr:rowOff>
        </xdr:from>
        <xdr:to>
          <xdr:col>25</xdr:col>
          <xdr:colOff>47625</xdr:colOff>
          <xdr:row>316</xdr:row>
          <xdr:rowOff>47625</xdr:rowOff>
        </xdr:to>
        <xdr:sp macro="" textlink="">
          <xdr:nvSpPr>
            <xdr:cNvPr id="11077" name="Check Box 837" hidden="1">
              <a:extLst>
                <a:ext uri="{63B3BB69-23CF-44E3-9099-C40C66FF867C}">
                  <a14:compatExt spid="_x0000_s11077"/>
                </a:ext>
                <a:ext uri="{FF2B5EF4-FFF2-40B4-BE49-F238E27FC236}">
                  <a16:creationId xmlns:a16="http://schemas.microsoft.com/office/drawing/2014/main" id="{00000000-0008-0000-0000-0000452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316</xdr:row>
          <xdr:rowOff>0</xdr:rowOff>
        </xdr:from>
        <xdr:to>
          <xdr:col>25</xdr:col>
          <xdr:colOff>47625</xdr:colOff>
          <xdr:row>317</xdr:row>
          <xdr:rowOff>47625</xdr:rowOff>
        </xdr:to>
        <xdr:sp macro="" textlink="">
          <xdr:nvSpPr>
            <xdr:cNvPr id="11078" name="Check Box 838" hidden="1">
              <a:extLst>
                <a:ext uri="{63B3BB69-23CF-44E3-9099-C40C66FF867C}">
                  <a14:compatExt spid="_x0000_s11078"/>
                </a:ext>
                <a:ext uri="{FF2B5EF4-FFF2-40B4-BE49-F238E27FC236}">
                  <a16:creationId xmlns:a16="http://schemas.microsoft.com/office/drawing/2014/main" id="{00000000-0008-0000-0000-0000462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317</xdr:row>
          <xdr:rowOff>0</xdr:rowOff>
        </xdr:from>
        <xdr:to>
          <xdr:col>25</xdr:col>
          <xdr:colOff>47625</xdr:colOff>
          <xdr:row>318</xdr:row>
          <xdr:rowOff>57150</xdr:rowOff>
        </xdr:to>
        <xdr:sp macro="" textlink="">
          <xdr:nvSpPr>
            <xdr:cNvPr id="11079" name="Check Box 839" hidden="1">
              <a:extLst>
                <a:ext uri="{63B3BB69-23CF-44E3-9099-C40C66FF867C}">
                  <a14:compatExt spid="_x0000_s11079"/>
                </a:ext>
                <a:ext uri="{FF2B5EF4-FFF2-40B4-BE49-F238E27FC236}">
                  <a16:creationId xmlns:a16="http://schemas.microsoft.com/office/drawing/2014/main" id="{00000000-0008-0000-0000-0000472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318</xdr:row>
          <xdr:rowOff>0</xdr:rowOff>
        </xdr:from>
        <xdr:to>
          <xdr:col>25</xdr:col>
          <xdr:colOff>47625</xdr:colOff>
          <xdr:row>318</xdr:row>
          <xdr:rowOff>285750</xdr:rowOff>
        </xdr:to>
        <xdr:sp macro="" textlink="">
          <xdr:nvSpPr>
            <xdr:cNvPr id="11080" name="Check Box 840" hidden="1">
              <a:extLst>
                <a:ext uri="{63B3BB69-23CF-44E3-9099-C40C66FF867C}">
                  <a14:compatExt spid="_x0000_s11080"/>
                </a:ext>
                <a:ext uri="{FF2B5EF4-FFF2-40B4-BE49-F238E27FC236}">
                  <a16:creationId xmlns:a16="http://schemas.microsoft.com/office/drawing/2014/main" id="{00000000-0008-0000-0000-0000482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28575</xdr:colOff>
          <xdr:row>319</xdr:row>
          <xdr:rowOff>0</xdr:rowOff>
        </xdr:from>
        <xdr:to>
          <xdr:col>25</xdr:col>
          <xdr:colOff>47625</xdr:colOff>
          <xdr:row>319</xdr:row>
          <xdr:rowOff>285750</xdr:rowOff>
        </xdr:to>
        <xdr:sp macro="" textlink="">
          <xdr:nvSpPr>
            <xdr:cNvPr id="11081" name="Check Box 841" hidden="1">
              <a:extLst>
                <a:ext uri="{63B3BB69-23CF-44E3-9099-C40C66FF867C}">
                  <a14:compatExt spid="_x0000_s11081"/>
                </a:ext>
                <a:ext uri="{FF2B5EF4-FFF2-40B4-BE49-F238E27FC236}">
                  <a16:creationId xmlns:a16="http://schemas.microsoft.com/office/drawing/2014/main" id="{00000000-0008-0000-0000-0000492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19050</xdr:colOff>
          <xdr:row>201</xdr:row>
          <xdr:rowOff>9525</xdr:rowOff>
        </xdr:from>
        <xdr:to>
          <xdr:col>25</xdr:col>
          <xdr:colOff>190500</xdr:colOff>
          <xdr:row>201</xdr:row>
          <xdr:rowOff>219075</xdr:rowOff>
        </xdr:to>
        <xdr:sp macro="" textlink="">
          <xdr:nvSpPr>
            <xdr:cNvPr id="11082" name="Drop Down 566" hidden="1">
              <a:extLst>
                <a:ext uri="{63B3BB69-23CF-44E3-9099-C40C66FF867C}">
                  <a14:compatExt spid="_x0000_s11082"/>
                </a:ext>
                <a:ext uri="{FF2B5EF4-FFF2-40B4-BE49-F238E27FC236}">
                  <a16:creationId xmlns:a16="http://schemas.microsoft.com/office/drawing/2014/main" id="{00000000-0008-0000-0000-00004A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202</xdr:row>
          <xdr:rowOff>9525</xdr:rowOff>
        </xdr:from>
        <xdr:to>
          <xdr:col>25</xdr:col>
          <xdr:colOff>190500</xdr:colOff>
          <xdr:row>202</xdr:row>
          <xdr:rowOff>219075</xdr:rowOff>
        </xdr:to>
        <xdr:sp macro="" textlink="">
          <xdr:nvSpPr>
            <xdr:cNvPr id="11083" name="Drop Down 843" hidden="1">
              <a:extLst>
                <a:ext uri="{63B3BB69-23CF-44E3-9099-C40C66FF867C}">
                  <a14:compatExt spid="_x0000_s11083"/>
                </a:ext>
                <a:ext uri="{FF2B5EF4-FFF2-40B4-BE49-F238E27FC236}">
                  <a16:creationId xmlns:a16="http://schemas.microsoft.com/office/drawing/2014/main" id="{00000000-0008-0000-0000-00004B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203</xdr:row>
          <xdr:rowOff>9525</xdr:rowOff>
        </xdr:from>
        <xdr:to>
          <xdr:col>25</xdr:col>
          <xdr:colOff>190500</xdr:colOff>
          <xdr:row>203</xdr:row>
          <xdr:rowOff>219075</xdr:rowOff>
        </xdr:to>
        <xdr:sp macro="" textlink="">
          <xdr:nvSpPr>
            <xdr:cNvPr id="11084" name="Drop Down 844" hidden="1">
              <a:extLst>
                <a:ext uri="{63B3BB69-23CF-44E3-9099-C40C66FF867C}">
                  <a14:compatExt spid="_x0000_s11084"/>
                </a:ext>
                <a:ext uri="{FF2B5EF4-FFF2-40B4-BE49-F238E27FC236}">
                  <a16:creationId xmlns:a16="http://schemas.microsoft.com/office/drawing/2014/main" id="{00000000-0008-0000-0000-00004C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204</xdr:row>
          <xdr:rowOff>19050</xdr:rowOff>
        </xdr:from>
        <xdr:to>
          <xdr:col>25</xdr:col>
          <xdr:colOff>190500</xdr:colOff>
          <xdr:row>205</xdr:row>
          <xdr:rowOff>0</xdr:rowOff>
        </xdr:to>
        <xdr:sp macro="" textlink="">
          <xdr:nvSpPr>
            <xdr:cNvPr id="11085" name="Drop Down 845" hidden="1">
              <a:extLst>
                <a:ext uri="{63B3BB69-23CF-44E3-9099-C40C66FF867C}">
                  <a14:compatExt spid="_x0000_s11085"/>
                </a:ext>
                <a:ext uri="{FF2B5EF4-FFF2-40B4-BE49-F238E27FC236}">
                  <a16:creationId xmlns:a16="http://schemas.microsoft.com/office/drawing/2014/main" id="{00000000-0008-0000-0000-00004D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205</xdr:row>
          <xdr:rowOff>19050</xdr:rowOff>
        </xdr:from>
        <xdr:to>
          <xdr:col>25</xdr:col>
          <xdr:colOff>190500</xdr:colOff>
          <xdr:row>206</xdr:row>
          <xdr:rowOff>0</xdr:rowOff>
        </xdr:to>
        <xdr:sp macro="" textlink="">
          <xdr:nvSpPr>
            <xdr:cNvPr id="11086" name="Drop Down 846" hidden="1">
              <a:extLst>
                <a:ext uri="{63B3BB69-23CF-44E3-9099-C40C66FF867C}">
                  <a14:compatExt spid="_x0000_s11086"/>
                </a:ext>
                <a:ext uri="{FF2B5EF4-FFF2-40B4-BE49-F238E27FC236}">
                  <a16:creationId xmlns:a16="http://schemas.microsoft.com/office/drawing/2014/main" id="{00000000-0008-0000-0000-00004E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206</xdr:row>
          <xdr:rowOff>19050</xdr:rowOff>
        </xdr:from>
        <xdr:to>
          <xdr:col>25</xdr:col>
          <xdr:colOff>190500</xdr:colOff>
          <xdr:row>207</xdr:row>
          <xdr:rowOff>0</xdr:rowOff>
        </xdr:to>
        <xdr:sp macro="" textlink="">
          <xdr:nvSpPr>
            <xdr:cNvPr id="11087" name="Drop Down 847" hidden="1">
              <a:extLst>
                <a:ext uri="{63B3BB69-23CF-44E3-9099-C40C66FF867C}">
                  <a14:compatExt spid="_x0000_s11087"/>
                </a:ext>
                <a:ext uri="{FF2B5EF4-FFF2-40B4-BE49-F238E27FC236}">
                  <a16:creationId xmlns:a16="http://schemas.microsoft.com/office/drawing/2014/main" id="{00000000-0008-0000-0000-00004F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180975</xdr:colOff>
          <xdr:row>3</xdr:row>
          <xdr:rowOff>323850</xdr:rowOff>
        </xdr:from>
        <xdr:to>
          <xdr:col>30</xdr:col>
          <xdr:colOff>180975</xdr:colOff>
          <xdr:row>5</xdr:row>
          <xdr:rowOff>0</xdr:rowOff>
        </xdr:to>
        <xdr:sp macro="" textlink="">
          <xdr:nvSpPr>
            <xdr:cNvPr id="11092" name="CommandButton3" hidden="1">
              <a:extLst>
                <a:ext uri="{63B3BB69-23CF-44E3-9099-C40C66FF867C}">
                  <a14:compatExt spid="_x0000_s11092"/>
                </a:ext>
                <a:ext uri="{FF2B5EF4-FFF2-40B4-BE49-F238E27FC236}">
                  <a16:creationId xmlns:a16="http://schemas.microsoft.com/office/drawing/2014/main" id="{00000000-0008-0000-0000-000054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57150</xdr:colOff>
          <xdr:row>3</xdr:row>
          <xdr:rowOff>314325</xdr:rowOff>
        </xdr:from>
        <xdr:to>
          <xdr:col>50</xdr:col>
          <xdr:colOff>180975</xdr:colOff>
          <xdr:row>4</xdr:row>
          <xdr:rowOff>666750</xdr:rowOff>
        </xdr:to>
        <xdr:sp macro="" textlink="">
          <xdr:nvSpPr>
            <xdr:cNvPr id="11093" name="CommandButton6" hidden="1">
              <a:extLst>
                <a:ext uri="{63B3BB69-23CF-44E3-9099-C40C66FF867C}">
                  <a14:compatExt spid="_x0000_s11093"/>
                </a:ext>
                <a:ext uri="{FF2B5EF4-FFF2-40B4-BE49-F238E27FC236}">
                  <a16:creationId xmlns:a16="http://schemas.microsoft.com/office/drawing/2014/main" id="{00000000-0008-0000-0000-000055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37</xdr:col>
          <xdr:colOff>66675</xdr:colOff>
          <xdr:row>3</xdr:row>
          <xdr:rowOff>323850</xdr:rowOff>
        </xdr:from>
        <xdr:to>
          <xdr:col>40</xdr:col>
          <xdr:colOff>171450</xdr:colOff>
          <xdr:row>5</xdr:row>
          <xdr:rowOff>9525</xdr:rowOff>
        </xdr:to>
        <xdr:sp macro="" textlink="">
          <xdr:nvSpPr>
            <xdr:cNvPr id="11094" name="CommandButton1" hidden="1">
              <a:extLst>
                <a:ext uri="{63B3BB69-23CF-44E3-9099-C40C66FF867C}">
                  <a14:compatExt spid="_x0000_s11094"/>
                </a:ext>
                <a:ext uri="{FF2B5EF4-FFF2-40B4-BE49-F238E27FC236}">
                  <a16:creationId xmlns:a16="http://schemas.microsoft.com/office/drawing/2014/main" id="{00000000-0008-0000-0000-0000562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95250</xdr:colOff>
          <xdr:row>813</xdr:row>
          <xdr:rowOff>28575</xdr:rowOff>
        </xdr:from>
        <xdr:to>
          <xdr:col>52</xdr:col>
          <xdr:colOff>466725</xdr:colOff>
          <xdr:row>815</xdr:row>
          <xdr:rowOff>114300</xdr:rowOff>
        </xdr:to>
        <xdr:sp macro="" textlink="">
          <xdr:nvSpPr>
            <xdr:cNvPr id="11095" name="Button 550" hidden="1">
              <a:extLst>
                <a:ext uri="{63B3BB69-23CF-44E3-9099-C40C66FF867C}">
                  <a14:compatExt spid="_x0000_s11095"/>
                </a:ext>
                <a:ext uri="{FF2B5EF4-FFF2-40B4-BE49-F238E27FC236}">
                  <a16:creationId xmlns:a16="http://schemas.microsoft.com/office/drawing/2014/main" id="{00000000-0008-0000-0000-0000572B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200" b="1" i="0" u="none" strike="noStrike" baseline="0">
                  <a:solidFill>
                    <a:srgbClr val="0000FF"/>
                  </a:solidFill>
                  <a:latin typeface="Calibri"/>
                  <a:cs typeface="Calibri"/>
                </a:rPr>
                <a:t>IR AL 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35</xdr:col>
          <xdr:colOff>57150</xdr:colOff>
          <xdr:row>358</xdr:row>
          <xdr:rowOff>114300</xdr:rowOff>
        </xdr:from>
        <xdr:to>
          <xdr:col>41</xdr:col>
          <xdr:colOff>228600</xdr:colOff>
          <xdr:row>359</xdr:row>
          <xdr:rowOff>190500</xdr:rowOff>
        </xdr:to>
        <xdr:sp macro="" textlink="">
          <xdr:nvSpPr>
            <xdr:cNvPr id="11097" name="Button 541" hidden="1">
              <a:extLst>
                <a:ext uri="{63B3BB69-23CF-44E3-9099-C40C66FF867C}">
                  <a14:compatExt spid="_x0000_s11097"/>
                </a:ext>
                <a:ext uri="{FF2B5EF4-FFF2-40B4-BE49-F238E27FC236}">
                  <a16:creationId xmlns:a16="http://schemas.microsoft.com/office/drawing/2014/main" id="{00000000-0008-0000-0000-0000592B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200" b="1" i="0" u="none" strike="noStrike" baseline="0">
                  <a:solidFill>
                    <a:srgbClr val="0000FF"/>
                  </a:solidFill>
                  <a:latin typeface="Calibri"/>
                  <a:cs typeface="Calibri"/>
                </a:rPr>
                <a:t>VER POBLACIÓN Y RR.SS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104775</xdr:colOff>
          <xdr:row>659</xdr:row>
          <xdr:rowOff>38100</xdr:rowOff>
        </xdr:from>
        <xdr:to>
          <xdr:col>20</xdr:col>
          <xdr:colOff>9525</xdr:colOff>
          <xdr:row>661</xdr:row>
          <xdr:rowOff>28575</xdr:rowOff>
        </xdr:to>
        <xdr:sp macro="" textlink="">
          <xdr:nvSpPr>
            <xdr:cNvPr id="11098" name="Button 548" hidden="1">
              <a:extLst>
                <a:ext uri="{63B3BB69-23CF-44E3-9099-C40C66FF867C}">
                  <a14:compatExt spid="_x0000_s11098"/>
                </a:ext>
                <a:ext uri="{FF2B5EF4-FFF2-40B4-BE49-F238E27FC236}">
                  <a16:creationId xmlns:a16="http://schemas.microsoft.com/office/drawing/2014/main" id="{00000000-0008-0000-0000-00005A2B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200" b="1" i="0" u="none" strike="noStrike" baseline="0">
                  <a:solidFill>
                    <a:srgbClr val="0000FF"/>
                  </a:solidFill>
                  <a:latin typeface="Calibri"/>
                  <a:cs typeface="Calibri"/>
                </a:rPr>
                <a:t>VER COSTOS DE ALTERNATIVA</a:t>
              </a:r>
            </a:p>
          </xdr:txBody>
        </xdr:sp>
        <xdr:clientData/>
      </xdr:twoCellAnchor>
    </mc:Choice>
    <mc:Fallback/>
  </mc:AlternateContent>
  <xdr:twoCellAnchor editAs="oneCell">
    <xdr:from>
      <xdr:col>40</xdr:col>
      <xdr:colOff>204107</xdr:colOff>
      <xdr:row>5</xdr:row>
      <xdr:rowOff>81644</xdr:rowOff>
    </xdr:from>
    <xdr:to>
      <xdr:col>41</xdr:col>
      <xdr:colOff>154801</xdr:colOff>
      <xdr:row>6</xdr:row>
      <xdr:rowOff>1752</xdr:rowOff>
    </xdr:to>
    <xdr:pic>
      <xdr:nvPicPr>
        <xdr:cNvPr id="196" name="Imagen 195" descr="Resultado de imagen para icono reloj y fecha png">
          <a:extLst>
            <a:ext uri="{FF2B5EF4-FFF2-40B4-BE49-F238E27FC236}">
              <a16:creationId xmlns:a16="http://schemas.microsoft.com/office/drawing/2014/main" id="{00000000-0008-0000-0000-0000C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117286" y="2313215"/>
          <a:ext cx="250051" cy="2491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40</xdr:col>
      <xdr:colOff>11207</xdr:colOff>
      <xdr:row>6</xdr:row>
      <xdr:rowOff>0</xdr:rowOff>
    </xdr:from>
    <xdr:to>
      <xdr:col>51</xdr:col>
      <xdr:colOff>290556</xdr:colOff>
      <xdr:row>9</xdr:row>
      <xdr:rowOff>381000</xdr:rowOff>
    </xdr:to>
    <xdr:sp macro="" textlink="">
      <xdr:nvSpPr>
        <xdr:cNvPr id="197" name="CuadroTexto 196">
          <a:extLst>
            <a:ext uri="{FF2B5EF4-FFF2-40B4-BE49-F238E27FC236}">
              <a16:creationId xmlns:a16="http://schemas.microsoft.com/office/drawing/2014/main" id="{00000000-0008-0000-0000-0000C5000000}"/>
            </a:ext>
          </a:extLst>
        </xdr:cNvPr>
        <xdr:cNvSpPr txBox="1"/>
      </xdr:nvSpPr>
      <xdr:spPr>
        <a:xfrm>
          <a:off x="12942795" y="2353235"/>
          <a:ext cx="3607496" cy="1053353"/>
        </a:xfrm>
        <a:prstGeom prst="rect">
          <a:avLst/>
        </a:prstGeom>
        <a:solidFill>
          <a:sysClr val="window" lastClr="FFFFFF"/>
        </a:solidFill>
        <a:ln w="12700"/>
      </xdr:spPr>
      <xdr:style>
        <a:lnRef idx="2">
          <a:schemeClr val="accent3"/>
        </a:lnRef>
        <a:fillRef idx="1">
          <a:schemeClr val="lt1"/>
        </a:fillRef>
        <a:effectRef idx="0">
          <a:schemeClr val="accent3"/>
        </a:effectRef>
        <a:fontRef idx="minor">
          <a:schemeClr val="dk1"/>
        </a:fontRef>
      </xdr:style>
      <xdr:txBody>
        <a:bodyPr vertOverflow="clip" horzOverflow="clip" wrap="square" rtlCol="0" anchor="t"/>
        <a:lstStyle/>
        <a:p>
          <a:pPr algn="ctr">
            <a:lnSpc>
              <a:spcPct val="150000"/>
            </a:lnSpc>
          </a:pPr>
          <a:r>
            <a:rPr lang="es-PE" sz="1100" b="1" baseline="0">
              <a:solidFill>
                <a:srgbClr val="C00000"/>
              </a:solidFill>
              <a:latin typeface="Arial Narrow" panose="020B0606020202030204" pitchFamily="34" charset="0"/>
            </a:rPr>
            <a:t>OFICINA DE PRESUPUESTO Y PROGRAMACIÓN MULTIANUAL DE INVERSIONES</a:t>
          </a:r>
        </a:p>
        <a:p>
          <a:pPr algn="ctr">
            <a:lnSpc>
              <a:spcPct val="150000"/>
            </a:lnSpc>
          </a:pPr>
          <a:r>
            <a:rPr lang="es-PE" sz="1100" b="1" baseline="0">
              <a:solidFill>
                <a:srgbClr val="C00000"/>
              </a:solidFill>
              <a:latin typeface="Arial Narrow" panose="020B0606020202030204" pitchFamily="34" charset="0"/>
            </a:rPr>
            <a:t>OPMI - AMBIENTE</a:t>
          </a:r>
        </a:p>
        <a:p>
          <a:pPr marL="0" marR="0" indent="0" algn="ctr" defTabSz="914400" eaLnBrk="1" fontAlgn="auto" latinLnBrk="0" hangingPunct="1">
            <a:lnSpc>
              <a:spcPct val="150000"/>
            </a:lnSpc>
            <a:spcBef>
              <a:spcPts val="0"/>
            </a:spcBef>
            <a:spcAft>
              <a:spcPts val="0"/>
            </a:spcAft>
            <a:buClrTx/>
            <a:buSzTx/>
            <a:buFontTx/>
            <a:buNone/>
            <a:tabLst/>
            <a:defRPr/>
          </a:pPr>
          <a:r>
            <a:rPr lang="es-PE" sz="1100">
              <a:solidFill>
                <a:schemeClr val="dk1"/>
              </a:solidFill>
              <a:effectLst/>
              <a:latin typeface="Arial Narrow" panose="020B0606020202030204" pitchFamily="34" charset="0"/>
              <a:ea typeface="+mn-ea"/>
              <a:cs typeface="+mn-cs"/>
            </a:rPr>
            <a:t>Versión</a:t>
          </a:r>
          <a:r>
            <a:rPr lang="es-PE" sz="1100" baseline="0">
              <a:solidFill>
                <a:schemeClr val="dk1"/>
              </a:solidFill>
              <a:effectLst/>
              <a:latin typeface="Arial Narrow" panose="020B0606020202030204" pitchFamily="34" charset="0"/>
              <a:ea typeface="+mn-ea"/>
              <a:cs typeface="+mn-cs"/>
            </a:rPr>
            <a:t> 1.0 - Enero 2018</a:t>
          </a:r>
          <a:endParaRPr lang="es-PE" sz="1100">
            <a:effectLst/>
            <a:latin typeface="Arial Narrow" panose="020B0606020202030204" pitchFamily="34" charset="0"/>
          </a:endParaRPr>
        </a:p>
        <a:p>
          <a:pPr algn="ctr"/>
          <a:endParaRPr lang="es-PE" sz="1200" b="1">
            <a:latin typeface="Arial Narrow" panose="020B0606020202030204" pitchFamily="34" charset="0"/>
          </a:endParaRPr>
        </a:p>
      </xdr:txBody>
    </xdr:sp>
    <xdr:clientData/>
  </xdr:twoCellAnchor>
  <mc:AlternateContent xmlns:mc="http://schemas.openxmlformats.org/markup-compatibility/2006">
    <mc:Choice xmlns:a14="http://schemas.microsoft.com/office/drawing/2010/main" Requires="a14">
      <xdr:twoCellAnchor>
        <xdr:from>
          <xdr:col>49</xdr:col>
          <xdr:colOff>28575</xdr:colOff>
          <xdr:row>372</xdr:row>
          <xdr:rowOff>209550</xdr:rowOff>
        </xdr:from>
        <xdr:to>
          <xdr:col>52</xdr:col>
          <xdr:colOff>9525</xdr:colOff>
          <xdr:row>373</xdr:row>
          <xdr:rowOff>276225</xdr:rowOff>
        </xdr:to>
        <xdr:sp macro="" textlink="">
          <xdr:nvSpPr>
            <xdr:cNvPr id="11104" name="Button 576" hidden="1">
              <a:extLst>
                <a:ext uri="{63B3BB69-23CF-44E3-9099-C40C66FF867C}">
                  <a14:compatExt spid="_x0000_s11104"/>
                </a:ext>
                <a:ext uri="{FF2B5EF4-FFF2-40B4-BE49-F238E27FC236}">
                  <a16:creationId xmlns:a16="http://schemas.microsoft.com/office/drawing/2014/main" id="{00000000-0008-0000-0000-0000602B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1" i="0" u="none" strike="noStrike" baseline="0">
                  <a:solidFill>
                    <a:srgbClr val="0000FF"/>
                  </a:solidFill>
                  <a:latin typeface="Calibri"/>
                  <a:cs typeface="Calibri"/>
                </a:rPr>
                <a:t>VER CRITERIOS TÉCNICOS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519544</xdr:colOff>
      <xdr:row>17</xdr:row>
      <xdr:rowOff>125522</xdr:rowOff>
    </xdr:from>
    <xdr:to>
      <xdr:col>12</xdr:col>
      <xdr:colOff>190500</xdr:colOff>
      <xdr:row>22</xdr:row>
      <xdr:rowOff>138544</xdr:rowOff>
    </xdr:to>
    <xdr:sp macro="" textlink="">
      <xdr:nvSpPr>
        <xdr:cNvPr id="2" name="Rectángulo redondeado 1">
          <a:extLst>
            <a:ext uri="{FF2B5EF4-FFF2-40B4-BE49-F238E27FC236}">
              <a16:creationId xmlns:a16="http://schemas.microsoft.com/office/drawing/2014/main" id="{00000000-0008-0000-0200-000002000000}"/>
            </a:ext>
          </a:extLst>
        </xdr:cNvPr>
        <xdr:cNvSpPr/>
      </xdr:nvSpPr>
      <xdr:spPr>
        <a:xfrm>
          <a:off x="3843769" y="3678347"/>
          <a:ext cx="6100331" cy="1203647"/>
        </a:xfrm>
        <a:prstGeom prst="round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b="1" baseline="0">
              <a:solidFill>
                <a:schemeClr val="accent2">
                  <a:lumMod val="50000"/>
                </a:schemeClr>
              </a:solidFill>
            </a:rPr>
            <a:t>3RA. CONDICIÓN</a:t>
          </a:r>
        </a:p>
        <a:p>
          <a:pPr algn="ctr"/>
          <a:r>
            <a:rPr lang="es-PE" sz="2000" b="0" baseline="0">
              <a:solidFill>
                <a:sysClr val="windowText" lastClr="000000"/>
              </a:solidFill>
            </a:rPr>
            <a:t>Proyectos que no contemplen la implementación de planta de transferencia de residuos sólidos (*).</a:t>
          </a:r>
        </a:p>
        <a:p>
          <a:pPr algn="l"/>
          <a:endParaRPr lang="es-PE" sz="2000" b="1" baseline="0">
            <a:solidFill>
              <a:schemeClr val="accent2">
                <a:lumMod val="50000"/>
              </a:schemeClr>
            </a:solidFill>
          </a:endParaRPr>
        </a:p>
      </xdr:txBody>
    </xdr:sp>
    <xdr:clientData/>
  </xdr:twoCellAnchor>
  <xdr:twoCellAnchor>
    <xdr:from>
      <xdr:col>4</xdr:col>
      <xdr:colOff>502226</xdr:colOff>
      <xdr:row>22</xdr:row>
      <xdr:rowOff>240122</xdr:rowOff>
    </xdr:from>
    <xdr:to>
      <xdr:col>12</xdr:col>
      <xdr:colOff>225136</xdr:colOff>
      <xdr:row>29</xdr:row>
      <xdr:rowOff>34636</xdr:rowOff>
    </xdr:to>
    <xdr:sp macro="" textlink="">
      <xdr:nvSpPr>
        <xdr:cNvPr id="3" name="Rectángulo redondeado 2">
          <a:extLst>
            <a:ext uri="{FF2B5EF4-FFF2-40B4-BE49-F238E27FC236}">
              <a16:creationId xmlns:a16="http://schemas.microsoft.com/office/drawing/2014/main" id="{00000000-0008-0000-0200-000003000000}"/>
            </a:ext>
          </a:extLst>
        </xdr:cNvPr>
        <xdr:cNvSpPr/>
      </xdr:nvSpPr>
      <xdr:spPr>
        <a:xfrm>
          <a:off x="3826451" y="4983572"/>
          <a:ext cx="6152285" cy="1461389"/>
        </a:xfrm>
        <a:prstGeom prst="round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b="1" baseline="0">
              <a:solidFill>
                <a:schemeClr val="accent2">
                  <a:lumMod val="50000"/>
                </a:schemeClr>
              </a:solidFill>
            </a:rPr>
            <a:t>4TA. CONDICIÓN</a:t>
          </a:r>
        </a:p>
        <a:p>
          <a:pPr algn="ctr"/>
          <a:r>
            <a:rPr lang="es-PE" sz="2000" b="0" baseline="0">
              <a:solidFill>
                <a:sysClr val="windowText" lastClr="000000"/>
              </a:solidFill>
            </a:rPr>
            <a:t>Proyectos donde el relleno sanitario proyectado se encuentre a una distancia mayor a 13 Km de radio con centro en el Punto de Referencia de un Aeródromo (*).</a:t>
          </a:r>
        </a:p>
      </xdr:txBody>
    </xdr:sp>
    <xdr:clientData/>
  </xdr:twoCellAnchor>
  <xdr:twoCellAnchor>
    <xdr:from>
      <xdr:col>4</xdr:col>
      <xdr:colOff>484909</xdr:colOff>
      <xdr:row>29</xdr:row>
      <xdr:rowOff>173180</xdr:rowOff>
    </xdr:from>
    <xdr:to>
      <xdr:col>12</xdr:col>
      <xdr:colOff>207819</xdr:colOff>
      <xdr:row>36</xdr:row>
      <xdr:rowOff>111124</xdr:rowOff>
    </xdr:to>
    <xdr:sp macro="" textlink="">
      <xdr:nvSpPr>
        <xdr:cNvPr id="4" name="Rectángulo redondeado 3">
          <a:extLst>
            <a:ext uri="{FF2B5EF4-FFF2-40B4-BE49-F238E27FC236}">
              <a16:creationId xmlns:a16="http://schemas.microsoft.com/office/drawing/2014/main" id="{00000000-0008-0000-0200-000004000000}"/>
            </a:ext>
          </a:extLst>
        </xdr:cNvPr>
        <xdr:cNvSpPr/>
      </xdr:nvSpPr>
      <xdr:spPr>
        <a:xfrm>
          <a:off x="3818659" y="6602555"/>
          <a:ext cx="6152285" cy="1668319"/>
        </a:xfrm>
        <a:prstGeom prst="round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b="1" baseline="0">
              <a:solidFill>
                <a:schemeClr val="accent2">
                  <a:lumMod val="50000"/>
                </a:schemeClr>
              </a:solidFill>
            </a:rPr>
            <a:t>5TA. CONDICIÓN</a:t>
          </a:r>
        </a:p>
        <a:p>
          <a:pPr algn="ctr"/>
          <a:r>
            <a:rPr lang="es-PE" sz="2000" b="0" baseline="0">
              <a:solidFill>
                <a:sysClr val="windowText" lastClr="000000"/>
              </a:solidFill>
            </a:rPr>
            <a:t>Proyectos que sólo contemplen un relleno sanitario como disposición final de los residuos sólidos de la(s) ciudad(es) que forma(n) parte del ámbito de influencia.</a:t>
          </a:r>
        </a:p>
      </xdr:txBody>
    </xdr:sp>
    <xdr:clientData/>
  </xdr:twoCellAnchor>
  <xdr:twoCellAnchor>
    <xdr:from>
      <xdr:col>0</xdr:col>
      <xdr:colOff>75457</xdr:colOff>
      <xdr:row>13</xdr:row>
      <xdr:rowOff>44023</xdr:rowOff>
    </xdr:from>
    <xdr:to>
      <xdr:col>4</xdr:col>
      <xdr:colOff>380999</xdr:colOff>
      <xdr:row>27</xdr:row>
      <xdr:rowOff>173182</xdr:rowOff>
    </xdr:to>
    <xdr:sp macro="" textlink="">
      <xdr:nvSpPr>
        <xdr:cNvPr id="5" name="Elipse 4">
          <a:extLst>
            <a:ext uri="{FF2B5EF4-FFF2-40B4-BE49-F238E27FC236}">
              <a16:creationId xmlns:a16="http://schemas.microsoft.com/office/drawing/2014/main" id="{00000000-0008-0000-0200-000005000000}"/>
            </a:ext>
          </a:extLst>
        </xdr:cNvPr>
        <xdr:cNvSpPr/>
      </xdr:nvSpPr>
      <xdr:spPr>
        <a:xfrm>
          <a:off x="75457" y="2682448"/>
          <a:ext cx="3629767" cy="3424809"/>
        </a:xfrm>
        <a:prstGeom prst="ellipse">
          <a:avLst/>
        </a:prstGeom>
        <a:solidFill>
          <a:schemeClr val="tx2">
            <a:lumMod val="20000"/>
            <a:lumOff val="80000"/>
          </a:schemeClr>
        </a:solidFill>
        <a:ln>
          <a:solidFill>
            <a:schemeClr val="bg2"/>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800" b="1">
              <a:solidFill>
                <a:schemeClr val="tx1"/>
              </a:solidFill>
            </a:rPr>
            <a:t>LA FICHA TÉCNICA</a:t>
          </a:r>
          <a:r>
            <a:rPr lang="es-PE" sz="1800" b="1" baseline="0">
              <a:solidFill>
                <a:schemeClr val="tx1"/>
              </a:solidFill>
            </a:rPr>
            <a:t> ESTANDAR SE PUEDE APLICAR A LOS PROYECTOS DE LIMPIEZA PÚBLICA QUE CUMPLAN CON LAS 05 CONDICIONES </a:t>
          </a:r>
          <a:endParaRPr lang="es-PE" sz="1800" b="1">
            <a:solidFill>
              <a:schemeClr val="tx1"/>
            </a:solidFill>
          </a:endParaRPr>
        </a:p>
      </xdr:txBody>
    </xdr:sp>
    <xdr:clientData/>
  </xdr:twoCellAnchor>
  <xdr:twoCellAnchor>
    <xdr:from>
      <xdr:col>4</xdr:col>
      <xdr:colOff>398318</xdr:colOff>
      <xdr:row>6</xdr:row>
      <xdr:rowOff>103909</xdr:rowOff>
    </xdr:from>
    <xdr:to>
      <xdr:col>12</xdr:col>
      <xdr:colOff>103909</xdr:colOff>
      <xdr:row>11</xdr:row>
      <xdr:rowOff>173182</xdr:rowOff>
    </xdr:to>
    <xdr:sp macro="" textlink="">
      <xdr:nvSpPr>
        <xdr:cNvPr id="6" name="Rectángulo redondeado 5">
          <a:extLst>
            <a:ext uri="{FF2B5EF4-FFF2-40B4-BE49-F238E27FC236}">
              <a16:creationId xmlns:a16="http://schemas.microsoft.com/office/drawing/2014/main" id="{00000000-0008-0000-0200-000006000000}"/>
            </a:ext>
          </a:extLst>
        </xdr:cNvPr>
        <xdr:cNvSpPr/>
      </xdr:nvSpPr>
      <xdr:spPr>
        <a:xfrm>
          <a:off x="3722543" y="1113559"/>
          <a:ext cx="6134966" cy="1221798"/>
        </a:xfrm>
        <a:prstGeom prst="round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PE" sz="2000" b="1" baseline="0">
              <a:solidFill>
                <a:schemeClr val="accent2">
                  <a:lumMod val="50000"/>
                </a:schemeClr>
              </a:solidFill>
              <a:latin typeface="+mn-lt"/>
              <a:ea typeface="+mn-ea"/>
              <a:cs typeface="+mn-cs"/>
            </a:rPr>
            <a:t>1RA. CONDICIÓN</a:t>
          </a:r>
          <a:endParaRPr lang="es-PE" sz="2000" b="0" baseline="0">
            <a:solidFill>
              <a:sysClr val="windowText" lastClr="000000"/>
            </a:solidFill>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sz="2000" b="0" baseline="0">
              <a:solidFill>
                <a:sysClr val="windowText" lastClr="000000"/>
              </a:solidFill>
              <a:latin typeface="+mn-lt"/>
              <a:ea typeface="+mn-ea"/>
              <a:cs typeface="+mn-cs"/>
            </a:rPr>
            <a:t>Las intervenciones estarán orientada a las áreas urbanas.</a:t>
          </a:r>
        </a:p>
      </xdr:txBody>
    </xdr:sp>
    <xdr:clientData/>
  </xdr:twoCellAnchor>
  <xdr:twoCellAnchor>
    <xdr:from>
      <xdr:col>4</xdr:col>
      <xdr:colOff>467590</xdr:colOff>
      <xdr:row>12</xdr:row>
      <xdr:rowOff>10690</xdr:rowOff>
    </xdr:from>
    <xdr:to>
      <xdr:col>12</xdr:col>
      <xdr:colOff>173180</xdr:colOff>
      <xdr:row>16</xdr:row>
      <xdr:rowOff>207818</xdr:rowOff>
    </xdr:to>
    <xdr:sp macro="" textlink="">
      <xdr:nvSpPr>
        <xdr:cNvPr id="7" name="Rectángulo redondeado 6">
          <a:extLst>
            <a:ext uri="{FF2B5EF4-FFF2-40B4-BE49-F238E27FC236}">
              <a16:creationId xmlns:a16="http://schemas.microsoft.com/office/drawing/2014/main" id="{00000000-0008-0000-0200-000007000000}"/>
            </a:ext>
          </a:extLst>
        </xdr:cNvPr>
        <xdr:cNvSpPr/>
      </xdr:nvSpPr>
      <xdr:spPr>
        <a:xfrm>
          <a:off x="3791815" y="2410990"/>
          <a:ext cx="6134965" cy="1111528"/>
        </a:xfrm>
        <a:prstGeom prst="round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b="1" baseline="0">
              <a:solidFill>
                <a:schemeClr val="accent2">
                  <a:lumMod val="50000"/>
                </a:schemeClr>
              </a:solidFill>
            </a:rPr>
            <a:t>2DA. CONDICIÓN</a:t>
          </a:r>
        </a:p>
        <a:p>
          <a:pPr marL="0" marR="0" lvl="0" indent="0" algn="ctr" defTabSz="914400" eaLnBrk="1" fontAlgn="auto" latinLnBrk="0" hangingPunct="1">
            <a:lnSpc>
              <a:spcPct val="100000"/>
            </a:lnSpc>
            <a:spcBef>
              <a:spcPts val="0"/>
            </a:spcBef>
            <a:spcAft>
              <a:spcPts val="0"/>
            </a:spcAft>
            <a:buClrTx/>
            <a:buSzTx/>
            <a:buFontTx/>
            <a:buNone/>
            <a:tabLst/>
            <a:defRPr/>
          </a:pPr>
          <a:r>
            <a:rPr lang="es-PE" sz="2000" b="0">
              <a:solidFill>
                <a:sysClr val="windowText" lastClr="000000"/>
              </a:solidFill>
              <a:effectLst/>
              <a:latin typeface="+mn-lt"/>
              <a:ea typeface="+mn-ea"/>
              <a:cs typeface="+mn-cs"/>
            </a:rPr>
            <a:t>Proyectos que no contemplen construcción de planta de tratamiento de lixiviados (*).</a:t>
          </a:r>
        </a:p>
      </xdr:txBody>
    </xdr:sp>
    <xdr:clientData/>
  </xdr:twoCellAnchor>
  <xdr:twoCellAnchor editAs="oneCell">
    <xdr:from>
      <xdr:col>23</xdr:col>
      <xdr:colOff>0</xdr:colOff>
      <xdr:row>8</xdr:row>
      <xdr:rowOff>0</xdr:rowOff>
    </xdr:from>
    <xdr:to>
      <xdr:col>23</xdr:col>
      <xdr:colOff>304800</xdr:colOff>
      <xdr:row>9</xdr:row>
      <xdr:rowOff>66675</xdr:rowOff>
    </xdr:to>
    <xdr:sp macro="" textlink="">
      <xdr:nvSpPr>
        <xdr:cNvPr id="83068" name="AutoShape 2" descr="Resultado de imagen para ciudades huanuco">
          <a:extLst>
            <a:ext uri="{FF2B5EF4-FFF2-40B4-BE49-F238E27FC236}">
              <a16:creationId xmlns:a16="http://schemas.microsoft.com/office/drawing/2014/main" id="{00000000-0008-0000-0200-00007C440100}"/>
            </a:ext>
          </a:extLst>
        </xdr:cNvPr>
        <xdr:cNvSpPr>
          <a:spLocks noChangeAspect="1" noChangeArrowheads="1"/>
        </xdr:cNvSpPr>
      </xdr:nvSpPr>
      <xdr:spPr bwMode="auto">
        <a:xfrm>
          <a:off x="16983075" y="19812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23</xdr:col>
      <xdr:colOff>0</xdr:colOff>
      <xdr:row>8</xdr:row>
      <xdr:rowOff>0</xdr:rowOff>
    </xdr:from>
    <xdr:to>
      <xdr:col>23</xdr:col>
      <xdr:colOff>304800</xdr:colOff>
      <xdr:row>9</xdr:row>
      <xdr:rowOff>66675</xdr:rowOff>
    </xdr:to>
    <xdr:sp macro="" textlink="">
      <xdr:nvSpPr>
        <xdr:cNvPr id="83069" name="AutoShape 3" descr="Imagen relacionada">
          <a:extLst>
            <a:ext uri="{FF2B5EF4-FFF2-40B4-BE49-F238E27FC236}">
              <a16:creationId xmlns:a16="http://schemas.microsoft.com/office/drawing/2014/main" id="{00000000-0008-0000-0200-00007D440100}"/>
            </a:ext>
          </a:extLst>
        </xdr:cNvPr>
        <xdr:cNvSpPr>
          <a:spLocks noChangeAspect="1" noChangeArrowheads="1"/>
        </xdr:cNvSpPr>
      </xdr:nvSpPr>
      <xdr:spPr bwMode="auto">
        <a:xfrm>
          <a:off x="16983075" y="19812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23</xdr:col>
      <xdr:colOff>0</xdr:colOff>
      <xdr:row>8</xdr:row>
      <xdr:rowOff>0</xdr:rowOff>
    </xdr:from>
    <xdr:to>
      <xdr:col>23</xdr:col>
      <xdr:colOff>304800</xdr:colOff>
      <xdr:row>9</xdr:row>
      <xdr:rowOff>66675</xdr:rowOff>
    </xdr:to>
    <xdr:sp macro="" textlink="">
      <xdr:nvSpPr>
        <xdr:cNvPr id="83070" name="AutoShape 5" descr="Foto: Aeronáutica Civil ">
          <a:extLst>
            <a:ext uri="{FF2B5EF4-FFF2-40B4-BE49-F238E27FC236}">
              <a16:creationId xmlns:a16="http://schemas.microsoft.com/office/drawing/2014/main" id="{00000000-0008-0000-0200-00007E440100}"/>
            </a:ext>
          </a:extLst>
        </xdr:cNvPr>
        <xdr:cNvSpPr>
          <a:spLocks noChangeAspect="1" noChangeArrowheads="1"/>
        </xdr:cNvSpPr>
      </xdr:nvSpPr>
      <xdr:spPr bwMode="auto">
        <a:xfrm>
          <a:off x="16983075" y="19812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0</xdr:colOff>
      <xdr:row>40</xdr:row>
      <xdr:rowOff>0</xdr:rowOff>
    </xdr:from>
    <xdr:to>
      <xdr:col>5</xdr:col>
      <xdr:colOff>304800</xdr:colOff>
      <xdr:row>41</xdr:row>
      <xdr:rowOff>114300</xdr:rowOff>
    </xdr:to>
    <xdr:sp macro="" textlink="">
      <xdr:nvSpPr>
        <xdr:cNvPr id="83071" name="AutoShape 2" descr="Basura Dongfeng camión compresor 4M3">
          <a:extLst>
            <a:ext uri="{FF2B5EF4-FFF2-40B4-BE49-F238E27FC236}">
              <a16:creationId xmlns:a16="http://schemas.microsoft.com/office/drawing/2014/main" id="{00000000-0008-0000-0200-00007F440100}"/>
            </a:ext>
          </a:extLst>
        </xdr:cNvPr>
        <xdr:cNvSpPr>
          <a:spLocks noChangeAspect="1" noChangeArrowheads="1"/>
        </xdr:cNvSpPr>
      </xdr:nvSpPr>
      <xdr:spPr bwMode="auto">
        <a:xfrm>
          <a:off x="4057650" y="96202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27</xdr:col>
      <xdr:colOff>0</xdr:colOff>
      <xdr:row>40</xdr:row>
      <xdr:rowOff>0</xdr:rowOff>
    </xdr:from>
    <xdr:to>
      <xdr:col>27</xdr:col>
      <xdr:colOff>304800</xdr:colOff>
      <xdr:row>41</xdr:row>
      <xdr:rowOff>114300</xdr:rowOff>
    </xdr:to>
    <xdr:sp macro="" textlink="">
      <xdr:nvSpPr>
        <xdr:cNvPr id="83072" name="AutoShape 3" descr="Resultado de imagen para compactador de 4m3">
          <a:extLst>
            <a:ext uri="{FF2B5EF4-FFF2-40B4-BE49-F238E27FC236}">
              <a16:creationId xmlns:a16="http://schemas.microsoft.com/office/drawing/2014/main" id="{00000000-0008-0000-0200-000080440100}"/>
            </a:ext>
          </a:extLst>
        </xdr:cNvPr>
        <xdr:cNvSpPr>
          <a:spLocks noChangeAspect="1" noChangeArrowheads="1"/>
        </xdr:cNvSpPr>
      </xdr:nvSpPr>
      <xdr:spPr bwMode="auto">
        <a:xfrm>
          <a:off x="20402550" y="96202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27</xdr:col>
      <xdr:colOff>0</xdr:colOff>
      <xdr:row>40</xdr:row>
      <xdr:rowOff>0</xdr:rowOff>
    </xdr:from>
    <xdr:to>
      <xdr:col>27</xdr:col>
      <xdr:colOff>304800</xdr:colOff>
      <xdr:row>41</xdr:row>
      <xdr:rowOff>114300</xdr:rowOff>
    </xdr:to>
    <xdr:sp macro="" textlink="">
      <xdr:nvSpPr>
        <xdr:cNvPr id="83073" name="AutoShape 4" descr="Resultado de imagen para compactador de 4m3">
          <a:extLst>
            <a:ext uri="{FF2B5EF4-FFF2-40B4-BE49-F238E27FC236}">
              <a16:creationId xmlns:a16="http://schemas.microsoft.com/office/drawing/2014/main" id="{00000000-0008-0000-0200-000081440100}"/>
            </a:ext>
          </a:extLst>
        </xdr:cNvPr>
        <xdr:cNvSpPr>
          <a:spLocks noChangeAspect="1" noChangeArrowheads="1"/>
        </xdr:cNvSpPr>
      </xdr:nvSpPr>
      <xdr:spPr bwMode="auto">
        <a:xfrm>
          <a:off x="20402550" y="96202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12</xdr:col>
      <xdr:colOff>0</xdr:colOff>
      <xdr:row>40</xdr:row>
      <xdr:rowOff>0</xdr:rowOff>
    </xdr:from>
    <xdr:to>
      <xdr:col>12</xdr:col>
      <xdr:colOff>304800</xdr:colOff>
      <xdr:row>41</xdr:row>
      <xdr:rowOff>114300</xdr:rowOff>
    </xdr:to>
    <xdr:sp macro="" textlink="">
      <xdr:nvSpPr>
        <xdr:cNvPr id="83074" name="AutoShape 6" descr=" - Imagen 1">
          <a:extLst>
            <a:ext uri="{FF2B5EF4-FFF2-40B4-BE49-F238E27FC236}">
              <a16:creationId xmlns:a16="http://schemas.microsoft.com/office/drawing/2014/main" id="{00000000-0008-0000-0200-000082440100}"/>
            </a:ext>
          </a:extLst>
        </xdr:cNvPr>
        <xdr:cNvSpPr>
          <a:spLocks noChangeAspect="1" noChangeArrowheads="1"/>
        </xdr:cNvSpPr>
      </xdr:nvSpPr>
      <xdr:spPr bwMode="auto">
        <a:xfrm>
          <a:off x="9753600" y="96202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27</xdr:col>
      <xdr:colOff>0</xdr:colOff>
      <xdr:row>40</xdr:row>
      <xdr:rowOff>0</xdr:rowOff>
    </xdr:from>
    <xdr:to>
      <xdr:col>27</xdr:col>
      <xdr:colOff>304800</xdr:colOff>
      <xdr:row>41</xdr:row>
      <xdr:rowOff>114300</xdr:rowOff>
    </xdr:to>
    <xdr:sp macro="" textlink="">
      <xdr:nvSpPr>
        <xdr:cNvPr id="83075" name="AutoShape 9" descr="Resultado de imagen para CRIBA TAMBOR de residuos">
          <a:extLst>
            <a:ext uri="{FF2B5EF4-FFF2-40B4-BE49-F238E27FC236}">
              <a16:creationId xmlns:a16="http://schemas.microsoft.com/office/drawing/2014/main" id="{00000000-0008-0000-0200-000083440100}"/>
            </a:ext>
          </a:extLst>
        </xdr:cNvPr>
        <xdr:cNvSpPr>
          <a:spLocks noChangeAspect="1" noChangeArrowheads="1"/>
        </xdr:cNvSpPr>
      </xdr:nvSpPr>
      <xdr:spPr bwMode="auto">
        <a:xfrm>
          <a:off x="20402550" y="96202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0</xdr:colOff>
      <xdr:row>40</xdr:row>
      <xdr:rowOff>0</xdr:rowOff>
    </xdr:from>
    <xdr:to>
      <xdr:col>5</xdr:col>
      <xdr:colOff>304800</xdr:colOff>
      <xdr:row>41</xdr:row>
      <xdr:rowOff>114300</xdr:rowOff>
    </xdr:to>
    <xdr:sp macro="" textlink="">
      <xdr:nvSpPr>
        <xdr:cNvPr id="83076" name="AutoShape 2" descr="Basura Dongfeng camión compresor 4M3">
          <a:extLst>
            <a:ext uri="{FF2B5EF4-FFF2-40B4-BE49-F238E27FC236}">
              <a16:creationId xmlns:a16="http://schemas.microsoft.com/office/drawing/2014/main" id="{00000000-0008-0000-0200-000084440100}"/>
            </a:ext>
          </a:extLst>
        </xdr:cNvPr>
        <xdr:cNvSpPr>
          <a:spLocks noChangeAspect="1" noChangeArrowheads="1"/>
        </xdr:cNvSpPr>
      </xdr:nvSpPr>
      <xdr:spPr bwMode="auto">
        <a:xfrm>
          <a:off x="4057650" y="96202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12</xdr:col>
      <xdr:colOff>0</xdr:colOff>
      <xdr:row>40</xdr:row>
      <xdr:rowOff>0</xdr:rowOff>
    </xdr:from>
    <xdr:to>
      <xdr:col>12</xdr:col>
      <xdr:colOff>304800</xdr:colOff>
      <xdr:row>41</xdr:row>
      <xdr:rowOff>114300</xdr:rowOff>
    </xdr:to>
    <xdr:sp macro="" textlink="">
      <xdr:nvSpPr>
        <xdr:cNvPr id="83077" name="AutoShape 6" descr=" - Imagen 1">
          <a:extLst>
            <a:ext uri="{FF2B5EF4-FFF2-40B4-BE49-F238E27FC236}">
              <a16:creationId xmlns:a16="http://schemas.microsoft.com/office/drawing/2014/main" id="{00000000-0008-0000-0200-000085440100}"/>
            </a:ext>
          </a:extLst>
        </xdr:cNvPr>
        <xdr:cNvSpPr>
          <a:spLocks noChangeAspect="1" noChangeArrowheads="1"/>
        </xdr:cNvSpPr>
      </xdr:nvSpPr>
      <xdr:spPr bwMode="auto">
        <a:xfrm>
          <a:off x="9753600" y="96202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27</xdr:col>
      <xdr:colOff>0</xdr:colOff>
      <xdr:row>40</xdr:row>
      <xdr:rowOff>0</xdr:rowOff>
    </xdr:from>
    <xdr:to>
      <xdr:col>27</xdr:col>
      <xdr:colOff>304800</xdr:colOff>
      <xdr:row>41</xdr:row>
      <xdr:rowOff>114300</xdr:rowOff>
    </xdr:to>
    <xdr:sp macro="" textlink="">
      <xdr:nvSpPr>
        <xdr:cNvPr id="83078" name="AutoShape 4" descr="CCL: Unos 33 municipios de Lima subirán arbitrios entre 3% y 5%">
          <a:extLst>
            <a:ext uri="{FF2B5EF4-FFF2-40B4-BE49-F238E27FC236}">
              <a16:creationId xmlns:a16="http://schemas.microsoft.com/office/drawing/2014/main" id="{00000000-0008-0000-0200-000086440100}"/>
            </a:ext>
          </a:extLst>
        </xdr:cNvPr>
        <xdr:cNvSpPr>
          <a:spLocks noChangeAspect="1" noChangeArrowheads="1"/>
        </xdr:cNvSpPr>
      </xdr:nvSpPr>
      <xdr:spPr bwMode="auto">
        <a:xfrm>
          <a:off x="20402550" y="96202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0</xdr:colOff>
      <xdr:row>40</xdr:row>
      <xdr:rowOff>0</xdr:rowOff>
    </xdr:from>
    <xdr:to>
      <xdr:col>5</xdr:col>
      <xdr:colOff>304800</xdr:colOff>
      <xdr:row>41</xdr:row>
      <xdr:rowOff>114300</xdr:rowOff>
    </xdr:to>
    <xdr:sp macro="" textlink="">
      <xdr:nvSpPr>
        <xdr:cNvPr id="83079" name="AutoShape 2" descr="Basura Dongfeng camión compresor 4M3">
          <a:extLst>
            <a:ext uri="{FF2B5EF4-FFF2-40B4-BE49-F238E27FC236}">
              <a16:creationId xmlns:a16="http://schemas.microsoft.com/office/drawing/2014/main" id="{00000000-0008-0000-0200-000087440100}"/>
            </a:ext>
          </a:extLst>
        </xdr:cNvPr>
        <xdr:cNvSpPr>
          <a:spLocks noChangeAspect="1" noChangeArrowheads="1"/>
        </xdr:cNvSpPr>
      </xdr:nvSpPr>
      <xdr:spPr bwMode="auto">
        <a:xfrm>
          <a:off x="4057650" y="96202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12</xdr:col>
      <xdr:colOff>0</xdr:colOff>
      <xdr:row>40</xdr:row>
      <xdr:rowOff>0</xdr:rowOff>
    </xdr:from>
    <xdr:to>
      <xdr:col>12</xdr:col>
      <xdr:colOff>304800</xdr:colOff>
      <xdr:row>41</xdr:row>
      <xdr:rowOff>114300</xdr:rowOff>
    </xdr:to>
    <xdr:sp macro="" textlink="">
      <xdr:nvSpPr>
        <xdr:cNvPr id="83080" name="AutoShape 6" descr=" - Imagen 1">
          <a:extLst>
            <a:ext uri="{FF2B5EF4-FFF2-40B4-BE49-F238E27FC236}">
              <a16:creationId xmlns:a16="http://schemas.microsoft.com/office/drawing/2014/main" id="{00000000-0008-0000-0200-000088440100}"/>
            </a:ext>
          </a:extLst>
        </xdr:cNvPr>
        <xdr:cNvSpPr>
          <a:spLocks noChangeAspect="1" noChangeArrowheads="1"/>
        </xdr:cNvSpPr>
      </xdr:nvSpPr>
      <xdr:spPr bwMode="auto">
        <a:xfrm>
          <a:off x="9753600" y="96202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12</xdr:col>
      <xdr:colOff>695325</xdr:colOff>
      <xdr:row>7</xdr:row>
      <xdr:rowOff>142875</xdr:rowOff>
    </xdr:from>
    <xdr:to>
      <xdr:col>19</xdr:col>
      <xdr:colOff>523875</xdr:colOff>
      <xdr:row>21</xdr:row>
      <xdr:rowOff>152400</xdr:rowOff>
    </xdr:to>
    <xdr:pic>
      <xdr:nvPicPr>
        <xdr:cNvPr id="83081" name="Imagen 62">
          <a:extLst>
            <a:ext uri="{FF2B5EF4-FFF2-40B4-BE49-F238E27FC236}">
              <a16:creationId xmlns:a16="http://schemas.microsoft.com/office/drawing/2014/main" id="{00000000-0008-0000-0200-0000894401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48925" y="1924050"/>
          <a:ext cx="4562475" cy="3267075"/>
        </a:xfrm>
        <a:prstGeom prst="rect">
          <a:avLst/>
        </a:prstGeom>
        <a:noFill/>
        <a:ln w="9525">
          <a:solidFill>
            <a:srgbClr val="C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19050</xdr:colOff>
      <xdr:row>22</xdr:row>
      <xdr:rowOff>171450</xdr:rowOff>
    </xdr:from>
    <xdr:to>
      <xdr:col>19</xdr:col>
      <xdr:colOff>533400</xdr:colOff>
      <xdr:row>35</xdr:row>
      <xdr:rowOff>19050</xdr:rowOff>
    </xdr:to>
    <xdr:pic>
      <xdr:nvPicPr>
        <xdr:cNvPr id="83082" name="Imagen 63">
          <a:extLst>
            <a:ext uri="{FF2B5EF4-FFF2-40B4-BE49-F238E27FC236}">
              <a16:creationId xmlns:a16="http://schemas.microsoft.com/office/drawing/2014/main" id="{00000000-0008-0000-0200-00008A4401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620375" y="5448300"/>
          <a:ext cx="4400550" cy="2943225"/>
        </a:xfrm>
        <a:prstGeom prst="rect">
          <a:avLst/>
        </a:prstGeom>
        <a:noFill/>
        <a:ln w="9525">
          <a:solidFill>
            <a:srgbClr val="C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238125</xdr:colOff>
      <xdr:row>7</xdr:row>
      <xdr:rowOff>152400</xdr:rowOff>
    </xdr:from>
    <xdr:to>
      <xdr:col>26</xdr:col>
      <xdr:colOff>295275</xdr:colOff>
      <xdr:row>20</xdr:row>
      <xdr:rowOff>180975</xdr:rowOff>
    </xdr:to>
    <xdr:pic>
      <xdr:nvPicPr>
        <xdr:cNvPr id="83083" name="Imagen 64">
          <a:extLst>
            <a:ext uri="{FF2B5EF4-FFF2-40B4-BE49-F238E27FC236}">
              <a16:creationId xmlns:a16="http://schemas.microsoft.com/office/drawing/2014/main" id="{00000000-0008-0000-0200-00008B4401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487650" y="1933575"/>
          <a:ext cx="4419600" cy="3048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238125</xdr:colOff>
      <xdr:row>23</xdr:row>
      <xdr:rowOff>0</xdr:rowOff>
    </xdr:from>
    <xdr:to>
      <xdr:col>26</xdr:col>
      <xdr:colOff>304800</xdr:colOff>
      <xdr:row>35</xdr:row>
      <xdr:rowOff>57150</xdr:rowOff>
    </xdr:to>
    <xdr:pic>
      <xdr:nvPicPr>
        <xdr:cNvPr id="83084" name="Imagen 65">
          <a:extLst>
            <a:ext uri="{FF2B5EF4-FFF2-40B4-BE49-F238E27FC236}">
              <a16:creationId xmlns:a16="http://schemas.microsoft.com/office/drawing/2014/main" id="{00000000-0008-0000-0200-00008C4401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5487650" y="5514975"/>
          <a:ext cx="4429125" cy="2914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38100</xdr:colOff>
          <xdr:row>2</xdr:row>
          <xdr:rowOff>219075</xdr:rowOff>
        </xdr:from>
        <xdr:to>
          <xdr:col>2</xdr:col>
          <xdr:colOff>657225</xdr:colOff>
          <xdr:row>4</xdr:row>
          <xdr:rowOff>0</xdr:rowOff>
        </xdr:to>
        <xdr:sp macro="" textlink="">
          <xdr:nvSpPr>
            <xdr:cNvPr id="82945" name="CommandButton1" hidden="1">
              <a:extLst>
                <a:ext uri="{63B3BB69-23CF-44E3-9099-C40C66FF867C}">
                  <a14:compatExt spid="_x0000_s82945"/>
                </a:ext>
                <a:ext uri="{FF2B5EF4-FFF2-40B4-BE49-F238E27FC236}">
                  <a16:creationId xmlns:a16="http://schemas.microsoft.com/office/drawing/2014/main" id="{00000000-0008-0000-0200-000001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40</xdr:row>
          <xdr:rowOff>38100</xdr:rowOff>
        </xdr:from>
        <xdr:to>
          <xdr:col>2</xdr:col>
          <xdr:colOff>657225</xdr:colOff>
          <xdr:row>41</xdr:row>
          <xdr:rowOff>161925</xdr:rowOff>
        </xdr:to>
        <xdr:sp macro="" textlink="">
          <xdr:nvSpPr>
            <xdr:cNvPr id="82946" name="CommandButton2" hidden="1">
              <a:extLst>
                <a:ext uri="{63B3BB69-23CF-44E3-9099-C40C66FF867C}">
                  <a14:compatExt spid="_x0000_s82946"/>
                </a:ext>
                <a:ext uri="{FF2B5EF4-FFF2-40B4-BE49-F238E27FC236}">
                  <a16:creationId xmlns:a16="http://schemas.microsoft.com/office/drawing/2014/main" id="{00000000-0008-0000-0200-000002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247650</xdr:rowOff>
        </xdr:from>
        <xdr:to>
          <xdr:col>7</xdr:col>
          <xdr:colOff>123825</xdr:colOff>
          <xdr:row>2</xdr:row>
          <xdr:rowOff>276225</xdr:rowOff>
        </xdr:to>
        <xdr:sp macro="" textlink="">
          <xdr:nvSpPr>
            <xdr:cNvPr id="22529" name="btnRFICHA1" hidden="1">
              <a:extLst>
                <a:ext uri="{63B3BB69-23CF-44E3-9099-C40C66FF867C}">
                  <a14:compatExt spid="_x0000_s22529"/>
                </a:ext>
                <a:ext uri="{FF2B5EF4-FFF2-40B4-BE49-F238E27FC236}">
                  <a16:creationId xmlns:a16="http://schemas.microsoft.com/office/drawing/2014/main" id="{00000000-0008-0000-03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278</xdr:row>
          <xdr:rowOff>66675</xdr:rowOff>
        </xdr:from>
        <xdr:to>
          <xdr:col>7</xdr:col>
          <xdr:colOff>123825</xdr:colOff>
          <xdr:row>280</xdr:row>
          <xdr:rowOff>0</xdr:rowOff>
        </xdr:to>
        <xdr:sp macro="" textlink="">
          <xdr:nvSpPr>
            <xdr:cNvPr id="22573" name="CommandButton1" hidden="1">
              <a:extLst>
                <a:ext uri="{63B3BB69-23CF-44E3-9099-C40C66FF867C}">
                  <a14:compatExt spid="_x0000_s22573"/>
                </a:ext>
                <a:ext uri="{FF2B5EF4-FFF2-40B4-BE49-F238E27FC236}">
                  <a16:creationId xmlns:a16="http://schemas.microsoft.com/office/drawing/2014/main" id="{00000000-0008-0000-0300-00002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23</xdr:col>
      <xdr:colOff>0</xdr:colOff>
      <xdr:row>0</xdr:row>
      <xdr:rowOff>0</xdr:rowOff>
    </xdr:from>
    <xdr:to>
      <xdr:col>23</xdr:col>
      <xdr:colOff>304800</xdr:colOff>
      <xdr:row>1</xdr:row>
      <xdr:rowOff>114300</xdr:rowOff>
    </xdr:to>
    <xdr:sp macro="" textlink="">
      <xdr:nvSpPr>
        <xdr:cNvPr id="84475" name="AutoShape 2" descr="Resultado de imagen para ciudades huanuco">
          <a:extLst>
            <a:ext uri="{FF2B5EF4-FFF2-40B4-BE49-F238E27FC236}">
              <a16:creationId xmlns:a16="http://schemas.microsoft.com/office/drawing/2014/main" id="{00000000-0008-0000-0400-0000FB490100}"/>
            </a:ext>
          </a:extLst>
        </xdr:cNvPr>
        <xdr:cNvSpPr>
          <a:spLocks noChangeAspect="1" noChangeArrowheads="1"/>
        </xdr:cNvSpPr>
      </xdr:nvSpPr>
      <xdr:spPr bwMode="auto">
        <a:xfrm>
          <a:off x="16983075" y="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23</xdr:col>
      <xdr:colOff>0</xdr:colOff>
      <xdr:row>0</xdr:row>
      <xdr:rowOff>0</xdr:rowOff>
    </xdr:from>
    <xdr:to>
      <xdr:col>23</xdr:col>
      <xdr:colOff>304800</xdr:colOff>
      <xdr:row>1</xdr:row>
      <xdr:rowOff>114300</xdr:rowOff>
    </xdr:to>
    <xdr:sp macro="" textlink="">
      <xdr:nvSpPr>
        <xdr:cNvPr id="84476" name="AutoShape 3" descr="Imagen relacionada">
          <a:extLst>
            <a:ext uri="{FF2B5EF4-FFF2-40B4-BE49-F238E27FC236}">
              <a16:creationId xmlns:a16="http://schemas.microsoft.com/office/drawing/2014/main" id="{00000000-0008-0000-0400-0000FC490100}"/>
            </a:ext>
          </a:extLst>
        </xdr:cNvPr>
        <xdr:cNvSpPr>
          <a:spLocks noChangeAspect="1" noChangeArrowheads="1"/>
        </xdr:cNvSpPr>
      </xdr:nvSpPr>
      <xdr:spPr bwMode="auto">
        <a:xfrm>
          <a:off x="16983075" y="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23</xdr:col>
      <xdr:colOff>0</xdr:colOff>
      <xdr:row>0</xdr:row>
      <xdr:rowOff>0</xdr:rowOff>
    </xdr:from>
    <xdr:to>
      <xdr:col>23</xdr:col>
      <xdr:colOff>304800</xdr:colOff>
      <xdr:row>1</xdr:row>
      <xdr:rowOff>114300</xdr:rowOff>
    </xdr:to>
    <xdr:sp macro="" textlink="">
      <xdr:nvSpPr>
        <xdr:cNvPr id="84477" name="AutoShape 5" descr="Foto: Aeronáutica Civil ">
          <a:extLst>
            <a:ext uri="{FF2B5EF4-FFF2-40B4-BE49-F238E27FC236}">
              <a16:creationId xmlns:a16="http://schemas.microsoft.com/office/drawing/2014/main" id="{00000000-0008-0000-0400-0000FD490100}"/>
            </a:ext>
          </a:extLst>
        </xdr:cNvPr>
        <xdr:cNvSpPr>
          <a:spLocks noChangeAspect="1" noChangeArrowheads="1"/>
        </xdr:cNvSpPr>
      </xdr:nvSpPr>
      <xdr:spPr bwMode="auto">
        <a:xfrm>
          <a:off x="16983075" y="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294409</xdr:colOff>
      <xdr:row>26</xdr:row>
      <xdr:rowOff>85357</xdr:rowOff>
    </xdr:from>
    <xdr:to>
      <xdr:col>19</xdr:col>
      <xdr:colOff>138544</xdr:colOff>
      <xdr:row>40</xdr:row>
      <xdr:rowOff>86592</xdr:rowOff>
    </xdr:to>
    <xdr:sp macro="" textlink="">
      <xdr:nvSpPr>
        <xdr:cNvPr id="5" name="Rectángulo redondeado 4">
          <a:extLst>
            <a:ext uri="{FF2B5EF4-FFF2-40B4-BE49-F238E27FC236}">
              <a16:creationId xmlns:a16="http://schemas.microsoft.com/office/drawing/2014/main" id="{00000000-0008-0000-0400-000005000000}"/>
            </a:ext>
          </a:extLst>
        </xdr:cNvPr>
        <xdr:cNvSpPr/>
      </xdr:nvSpPr>
      <xdr:spPr>
        <a:xfrm>
          <a:off x="294409" y="4895482"/>
          <a:ext cx="14331660" cy="2668235"/>
        </a:xfrm>
        <a:prstGeom prst="roundRect">
          <a:avLst/>
        </a:prstGeom>
        <a:solidFill>
          <a:schemeClr val="accent5">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s-PE" sz="2000" b="1" baseline="0">
              <a:solidFill>
                <a:srgbClr val="993300"/>
              </a:solidFill>
            </a:rPr>
            <a:t>PAPELERAS</a:t>
          </a:r>
          <a:endParaRPr lang="es-PE" sz="2000" b="1" baseline="0">
            <a:solidFill>
              <a:srgbClr val="993300"/>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s-PE" sz="2000" baseline="0">
              <a:solidFill>
                <a:sysClr val="windowText" lastClr="000000"/>
              </a:solidFill>
              <a:effectLst/>
              <a:latin typeface="+mn-lt"/>
              <a:ea typeface="+mn-ea"/>
              <a:cs typeface="+mn-cs"/>
            </a:rPr>
            <a:t>• Serán de 50 litros  de capacidad.</a:t>
          </a:r>
          <a:br>
            <a:rPr lang="es-PE" sz="2000" baseline="0">
              <a:solidFill>
                <a:sysClr val="windowText" lastClr="000000"/>
              </a:solidFill>
              <a:effectLst/>
              <a:latin typeface="+mn-lt"/>
              <a:ea typeface="+mn-ea"/>
              <a:cs typeface="+mn-cs"/>
            </a:rPr>
          </a:br>
          <a:r>
            <a:rPr lang="es-PE" sz="2000" baseline="0">
              <a:solidFill>
                <a:sysClr val="windowText" lastClr="000000"/>
              </a:solidFill>
              <a:effectLst/>
              <a:latin typeface="+mn-lt"/>
              <a:ea typeface="+mn-ea"/>
              <a:cs typeface="+mn-cs"/>
            </a:rPr>
            <a:t>• Deben estar ubicadas en vías urbanas de alto tránsito peatonal  (jirones, avenidas, calles) y en espacios públicos con alta afluencia de personas (parques y plazas,  alamedas, paradas de autobuses, entre otros). </a:t>
          </a:r>
        </a:p>
        <a:p>
          <a:pPr marL="0" marR="0" lvl="0" indent="0" algn="l" defTabSz="914400" eaLnBrk="1" fontAlgn="auto" latinLnBrk="0" hangingPunct="1">
            <a:lnSpc>
              <a:spcPct val="100000"/>
            </a:lnSpc>
            <a:spcBef>
              <a:spcPts val="0"/>
            </a:spcBef>
            <a:spcAft>
              <a:spcPts val="0"/>
            </a:spcAft>
            <a:buClrTx/>
            <a:buSzTx/>
            <a:buFontTx/>
            <a:buNone/>
            <a:tabLst/>
            <a:defRPr/>
          </a:pPr>
          <a:r>
            <a:rPr lang="es-PE" sz="2000" baseline="0">
              <a:solidFill>
                <a:sysClr val="windowText" lastClr="000000"/>
              </a:solidFill>
              <a:effectLst/>
              <a:latin typeface="+mn-lt"/>
              <a:ea typeface="+mn-ea"/>
              <a:cs typeface="+mn-cs"/>
            </a:rPr>
            <a:t>• Su instalación será en cada intersección de vías o como mínimo cada 50 metros lineales. </a:t>
          </a:r>
        </a:p>
        <a:p>
          <a:pPr marL="0" marR="0" lvl="0" indent="0" algn="l" defTabSz="914400" eaLnBrk="1" fontAlgn="auto" latinLnBrk="0" hangingPunct="1">
            <a:lnSpc>
              <a:spcPct val="100000"/>
            </a:lnSpc>
            <a:spcBef>
              <a:spcPts val="0"/>
            </a:spcBef>
            <a:spcAft>
              <a:spcPts val="0"/>
            </a:spcAft>
            <a:buClrTx/>
            <a:buSzTx/>
            <a:buFontTx/>
            <a:buNone/>
            <a:tabLst/>
            <a:defRPr/>
          </a:pPr>
          <a:r>
            <a:rPr lang="es-PE" sz="2000" baseline="0">
              <a:solidFill>
                <a:sysClr val="windowText" lastClr="000000"/>
              </a:solidFill>
              <a:effectLst/>
              <a:latin typeface="+mn-lt"/>
              <a:ea typeface="+mn-ea"/>
              <a:cs typeface="+mn-cs"/>
            </a:rPr>
            <a:t>• En el caso de plazas/parques se considerará un mínimo de  03 a 04 papeleras. </a:t>
          </a:r>
        </a:p>
        <a:p>
          <a:pPr marL="0" marR="0" lvl="0" indent="0" algn="l" defTabSz="914400" eaLnBrk="1" fontAlgn="auto" latinLnBrk="0" hangingPunct="1">
            <a:lnSpc>
              <a:spcPct val="100000"/>
            </a:lnSpc>
            <a:spcBef>
              <a:spcPts val="0"/>
            </a:spcBef>
            <a:spcAft>
              <a:spcPts val="0"/>
            </a:spcAft>
            <a:buClrTx/>
            <a:buSzTx/>
            <a:buFontTx/>
            <a:buNone/>
            <a:tabLst/>
            <a:defRPr/>
          </a:pPr>
          <a:br>
            <a:rPr lang="es-PE" sz="2000" baseline="0">
              <a:solidFill>
                <a:sysClr val="windowText" lastClr="000000"/>
              </a:solidFill>
              <a:effectLst/>
              <a:latin typeface="+mn-lt"/>
              <a:ea typeface="+mn-ea"/>
              <a:cs typeface="+mn-cs"/>
            </a:rPr>
          </a:br>
          <a:endParaRPr lang="es-PE" sz="2000" baseline="0">
            <a:solidFill>
              <a:sysClr val="windowText" lastClr="000000"/>
            </a:solidFill>
            <a:effectLst/>
            <a:latin typeface="+mn-lt"/>
            <a:ea typeface="+mn-ea"/>
            <a:cs typeface="+mn-cs"/>
          </a:endParaRPr>
        </a:p>
      </xdr:txBody>
    </xdr:sp>
    <xdr:clientData/>
  </xdr:twoCellAnchor>
  <xdr:twoCellAnchor>
    <xdr:from>
      <xdr:col>5</xdr:col>
      <xdr:colOff>173798</xdr:colOff>
      <xdr:row>79</xdr:row>
      <xdr:rowOff>24739</xdr:rowOff>
    </xdr:from>
    <xdr:to>
      <xdr:col>26</xdr:col>
      <xdr:colOff>467591</xdr:colOff>
      <xdr:row>95</xdr:row>
      <xdr:rowOff>173183</xdr:rowOff>
    </xdr:to>
    <xdr:sp macro="" textlink="">
      <xdr:nvSpPr>
        <xdr:cNvPr id="6" name="Rectángulo redondeado 5">
          <a:extLst>
            <a:ext uri="{FF2B5EF4-FFF2-40B4-BE49-F238E27FC236}">
              <a16:creationId xmlns:a16="http://schemas.microsoft.com/office/drawing/2014/main" id="{00000000-0008-0000-0400-000006000000}"/>
            </a:ext>
          </a:extLst>
        </xdr:cNvPr>
        <xdr:cNvSpPr/>
      </xdr:nvSpPr>
      <xdr:spPr>
        <a:xfrm>
          <a:off x="4231448" y="14874214"/>
          <a:ext cx="15848118" cy="3196444"/>
        </a:xfrm>
        <a:prstGeom prst="round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PE" sz="2000" b="1" u="sng" baseline="0">
              <a:solidFill>
                <a:schemeClr val="accent2">
                  <a:lumMod val="50000"/>
                </a:schemeClr>
              </a:solidFill>
              <a:latin typeface="+mn-lt"/>
              <a:ea typeface="+mn-ea"/>
              <a:cs typeface="+mn-cs"/>
            </a:rPr>
            <a:t>CRITERIOS GENERALES</a:t>
          </a:r>
        </a:p>
        <a:p>
          <a:pPr algn="l"/>
          <a:endParaRPr lang="es-PE" sz="2000" b="0" baseline="0">
            <a:solidFill>
              <a:sysClr val="windowText" lastClr="000000"/>
            </a:solidFill>
          </a:endParaRPr>
        </a:p>
        <a:p>
          <a:r>
            <a:rPr lang="es-PE" sz="2000" b="0" baseline="0">
              <a:solidFill>
                <a:sysClr val="windowText" lastClr="000000"/>
              </a:solidFill>
              <a:effectLst/>
              <a:latin typeface="+mn-lt"/>
              <a:ea typeface="+mn-ea"/>
              <a:cs typeface="+mn-cs"/>
            </a:rPr>
            <a:t>• El barrido debe realizarse en vías urbanas (jirones, avenidas, calles) y en áreas públicas. ( parques, plazas , alamedas , entre otros). Se priorizará las vías urbanas y áreas públicas de alto tránsito peatonal y flujo vehicular (ejem. vías con concentración de actividades comerciales) y flujo vehicular, que tengan algún tipo de capa superpuesta de material procesado por encima del terreno natural (asfalto, concreto, adoquines, otros). </a:t>
          </a:r>
        </a:p>
        <a:p>
          <a:r>
            <a:rPr lang="es-PE" sz="2000" b="0" baseline="0">
              <a:solidFill>
                <a:sysClr val="windowText" lastClr="000000"/>
              </a:solidFill>
              <a:effectLst/>
              <a:latin typeface="+mn-lt"/>
              <a:ea typeface="+mn-ea"/>
              <a:cs typeface="+mn-cs"/>
            </a:rPr>
            <a:t>• El rendimiento de barrido dependerá de la topografía, condiciones del pavimento, densidad del tráfico peatonal y vehicular de la ciudad.</a:t>
          </a:r>
        </a:p>
        <a:p>
          <a:r>
            <a:rPr lang="es-PE" sz="2000" b="0" baseline="0">
              <a:solidFill>
                <a:sysClr val="windowText" lastClr="000000"/>
              </a:solidFill>
              <a:effectLst/>
              <a:latin typeface="+mn-lt"/>
              <a:ea typeface="+mn-ea"/>
              <a:cs typeface="+mn-cs"/>
            </a:rPr>
            <a:t>• La frecuencia de barrido depende de la afluencia peatonal y flujo vehicular, pudiendo ser diaria o periódica. </a:t>
          </a:r>
        </a:p>
        <a:p>
          <a:r>
            <a:rPr lang="es-PE" sz="2000" b="0" baseline="0">
              <a:solidFill>
                <a:sysClr val="windowText" lastClr="000000"/>
              </a:solidFill>
              <a:effectLst/>
              <a:latin typeface="+mn-lt"/>
              <a:ea typeface="+mn-ea"/>
              <a:cs typeface="+mn-cs"/>
            </a:rPr>
            <a:t>• En vías urbanas o áreas públicas que no cuenten con algún tipo de  pavimento por encima del terreno natural , se realizará el papeleo (recojo de papeles, bolsas entre otros espacidos en la vía).</a:t>
          </a:r>
        </a:p>
      </xdr:txBody>
    </xdr:sp>
    <xdr:clientData/>
  </xdr:twoCellAnchor>
  <xdr:twoCellAnchor>
    <xdr:from>
      <xdr:col>19</xdr:col>
      <xdr:colOff>289461</xdr:colOff>
      <xdr:row>31</xdr:row>
      <xdr:rowOff>141020</xdr:rowOff>
    </xdr:from>
    <xdr:to>
      <xdr:col>20</xdr:col>
      <xdr:colOff>58140</xdr:colOff>
      <xdr:row>34</xdr:row>
      <xdr:rowOff>164232</xdr:rowOff>
    </xdr:to>
    <xdr:sp macro="" textlink="">
      <xdr:nvSpPr>
        <xdr:cNvPr id="7" name="Flecha a la derecha con bandas 6">
          <a:extLst>
            <a:ext uri="{FF2B5EF4-FFF2-40B4-BE49-F238E27FC236}">
              <a16:creationId xmlns:a16="http://schemas.microsoft.com/office/drawing/2014/main" id="{00000000-0008-0000-0400-000007000000}"/>
            </a:ext>
          </a:extLst>
        </xdr:cNvPr>
        <xdr:cNvSpPr/>
      </xdr:nvSpPr>
      <xdr:spPr>
        <a:xfrm>
          <a:off x="14776986" y="5903645"/>
          <a:ext cx="530679" cy="594712"/>
        </a:xfrm>
        <a:prstGeom prst="stripedRightArrow">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PE"/>
        </a:p>
      </xdr:txBody>
    </xdr:sp>
    <xdr:clientData/>
  </xdr:twoCellAnchor>
  <xdr:twoCellAnchor>
    <xdr:from>
      <xdr:col>9</xdr:col>
      <xdr:colOff>761531</xdr:colOff>
      <xdr:row>96</xdr:row>
      <xdr:rowOff>174896</xdr:rowOff>
    </xdr:from>
    <xdr:to>
      <xdr:col>10</xdr:col>
      <xdr:colOff>351789</xdr:colOff>
      <xdr:row>99</xdr:row>
      <xdr:rowOff>140261</xdr:rowOff>
    </xdr:to>
    <xdr:sp macro="" textlink="">
      <xdr:nvSpPr>
        <xdr:cNvPr id="8" name="Flecha a la derecha con bandas 7">
          <a:extLst>
            <a:ext uri="{FF2B5EF4-FFF2-40B4-BE49-F238E27FC236}">
              <a16:creationId xmlns:a16="http://schemas.microsoft.com/office/drawing/2014/main" id="{00000000-0008-0000-0400-000008000000}"/>
            </a:ext>
          </a:extLst>
        </xdr:cNvPr>
        <xdr:cNvSpPr/>
      </xdr:nvSpPr>
      <xdr:spPr>
        <a:xfrm rot="5400000">
          <a:off x="7727252" y="18231350"/>
          <a:ext cx="536865" cy="599908"/>
        </a:xfrm>
        <a:prstGeom prst="stripedRightArrow">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PE"/>
        </a:p>
      </xdr:txBody>
    </xdr:sp>
    <xdr:clientData/>
  </xdr:twoCellAnchor>
  <xdr:twoCellAnchor>
    <xdr:from>
      <xdr:col>1</xdr:col>
      <xdr:colOff>123702</xdr:colOff>
      <xdr:row>83</xdr:row>
      <xdr:rowOff>29690</xdr:rowOff>
    </xdr:from>
    <xdr:to>
      <xdr:col>5</xdr:col>
      <xdr:colOff>21030</xdr:colOff>
      <xdr:row>92</xdr:row>
      <xdr:rowOff>133104</xdr:rowOff>
    </xdr:to>
    <xdr:sp macro="" textlink="">
      <xdr:nvSpPr>
        <xdr:cNvPr id="9" name="Llamada de flecha a la derecha 8">
          <a:extLst>
            <a:ext uri="{FF2B5EF4-FFF2-40B4-BE49-F238E27FC236}">
              <a16:creationId xmlns:a16="http://schemas.microsoft.com/office/drawing/2014/main" id="{00000000-0008-0000-0400-000009000000}"/>
            </a:ext>
          </a:extLst>
        </xdr:cNvPr>
        <xdr:cNvSpPr/>
      </xdr:nvSpPr>
      <xdr:spPr>
        <a:xfrm>
          <a:off x="559131" y="16521547"/>
          <a:ext cx="3516828" cy="1817914"/>
        </a:xfrm>
        <a:prstGeom prst="rightArrowCallout">
          <a:avLst>
            <a:gd name="adj1" fmla="val 22646"/>
            <a:gd name="adj2" fmla="val 20722"/>
            <a:gd name="adj3" fmla="val 44143"/>
            <a:gd name="adj4" fmla="val 61563"/>
          </a:avLst>
        </a:prstGeom>
        <a:solidFill>
          <a:schemeClr val="tx2">
            <a:lumMod val="60000"/>
            <a:lumOff val="4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b="1" baseline="0"/>
            <a:t>BARRIDO </a:t>
          </a:r>
          <a:endParaRPr lang="es-PE" sz="2400" b="1">
            <a:solidFill>
              <a:schemeClr val="tx1"/>
            </a:solidFill>
          </a:endParaRPr>
        </a:p>
      </xdr:txBody>
    </xdr:sp>
    <xdr:clientData/>
  </xdr:twoCellAnchor>
  <xdr:twoCellAnchor>
    <xdr:from>
      <xdr:col>1</xdr:col>
      <xdr:colOff>259773</xdr:colOff>
      <xdr:row>100</xdr:row>
      <xdr:rowOff>124936</xdr:rowOff>
    </xdr:from>
    <xdr:to>
      <xdr:col>18</xdr:col>
      <xdr:colOff>329045</xdr:colOff>
      <xdr:row>114</xdr:row>
      <xdr:rowOff>86591</xdr:rowOff>
    </xdr:to>
    <xdr:sp macro="" textlink="">
      <xdr:nvSpPr>
        <xdr:cNvPr id="10" name="Rectángulo redondeado 9">
          <a:extLst>
            <a:ext uri="{FF2B5EF4-FFF2-40B4-BE49-F238E27FC236}">
              <a16:creationId xmlns:a16="http://schemas.microsoft.com/office/drawing/2014/main" id="{00000000-0008-0000-0400-00000A000000}"/>
            </a:ext>
          </a:extLst>
        </xdr:cNvPr>
        <xdr:cNvSpPr/>
      </xdr:nvSpPr>
      <xdr:spPr>
        <a:xfrm>
          <a:off x="697923" y="18974911"/>
          <a:ext cx="13356647" cy="2628655"/>
        </a:xfrm>
        <a:prstGeom prst="roundRect">
          <a:avLst/>
        </a:prstGeom>
        <a:solidFill>
          <a:schemeClr val="accent5">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PE" sz="2000" b="1" u="sng" baseline="0">
              <a:solidFill>
                <a:schemeClr val="accent2">
                  <a:lumMod val="50000"/>
                </a:schemeClr>
              </a:solidFill>
              <a:effectLst/>
              <a:latin typeface="+mn-lt"/>
              <a:ea typeface="+mn-ea"/>
              <a:cs typeface="+mn-cs"/>
            </a:rPr>
            <a:t>Ciudades con poblaciones hasta 10,000 habitantes</a:t>
          </a:r>
          <a:br>
            <a:rPr lang="es-PE" sz="2000" b="1" baseline="0">
              <a:solidFill>
                <a:schemeClr val="accent2">
                  <a:lumMod val="50000"/>
                </a:schemeClr>
              </a:solidFill>
              <a:effectLst/>
              <a:latin typeface="+mn-lt"/>
              <a:ea typeface="+mn-ea"/>
              <a:cs typeface="+mn-cs"/>
            </a:rPr>
          </a:br>
          <a:endParaRPr lang="es-PE" sz="1700" b="0" baseline="0">
            <a:solidFill>
              <a:sysClr val="windowText" lastClr="000000"/>
            </a:solidFill>
          </a:endParaRPr>
        </a:p>
        <a:p>
          <a:r>
            <a:rPr lang="es-PE" sz="1700" b="0" baseline="0">
              <a:solidFill>
                <a:sysClr val="windowText" lastClr="000000"/>
              </a:solidFill>
              <a:effectLst/>
              <a:latin typeface="+mn-lt"/>
              <a:ea typeface="+mn-ea"/>
              <a:cs typeface="+mn-cs"/>
            </a:rPr>
            <a:t>• Se considerará barrido manual </a:t>
          </a:r>
        </a:p>
        <a:p>
          <a:r>
            <a:rPr lang="es-PE" sz="1700" b="0" baseline="0">
              <a:solidFill>
                <a:sysClr val="windowText" lastClr="000000"/>
              </a:solidFill>
              <a:effectLst/>
              <a:latin typeface="+mn-lt"/>
              <a:ea typeface="+mn-ea"/>
              <a:cs typeface="+mn-cs"/>
            </a:rPr>
            <a:t>• El rendimiento promedio será de 1.5-2.0 km/barrendero/día</a:t>
          </a:r>
        </a:p>
        <a:p>
          <a:r>
            <a:rPr lang="es-PE" sz="1700" b="0" baseline="0">
              <a:solidFill>
                <a:sysClr val="windowText" lastClr="000000"/>
              </a:solidFill>
              <a:effectLst/>
              <a:latin typeface="+mn-lt"/>
              <a:ea typeface="+mn-ea"/>
              <a:cs typeface="+mn-cs"/>
            </a:rPr>
            <a:t>• El kit de barrido manual debe considerar como mínimo: un coche de barrido de 120 litros de capacidad, una escoba, un escobillón, un recogedor metálico, cono de seguridad y equipos de protección.</a:t>
          </a:r>
        </a:p>
        <a:p>
          <a:r>
            <a:rPr lang="es-PE" sz="1700" b="0" baseline="0">
              <a:solidFill>
                <a:sysClr val="windowText" lastClr="000000"/>
              </a:solidFill>
              <a:effectLst/>
              <a:latin typeface="+mn-lt"/>
              <a:ea typeface="+mn-ea"/>
              <a:cs typeface="+mn-cs"/>
            </a:rPr>
            <a:t>• La indumentaria y equipos de protección para el personal considerará como mínimo: camisa/polo, pantalón, gorro, calzado, guantes y mascarilla.</a:t>
          </a:r>
          <a:br>
            <a:rPr lang="es-PE" sz="1700" b="0" baseline="0">
              <a:solidFill>
                <a:sysClr val="windowText" lastClr="000000"/>
              </a:solidFill>
              <a:effectLst/>
              <a:latin typeface="+mn-lt"/>
              <a:ea typeface="+mn-ea"/>
              <a:cs typeface="+mn-cs"/>
            </a:rPr>
          </a:br>
          <a:endParaRPr lang="es-PE" sz="1700" b="0" baseline="0">
            <a:solidFill>
              <a:sysClr val="windowText" lastClr="000000"/>
            </a:solidFill>
            <a:effectLst/>
            <a:latin typeface="+mn-lt"/>
            <a:ea typeface="+mn-ea"/>
            <a:cs typeface="+mn-cs"/>
          </a:endParaRPr>
        </a:p>
      </xdr:txBody>
    </xdr:sp>
    <xdr:clientData/>
  </xdr:twoCellAnchor>
  <xdr:twoCellAnchor>
    <xdr:from>
      <xdr:col>0</xdr:col>
      <xdr:colOff>418111</xdr:colOff>
      <xdr:row>148</xdr:row>
      <xdr:rowOff>180602</xdr:rowOff>
    </xdr:from>
    <xdr:to>
      <xdr:col>4</xdr:col>
      <xdr:colOff>617270</xdr:colOff>
      <xdr:row>158</xdr:row>
      <xdr:rowOff>93516</xdr:rowOff>
    </xdr:to>
    <xdr:sp macro="" textlink="">
      <xdr:nvSpPr>
        <xdr:cNvPr id="11" name="Llamada de flecha a la derecha 10">
          <a:extLst>
            <a:ext uri="{FF2B5EF4-FFF2-40B4-BE49-F238E27FC236}">
              <a16:creationId xmlns:a16="http://schemas.microsoft.com/office/drawing/2014/main" id="{00000000-0008-0000-0400-00000B000000}"/>
            </a:ext>
          </a:extLst>
        </xdr:cNvPr>
        <xdr:cNvSpPr/>
      </xdr:nvSpPr>
      <xdr:spPr>
        <a:xfrm>
          <a:off x="418111" y="28365077"/>
          <a:ext cx="3523384" cy="1817914"/>
        </a:xfrm>
        <a:prstGeom prst="rightArrowCallout">
          <a:avLst>
            <a:gd name="adj1" fmla="val 22646"/>
            <a:gd name="adj2" fmla="val 20722"/>
            <a:gd name="adj3" fmla="val 44143"/>
            <a:gd name="adj4" fmla="val 61563"/>
          </a:avLst>
        </a:prstGeom>
        <a:solidFill>
          <a:schemeClr val="tx2">
            <a:lumMod val="60000"/>
            <a:lumOff val="4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b="1" baseline="0"/>
            <a:t>RECOLECCIÓN Y TRANSPORTE</a:t>
          </a:r>
          <a:endParaRPr lang="es-PE" sz="2400" b="1">
            <a:solidFill>
              <a:schemeClr val="tx1"/>
            </a:solidFill>
          </a:endParaRPr>
        </a:p>
      </xdr:txBody>
    </xdr:sp>
    <xdr:clientData/>
  </xdr:twoCellAnchor>
  <xdr:twoCellAnchor>
    <xdr:from>
      <xdr:col>5</xdr:col>
      <xdr:colOff>17319</xdr:colOff>
      <xdr:row>143</xdr:row>
      <xdr:rowOff>86590</xdr:rowOff>
    </xdr:from>
    <xdr:to>
      <xdr:col>26</xdr:col>
      <xdr:colOff>17318</xdr:colOff>
      <xdr:row>166</xdr:row>
      <xdr:rowOff>51954</xdr:rowOff>
    </xdr:to>
    <xdr:sp macro="" textlink="">
      <xdr:nvSpPr>
        <xdr:cNvPr id="12" name="Rectángulo redondeado 11">
          <a:extLst>
            <a:ext uri="{FF2B5EF4-FFF2-40B4-BE49-F238E27FC236}">
              <a16:creationId xmlns:a16="http://schemas.microsoft.com/office/drawing/2014/main" id="{00000000-0008-0000-0400-00000C000000}"/>
            </a:ext>
          </a:extLst>
        </xdr:cNvPr>
        <xdr:cNvSpPr/>
      </xdr:nvSpPr>
      <xdr:spPr>
        <a:xfrm>
          <a:off x="4074969" y="27128065"/>
          <a:ext cx="15554324" cy="4537364"/>
        </a:xfrm>
        <a:prstGeom prst="round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ts val="2300"/>
            </a:lnSpc>
            <a:spcBef>
              <a:spcPts val="0"/>
            </a:spcBef>
            <a:spcAft>
              <a:spcPts val="0"/>
            </a:spcAft>
            <a:buClrTx/>
            <a:buSzTx/>
            <a:buFontTx/>
            <a:buNone/>
            <a:tabLst/>
            <a:defRPr/>
          </a:pPr>
          <a:r>
            <a:rPr lang="es-PE" sz="2000" b="1" u="sng" baseline="0">
              <a:solidFill>
                <a:schemeClr val="accent2">
                  <a:lumMod val="50000"/>
                </a:schemeClr>
              </a:solidFill>
              <a:latin typeface="+mn-lt"/>
              <a:ea typeface="+mn-ea"/>
              <a:cs typeface="+mn-cs"/>
            </a:rPr>
            <a:t>CRITERIOS GENERALES</a:t>
          </a:r>
        </a:p>
        <a:p>
          <a:pPr algn="l">
            <a:lnSpc>
              <a:spcPts val="2100"/>
            </a:lnSpc>
          </a:pPr>
          <a:endParaRPr lang="es-PE" sz="1800" b="0" baseline="0">
            <a:solidFill>
              <a:sysClr val="windowText" lastClr="000000"/>
            </a:solidFill>
          </a:endParaRPr>
        </a:p>
        <a:p>
          <a:pPr>
            <a:lnSpc>
              <a:spcPts val="2100"/>
            </a:lnSpc>
          </a:pPr>
          <a:r>
            <a:rPr lang="es-PE" sz="1800" b="0" baseline="0">
              <a:solidFill>
                <a:sysClr val="windowText" lastClr="000000"/>
              </a:solidFill>
              <a:effectLst/>
              <a:latin typeface="+mn-lt"/>
              <a:ea typeface="+mn-ea"/>
              <a:cs typeface="+mn-cs"/>
            </a:rPr>
            <a:t>• Para la recolección de los residuos sólidos, se debe considerar vehículos convencionales (compactadores y/o barandas) o vehículos no convencionales (triciclos a pedal y/o motorizado, motofurgón, carretas jaladas por acémilas y  otros), según las características particulares de cada ciudad.</a:t>
          </a:r>
        </a:p>
        <a:p>
          <a:pPr>
            <a:lnSpc>
              <a:spcPts val="2000"/>
            </a:lnSpc>
          </a:pPr>
          <a:r>
            <a:rPr lang="es-PE" sz="1800" b="0" baseline="0">
              <a:solidFill>
                <a:sysClr val="windowText" lastClr="000000"/>
              </a:solidFill>
              <a:effectLst/>
              <a:latin typeface="+mn-lt"/>
              <a:ea typeface="+mn-ea"/>
              <a:cs typeface="+mn-cs"/>
            </a:rPr>
            <a:t>• Para el transporte de los residuos sólidos hacia el relleno sanitario, se debe considerar vehículos convencionales (compactadores y/o barandas). </a:t>
          </a:r>
        </a:p>
        <a:p>
          <a:pPr>
            <a:lnSpc>
              <a:spcPts val="2000"/>
            </a:lnSpc>
          </a:pPr>
          <a:r>
            <a:rPr lang="es-PE" sz="1800" b="0" baseline="0">
              <a:solidFill>
                <a:sysClr val="windowText" lastClr="000000"/>
              </a:solidFill>
              <a:effectLst/>
              <a:latin typeface="+mn-lt"/>
              <a:ea typeface="+mn-ea"/>
              <a:cs typeface="+mn-cs"/>
            </a:rPr>
            <a:t>• Se debe elaborar un diseño de rutas de recolección y transporte de los residuos sólidos. Las Municipalidades determinarán el horario de la recolección. </a:t>
          </a:r>
        </a:p>
        <a:p>
          <a:pPr>
            <a:lnSpc>
              <a:spcPts val="2100"/>
            </a:lnSpc>
          </a:pPr>
          <a:r>
            <a:rPr lang="es-PE" sz="1800" b="0" baseline="0">
              <a:solidFill>
                <a:sysClr val="windowText" lastClr="000000"/>
              </a:solidFill>
              <a:effectLst/>
              <a:latin typeface="+mn-lt"/>
              <a:ea typeface="+mn-ea"/>
              <a:cs typeface="+mn-cs"/>
            </a:rPr>
            <a:t>• La indumentaria y equipos de protección para el personal considerará como mínimo: camisa/polo, pantalón, gorro, calzado, guantes y mascarilla.</a:t>
          </a:r>
          <a:br>
            <a:rPr lang="es-PE" sz="1800" b="0" baseline="0">
              <a:solidFill>
                <a:sysClr val="windowText" lastClr="000000"/>
              </a:solidFill>
              <a:effectLst/>
              <a:latin typeface="+mn-lt"/>
              <a:ea typeface="+mn-ea"/>
              <a:cs typeface="+mn-cs"/>
            </a:rPr>
          </a:br>
          <a:r>
            <a:rPr lang="es-PE" sz="1800" b="0" baseline="0">
              <a:solidFill>
                <a:sysClr val="windowText" lastClr="000000"/>
              </a:solidFill>
              <a:effectLst/>
              <a:latin typeface="+mn-lt"/>
              <a:ea typeface="+mn-ea"/>
              <a:cs typeface="+mn-cs"/>
            </a:rPr>
            <a:t>• La frecuencia de recolección depende de la naturaleza y la cantidad de residuos sólidos generados, la segregación en fuente y recolección selectiva, condiciones meteorológicas, accesos, distancias, entre otros; la frecuencia mínima de recolección y transporte de residuos sólidos no aprovechables  en la zona urbana será de tres (03) veces por semana. </a:t>
          </a:r>
        </a:p>
        <a:p>
          <a:pPr>
            <a:lnSpc>
              <a:spcPts val="2000"/>
            </a:lnSpc>
          </a:pPr>
          <a:r>
            <a:rPr lang="es-PE" sz="1800" b="0" baseline="0">
              <a:solidFill>
                <a:sysClr val="windowText" lastClr="000000"/>
              </a:solidFill>
              <a:effectLst/>
              <a:latin typeface="+mn-lt"/>
              <a:ea typeface="+mn-ea"/>
              <a:cs typeface="+mn-cs"/>
            </a:rPr>
            <a:t>• Para la elección de los vehículos se deberá tener en cuenta las características de las vías (dimensiones, pendiente, topografía, material de la vía, entre otros), condiciones climatológicas de la ciudad, marco normativo sobre transporte vial. </a:t>
          </a:r>
          <a:br>
            <a:rPr lang="es-PE" sz="1800" b="0" baseline="0">
              <a:solidFill>
                <a:sysClr val="windowText" lastClr="000000"/>
              </a:solidFill>
              <a:effectLst/>
              <a:latin typeface="+mn-lt"/>
              <a:ea typeface="+mn-ea"/>
              <a:cs typeface="+mn-cs"/>
            </a:rPr>
          </a:br>
          <a:r>
            <a:rPr lang="es-PE" sz="1800" b="0" baseline="0">
              <a:solidFill>
                <a:sysClr val="windowText" lastClr="000000"/>
              </a:solidFill>
              <a:effectLst/>
              <a:latin typeface="+mn-lt"/>
              <a:ea typeface="+mn-ea"/>
              <a:cs typeface="+mn-cs"/>
            </a:rPr>
            <a:t>• La recolección de los residuos sólidos aprovechables será a través de vehículos convencionales (baranda) y/o no convencionales (triciclos o motofurgón), considerando el tipo de residuos (orgánico y/o inorgánico).</a:t>
          </a:r>
        </a:p>
        <a:p>
          <a:pPr>
            <a:lnSpc>
              <a:spcPts val="2000"/>
            </a:lnSpc>
          </a:pPr>
          <a:endParaRPr lang="es-PE" sz="1700" b="0" baseline="0">
            <a:solidFill>
              <a:sysClr val="windowText" lastClr="000000"/>
            </a:solidFill>
            <a:effectLst/>
            <a:latin typeface="+mn-lt"/>
            <a:ea typeface="+mn-ea"/>
            <a:cs typeface="+mn-cs"/>
          </a:endParaRPr>
        </a:p>
        <a:p>
          <a:pPr>
            <a:lnSpc>
              <a:spcPts val="1700"/>
            </a:lnSpc>
          </a:pPr>
          <a:endParaRPr lang="es-PE" sz="1600" b="0" baseline="0">
            <a:solidFill>
              <a:sysClr val="windowText" lastClr="000000"/>
            </a:solidFill>
            <a:effectLst/>
            <a:latin typeface="+mn-lt"/>
            <a:ea typeface="+mn-ea"/>
            <a:cs typeface="+mn-cs"/>
          </a:endParaRPr>
        </a:p>
      </xdr:txBody>
    </xdr:sp>
    <xdr:clientData/>
  </xdr:twoCellAnchor>
  <xdr:twoCellAnchor>
    <xdr:from>
      <xdr:col>9</xdr:col>
      <xdr:colOff>319922</xdr:colOff>
      <xdr:row>166</xdr:row>
      <xdr:rowOff>80887</xdr:rowOff>
    </xdr:from>
    <xdr:to>
      <xdr:col>9</xdr:col>
      <xdr:colOff>914634</xdr:colOff>
      <xdr:row>169</xdr:row>
      <xdr:rowOff>46252</xdr:rowOff>
    </xdr:to>
    <xdr:sp macro="" textlink="">
      <xdr:nvSpPr>
        <xdr:cNvPr id="13" name="Flecha a la derecha con bandas 12">
          <a:extLst>
            <a:ext uri="{FF2B5EF4-FFF2-40B4-BE49-F238E27FC236}">
              <a16:creationId xmlns:a16="http://schemas.microsoft.com/office/drawing/2014/main" id="{00000000-0008-0000-0400-00000D000000}"/>
            </a:ext>
          </a:extLst>
        </xdr:cNvPr>
        <xdr:cNvSpPr/>
      </xdr:nvSpPr>
      <xdr:spPr>
        <a:xfrm rot="5400000">
          <a:off x="7283045" y="31665439"/>
          <a:ext cx="536865" cy="594712"/>
        </a:xfrm>
        <a:prstGeom prst="stripedRightArrow">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PE"/>
        </a:p>
      </xdr:txBody>
    </xdr:sp>
    <xdr:clientData/>
  </xdr:twoCellAnchor>
  <xdr:twoCellAnchor>
    <xdr:from>
      <xdr:col>2</xdr:col>
      <xdr:colOff>432956</xdr:colOff>
      <xdr:row>169</xdr:row>
      <xdr:rowOff>82880</xdr:rowOff>
    </xdr:from>
    <xdr:to>
      <xdr:col>13</xdr:col>
      <xdr:colOff>225138</xdr:colOff>
      <xdr:row>183</xdr:row>
      <xdr:rowOff>86591</xdr:rowOff>
    </xdr:to>
    <xdr:sp macro="" textlink="">
      <xdr:nvSpPr>
        <xdr:cNvPr id="14" name="Rectángulo redondeado 13">
          <a:extLst>
            <a:ext uri="{FF2B5EF4-FFF2-40B4-BE49-F238E27FC236}">
              <a16:creationId xmlns:a16="http://schemas.microsoft.com/office/drawing/2014/main" id="{00000000-0008-0000-0400-00000E000000}"/>
            </a:ext>
          </a:extLst>
        </xdr:cNvPr>
        <xdr:cNvSpPr/>
      </xdr:nvSpPr>
      <xdr:spPr>
        <a:xfrm>
          <a:off x="1718831" y="32267855"/>
          <a:ext cx="9107632" cy="2670711"/>
        </a:xfrm>
        <a:prstGeom prst="roundRect">
          <a:avLst/>
        </a:prstGeom>
        <a:solidFill>
          <a:schemeClr val="accent5">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PE" sz="2000" b="1" u="sng" baseline="0">
              <a:solidFill>
                <a:schemeClr val="accent2">
                  <a:lumMod val="50000"/>
                </a:schemeClr>
              </a:solidFill>
              <a:latin typeface="+mn-lt"/>
              <a:ea typeface="+mn-ea"/>
              <a:cs typeface="+mn-cs"/>
            </a:rPr>
            <a:t>Ciudades con poblaciones hasta 10,000 habitantes</a:t>
          </a:r>
          <a:br>
            <a:rPr lang="es-PE" sz="1600" b="1" baseline="0">
              <a:solidFill>
                <a:schemeClr val="accent2">
                  <a:lumMod val="50000"/>
                </a:schemeClr>
              </a:solidFill>
              <a:latin typeface="+mn-lt"/>
              <a:ea typeface="+mn-ea"/>
              <a:cs typeface="+mn-cs"/>
            </a:rPr>
          </a:br>
          <a:endParaRPr lang="es-PE" sz="1600" b="0" baseline="0">
            <a:solidFill>
              <a:sysClr val="windowText" lastClr="000000"/>
            </a:solidFill>
          </a:endParaRPr>
        </a:p>
        <a:p>
          <a:r>
            <a:rPr lang="es-PE" sz="1800" b="0" baseline="0">
              <a:solidFill>
                <a:sysClr val="windowText" lastClr="000000"/>
              </a:solidFill>
              <a:effectLst/>
              <a:latin typeface="+mn-lt"/>
              <a:ea typeface="+mn-ea"/>
              <a:cs typeface="+mn-cs"/>
            </a:rPr>
            <a:t>•La recolección de los residuos no aprovechables se puede realizar con vehículos convencionales y no convencionales. En el caso que la recolección se brinde con vehículos convencionales, se debe considerar: camión compactador de 4 a 6 m3 o camiones barandas de 4 a 8m3.</a:t>
          </a:r>
        </a:p>
        <a:p>
          <a:r>
            <a:rPr lang="es-PE" sz="1800" b="0" baseline="0">
              <a:solidFill>
                <a:sysClr val="windowText" lastClr="000000"/>
              </a:solidFill>
              <a:effectLst/>
              <a:latin typeface="+mn-lt"/>
              <a:ea typeface="+mn-ea"/>
              <a:cs typeface="+mn-cs"/>
            </a:rPr>
            <a:t>•En el caso de la recolección de los residuos sólidos aprovechables se podrá considerar: vehículo convencional (baranda) y/o no convencional (motofurgón o triciclos).</a:t>
          </a:r>
        </a:p>
        <a:p>
          <a:endParaRPr lang="es-PE" sz="1600" b="0" baseline="0">
            <a:solidFill>
              <a:sysClr val="windowText" lastClr="000000"/>
            </a:solidFill>
            <a:effectLst/>
            <a:latin typeface="+mn-lt"/>
            <a:ea typeface="+mn-ea"/>
            <a:cs typeface="+mn-cs"/>
          </a:endParaRPr>
        </a:p>
      </xdr:txBody>
    </xdr:sp>
    <xdr:clientData/>
  </xdr:twoCellAnchor>
  <xdr:twoCellAnchor>
    <xdr:from>
      <xdr:col>2</xdr:col>
      <xdr:colOff>398320</xdr:colOff>
      <xdr:row>186</xdr:row>
      <xdr:rowOff>173182</xdr:rowOff>
    </xdr:from>
    <xdr:to>
      <xdr:col>13</xdr:col>
      <xdr:colOff>69273</xdr:colOff>
      <xdr:row>202</xdr:row>
      <xdr:rowOff>103910</xdr:rowOff>
    </xdr:to>
    <xdr:sp macro="" textlink="">
      <xdr:nvSpPr>
        <xdr:cNvPr id="15" name="Rectángulo redondeado 14">
          <a:extLst>
            <a:ext uri="{FF2B5EF4-FFF2-40B4-BE49-F238E27FC236}">
              <a16:creationId xmlns:a16="http://schemas.microsoft.com/office/drawing/2014/main" id="{00000000-0008-0000-0400-00000F000000}"/>
            </a:ext>
          </a:extLst>
        </xdr:cNvPr>
        <xdr:cNvSpPr/>
      </xdr:nvSpPr>
      <xdr:spPr>
        <a:xfrm>
          <a:off x="1684195" y="35596657"/>
          <a:ext cx="8986403" cy="2978728"/>
        </a:xfrm>
        <a:prstGeom prst="roundRect">
          <a:avLst/>
        </a:prstGeom>
        <a:solidFill>
          <a:schemeClr val="accent5">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PE" sz="2000" b="1" u="sng" baseline="0">
              <a:solidFill>
                <a:schemeClr val="accent2">
                  <a:lumMod val="50000"/>
                </a:schemeClr>
              </a:solidFill>
              <a:latin typeface="+mn-lt"/>
              <a:ea typeface="+mn-ea"/>
              <a:cs typeface="+mn-cs"/>
            </a:rPr>
            <a:t>Ciudades con poblaciones mayores a 10,000 habitantes</a:t>
          </a:r>
          <a:br>
            <a:rPr lang="es-PE" sz="1600" b="1" baseline="0">
              <a:solidFill>
                <a:schemeClr val="accent2">
                  <a:lumMod val="50000"/>
                </a:schemeClr>
              </a:solidFill>
              <a:latin typeface="+mn-lt"/>
              <a:ea typeface="+mn-ea"/>
              <a:cs typeface="+mn-cs"/>
            </a:rPr>
          </a:br>
          <a:endParaRPr lang="es-PE" sz="1600" b="0" baseline="0">
            <a:solidFill>
              <a:sysClr val="windowText" lastClr="000000"/>
            </a:solidFill>
          </a:endParaRPr>
        </a:p>
        <a:p>
          <a:r>
            <a:rPr lang="es-PE" sz="1700" b="0" baseline="0">
              <a:solidFill>
                <a:sysClr val="windowText" lastClr="000000"/>
              </a:solidFill>
              <a:effectLst/>
              <a:latin typeface="+mn-lt"/>
              <a:ea typeface="+mn-ea"/>
              <a:cs typeface="+mn-cs"/>
            </a:rPr>
            <a:t>•</a:t>
          </a:r>
          <a:r>
            <a:rPr lang="es-PE" sz="1800" b="0" baseline="0">
              <a:solidFill>
                <a:sysClr val="windowText" lastClr="000000"/>
              </a:solidFill>
              <a:effectLst/>
              <a:latin typeface="+mn-lt"/>
              <a:ea typeface="+mn-ea"/>
              <a:cs typeface="+mn-cs"/>
            </a:rPr>
            <a:t>La recolección de los residuos sólidos no aprovechables será con vehículos convencionales (camión compactador de 6, 8, 10, 12, 15 m3 de capacidad). </a:t>
          </a:r>
        </a:p>
        <a:p>
          <a:r>
            <a:rPr lang="es-PE" sz="1800" b="0" baseline="0">
              <a:solidFill>
                <a:sysClr val="windowText" lastClr="000000"/>
              </a:solidFill>
              <a:effectLst/>
              <a:latin typeface="+mn-lt"/>
              <a:ea typeface="+mn-ea"/>
              <a:cs typeface="+mn-cs"/>
            </a:rPr>
            <a:t>•En el caso de la recolección de los residuos sólidos aprovechables se podrá considerar: vehículo convencional (baranda) y/o no convencional (motofurgón o triciclos).</a:t>
          </a:r>
        </a:p>
        <a:p>
          <a:r>
            <a:rPr lang="es-PE" sz="1800" b="0" baseline="0">
              <a:solidFill>
                <a:sysClr val="windowText" lastClr="000000"/>
              </a:solidFill>
              <a:effectLst/>
              <a:latin typeface="+mn-lt"/>
              <a:ea typeface="+mn-ea"/>
              <a:cs typeface="+mn-cs"/>
            </a:rPr>
            <a:t>• Dependiendo de la cantidad de los residuos sólidos como resultado del barrido, se puede considerar la adquisición de camión baranda para su transporte.  </a:t>
          </a:r>
        </a:p>
      </xdr:txBody>
    </xdr:sp>
    <xdr:clientData/>
  </xdr:twoCellAnchor>
  <xdr:twoCellAnchor editAs="oneCell">
    <xdr:from>
      <xdr:col>5</xdr:col>
      <xdr:colOff>0</xdr:colOff>
      <xdr:row>210</xdr:row>
      <xdr:rowOff>0</xdr:rowOff>
    </xdr:from>
    <xdr:to>
      <xdr:col>5</xdr:col>
      <xdr:colOff>304800</xdr:colOff>
      <xdr:row>211</xdr:row>
      <xdr:rowOff>114300</xdr:rowOff>
    </xdr:to>
    <xdr:sp macro="" textlink="">
      <xdr:nvSpPr>
        <xdr:cNvPr id="84489" name="AutoShape 2" descr="Basura Dongfeng camión compresor 4M3">
          <a:extLst>
            <a:ext uri="{FF2B5EF4-FFF2-40B4-BE49-F238E27FC236}">
              <a16:creationId xmlns:a16="http://schemas.microsoft.com/office/drawing/2014/main" id="{00000000-0008-0000-0400-0000094A0100}"/>
            </a:ext>
          </a:extLst>
        </xdr:cNvPr>
        <xdr:cNvSpPr>
          <a:spLocks noChangeAspect="1" noChangeArrowheads="1"/>
        </xdr:cNvSpPr>
      </xdr:nvSpPr>
      <xdr:spPr bwMode="auto">
        <a:xfrm>
          <a:off x="4057650" y="413766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28</xdr:col>
      <xdr:colOff>0</xdr:colOff>
      <xdr:row>165</xdr:row>
      <xdr:rowOff>0</xdr:rowOff>
    </xdr:from>
    <xdr:to>
      <xdr:col>28</xdr:col>
      <xdr:colOff>304800</xdr:colOff>
      <xdr:row>166</xdr:row>
      <xdr:rowOff>114300</xdr:rowOff>
    </xdr:to>
    <xdr:sp macro="" textlink="">
      <xdr:nvSpPr>
        <xdr:cNvPr id="84490" name="AutoShape 3" descr="Resultado de imagen para compactador de 4m3">
          <a:extLst>
            <a:ext uri="{FF2B5EF4-FFF2-40B4-BE49-F238E27FC236}">
              <a16:creationId xmlns:a16="http://schemas.microsoft.com/office/drawing/2014/main" id="{00000000-0008-0000-0400-00000A4A0100}"/>
            </a:ext>
          </a:extLst>
        </xdr:cNvPr>
        <xdr:cNvSpPr>
          <a:spLocks noChangeAspect="1" noChangeArrowheads="1"/>
        </xdr:cNvSpPr>
      </xdr:nvSpPr>
      <xdr:spPr bwMode="auto">
        <a:xfrm>
          <a:off x="21164550" y="325183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28</xdr:col>
      <xdr:colOff>0</xdr:colOff>
      <xdr:row>165</xdr:row>
      <xdr:rowOff>0</xdr:rowOff>
    </xdr:from>
    <xdr:to>
      <xdr:col>28</xdr:col>
      <xdr:colOff>304800</xdr:colOff>
      <xdr:row>166</xdr:row>
      <xdr:rowOff>114300</xdr:rowOff>
    </xdr:to>
    <xdr:sp macro="" textlink="">
      <xdr:nvSpPr>
        <xdr:cNvPr id="84491" name="AutoShape 4" descr="Resultado de imagen para compactador de 4m3">
          <a:extLst>
            <a:ext uri="{FF2B5EF4-FFF2-40B4-BE49-F238E27FC236}">
              <a16:creationId xmlns:a16="http://schemas.microsoft.com/office/drawing/2014/main" id="{00000000-0008-0000-0400-00000B4A0100}"/>
            </a:ext>
          </a:extLst>
        </xdr:cNvPr>
        <xdr:cNvSpPr>
          <a:spLocks noChangeAspect="1" noChangeArrowheads="1"/>
        </xdr:cNvSpPr>
      </xdr:nvSpPr>
      <xdr:spPr bwMode="auto">
        <a:xfrm>
          <a:off x="21164550" y="325183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12</xdr:col>
      <xdr:colOff>0</xdr:colOff>
      <xdr:row>216</xdr:row>
      <xdr:rowOff>0</xdr:rowOff>
    </xdr:from>
    <xdr:to>
      <xdr:col>12</xdr:col>
      <xdr:colOff>304800</xdr:colOff>
      <xdr:row>217</xdr:row>
      <xdr:rowOff>114300</xdr:rowOff>
    </xdr:to>
    <xdr:sp macro="" textlink="">
      <xdr:nvSpPr>
        <xdr:cNvPr id="84492" name="AutoShape 6" descr=" - Imagen 1">
          <a:extLst>
            <a:ext uri="{FF2B5EF4-FFF2-40B4-BE49-F238E27FC236}">
              <a16:creationId xmlns:a16="http://schemas.microsoft.com/office/drawing/2014/main" id="{00000000-0008-0000-0400-00000C4A0100}"/>
            </a:ext>
          </a:extLst>
        </xdr:cNvPr>
        <xdr:cNvSpPr>
          <a:spLocks noChangeAspect="1" noChangeArrowheads="1"/>
        </xdr:cNvSpPr>
      </xdr:nvSpPr>
      <xdr:spPr bwMode="auto">
        <a:xfrm>
          <a:off x="9753600" y="427101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xdr:col>
      <xdr:colOff>2475</xdr:colOff>
      <xdr:row>208</xdr:row>
      <xdr:rowOff>128648</xdr:rowOff>
    </xdr:from>
    <xdr:to>
      <xdr:col>4</xdr:col>
      <xdr:colOff>634589</xdr:colOff>
      <xdr:row>217</xdr:row>
      <xdr:rowOff>41562</xdr:rowOff>
    </xdr:to>
    <xdr:sp macro="" textlink="">
      <xdr:nvSpPr>
        <xdr:cNvPr id="20" name="Llamada de flecha a la derecha 19">
          <a:extLst>
            <a:ext uri="{FF2B5EF4-FFF2-40B4-BE49-F238E27FC236}">
              <a16:creationId xmlns:a16="http://schemas.microsoft.com/office/drawing/2014/main" id="{00000000-0008-0000-0400-000014000000}"/>
            </a:ext>
          </a:extLst>
        </xdr:cNvPr>
        <xdr:cNvSpPr/>
      </xdr:nvSpPr>
      <xdr:spPr>
        <a:xfrm>
          <a:off x="440625" y="39743123"/>
          <a:ext cx="3518189" cy="1817914"/>
        </a:xfrm>
        <a:prstGeom prst="rightArrowCallout">
          <a:avLst>
            <a:gd name="adj1" fmla="val 22646"/>
            <a:gd name="adj2" fmla="val 20722"/>
            <a:gd name="adj3" fmla="val 44143"/>
            <a:gd name="adj4" fmla="val 61563"/>
          </a:avLst>
        </a:prstGeom>
        <a:solidFill>
          <a:schemeClr val="tx2">
            <a:lumMod val="60000"/>
            <a:lumOff val="4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b="1" baseline="0"/>
            <a:t>VALORIZACIÓN</a:t>
          </a:r>
        </a:p>
      </xdr:txBody>
    </xdr:sp>
    <xdr:clientData/>
  </xdr:twoCellAnchor>
  <xdr:twoCellAnchor>
    <xdr:from>
      <xdr:col>5</xdr:col>
      <xdr:colOff>57526</xdr:colOff>
      <xdr:row>207</xdr:row>
      <xdr:rowOff>184315</xdr:rowOff>
    </xdr:from>
    <xdr:to>
      <xdr:col>26</xdr:col>
      <xdr:colOff>530679</xdr:colOff>
      <xdr:row>217</xdr:row>
      <xdr:rowOff>27214</xdr:rowOff>
    </xdr:to>
    <xdr:sp macro="" textlink="">
      <xdr:nvSpPr>
        <xdr:cNvPr id="21" name="Rectángulo redondeado 20">
          <a:extLst>
            <a:ext uri="{FF2B5EF4-FFF2-40B4-BE49-F238E27FC236}">
              <a16:creationId xmlns:a16="http://schemas.microsoft.com/office/drawing/2014/main" id="{00000000-0008-0000-0400-000015000000}"/>
            </a:ext>
          </a:extLst>
        </xdr:cNvPr>
        <xdr:cNvSpPr/>
      </xdr:nvSpPr>
      <xdr:spPr>
        <a:xfrm>
          <a:off x="4115176" y="39608290"/>
          <a:ext cx="16027478" cy="1938399"/>
        </a:xfrm>
        <a:prstGeom prst="round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PE" sz="2000" b="1" u="sng" baseline="0">
              <a:solidFill>
                <a:schemeClr val="accent2">
                  <a:lumMod val="50000"/>
                </a:schemeClr>
              </a:solidFill>
              <a:latin typeface="+mn-lt"/>
              <a:ea typeface="+mn-ea"/>
              <a:cs typeface="+mn-cs"/>
            </a:rPr>
            <a:t>CRITERIOS GENERALES</a:t>
          </a:r>
        </a:p>
        <a:p>
          <a:pPr algn="l"/>
          <a:endParaRPr lang="es-PE" sz="2000" b="0" baseline="0">
            <a:solidFill>
              <a:sysClr val="windowText" lastClr="000000"/>
            </a:solidFill>
          </a:endParaRPr>
        </a:p>
        <a:p>
          <a:r>
            <a:rPr lang="es-PE" sz="2000" b="0" baseline="0">
              <a:solidFill>
                <a:sysClr val="windowText" lastClr="000000"/>
              </a:solidFill>
              <a:effectLst/>
              <a:latin typeface="+mn-lt"/>
              <a:ea typeface="+mn-ea"/>
              <a:cs typeface="+mn-cs"/>
            </a:rPr>
            <a:t>• La valorización de residuos sólidos se realizará a través del aprovechamiento de residuos orgánicos y/o inorgánicos, de modo que permita optimizar la vida útil de la infraestructura de disposición final, siendo el aprovechamiento de residuos orgánicos de manera prioritaria y gradual y el  aprovechamiento de los residuos inorgánicos de manera opcional, el cual estará en función al resultado de un análisis de opciones de comercialización.</a:t>
          </a:r>
        </a:p>
        <a:p>
          <a:endParaRPr lang="es-PE" sz="2000" b="0" baseline="0">
            <a:solidFill>
              <a:sysClr val="windowText" lastClr="000000"/>
            </a:solidFill>
            <a:effectLst/>
            <a:latin typeface="+mn-lt"/>
            <a:ea typeface="+mn-ea"/>
            <a:cs typeface="+mn-cs"/>
          </a:endParaRPr>
        </a:p>
      </xdr:txBody>
    </xdr:sp>
    <xdr:clientData/>
  </xdr:twoCellAnchor>
  <xdr:twoCellAnchor>
    <xdr:from>
      <xdr:col>14</xdr:col>
      <xdr:colOff>319922</xdr:colOff>
      <xdr:row>217</xdr:row>
      <xdr:rowOff>167475</xdr:rowOff>
    </xdr:from>
    <xdr:to>
      <xdr:col>15</xdr:col>
      <xdr:colOff>273861</xdr:colOff>
      <xdr:row>220</xdr:row>
      <xdr:rowOff>132840</xdr:rowOff>
    </xdr:to>
    <xdr:sp macro="" textlink="">
      <xdr:nvSpPr>
        <xdr:cNvPr id="22" name="Flecha a la derecha con bandas 21">
          <a:extLst>
            <a:ext uri="{FF2B5EF4-FFF2-40B4-BE49-F238E27FC236}">
              <a16:creationId xmlns:a16="http://schemas.microsoft.com/office/drawing/2014/main" id="{00000000-0008-0000-0400-000016000000}"/>
            </a:ext>
          </a:extLst>
        </xdr:cNvPr>
        <xdr:cNvSpPr/>
      </xdr:nvSpPr>
      <xdr:spPr>
        <a:xfrm rot="5400000">
          <a:off x="11601334" y="41654563"/>
          <a:ext cx="536865" cy="601639"/>
        </a:xfrm>
        <a:prstGeom prst="stripedRightArrow">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PE"/>
        </a:p>
      </xdr:txBody>
    </xdr:sp>
    <xdr:clientData/>
  </xdr:twoCellAnchor>
  <xdr:twoCellAnchor>
    <xdr:from>
      <xdr:col>0</xdr:col>
      <xdr:colOff>86594</xdr:colOff>
      <xdr:row>221</xdr:row>
      <xdr:rowOff>100197</xdr:rowOff>
    </xdr:from>
    <xdr:to>
      <xdr:col>19</xdr:col>
      <xdr:colOff>294409</xdr:colOff>
      <xdr:row>253</xdr:row>
      <xdr:rowOff>100852</xdr:rowOff>
    </xdr:to>
    <xdr:sp macro="" textlink="">
      <xdr:nvSpPr>
        <xdr:cNvPr id="23" name="Rectángulo redondeado 22">
          <a:extLst>
            <a:ext uri="{FF2B5EF4-FFF2-40B4-BE49-F238E27FC236}">
              <a16:creationId xmlns:a16="http://schemas.microsoft.com/office/drawing/2014/main" id="{00000000-0008-0000-0400-000017000000}"/>
            </a:ext>
          </a:extLst>
        </xdr:cNvPr>
        <xdr:cNvSpPr/>
      </xdr:nvSpPr>
      <xdr:spPr>
        <a:xfrm>
          <a:off x="86594" y="42381672"/>
          <a:ext cx="14695340" cy="6096655"/>
        </a:xfrm>
        <a:prstGeom prst="roundRect">
          <a:avLst/>
        </a:prstGeom>
        <a:solidFill>
          <a:schemeClr val="accent5">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PE" sz="2000" b="1" u="sng" baseline="0">
              <a:solidFill>
                <a:schemeClr val="accent2">
                  <a:lumMod val="50000"/>
                </a:schemeClr>
              </a:solidFill>
              <a:latin typeface="+mn-lt"/>
              <a:ea typeface="+mn-ea"/>
              <a:cs typeface="+mn-cs"/>
            </a:rPr>
            <a:t>Aprovechamiento Residuos Orgánicos:</a:t>
          </a:r>
          <a:br>
            <a:rPr lang="es-PE" sz="2000" b="1" u="sng" baseline="0">
              <a:solidFill>
                <a:schemeClr val="accent2">
                  <a:lumMod val="50000"/>
                </a:schemeClr>
              </a:solidFill>
              <a:latin typeface="+mn-lt"/>
              <a:ea typeface="+mn-ea"/>
              <a:cs typeface="+mn-cs"/>
            </a:rPr>
          </a:br>
          <a:endParaRPr lang="es-PE" sz="1800" b="1" u="sng" baseline="0">
            <a:solidFill>
              <a:schemeClr val="accent2">
                <a:lumMod val="50000"/>
              </a:schemeClr>
            </a:solidFill>
            <a:latin typeface="+mn-lt"/>
            <a:ea typeface="+mn-ea"/>
            <a:cs typeface="+mn-cs"/>
          </a:endParaRPr>
        </a:p>
        <a:p>
          <a:pPr rtl="0" eaLnBrk="1" fontAlgn="b" latinLnBrk="0" hangingPunct="1">
            <a:lnSpc>
              <a:spcPts val="2100"/>
            </a:lnSpc>
          </a:pPr>
          <a:r>
            <a:rPr lang="es-PE" sz="1800" b="0" baseline="0">
              <a:solidFill>
                <a:sysClr val="windowText" lastClr="000000"/>
              </a:solidFill>
              <a:effectLst/>
              <a:latin typeface="+mn-lt"/>
              <a:ea typeface="+mn-ea"/>
              <a:cs typeface="+mn-cs"/>
            </a:rPr>
            <a:t>•</a:t>
          </a:r>
          <a:r>
            <a:rPr lang="es-PE" sz="1800" b="0" i="0">
              <a:solidFill>
                <a:sysClr val="windowText" lastClr="000000"/>
              </a:solidFill>
              <a:effectLst/>
              <a:latin typeface="+mn-lt"/>
              <a:ea typeface="+mn-ea"/>
              <a:cs typeface="+mn-cs"/>
            </a:rPr>
            <a:t>El porcentaje de aprovechamiento de residuos orgánicos será como mínimo </a:t>
          </a:r>
          <a:r>
            <a:rPr lang="es-PE" sz="1800" b="0" i="0" u="sng">
              <a:solidFill>
                <a:sysClr val="windowText" lastClr="000000"/>
              </a:solidFill>
              <a:effectLst/>
              <a:latin typeface="+mn-lt"/>
              <a:ea typeface="+mn-ea"/>
              <a:cs typeface="+mn-cs"/>
            </a:rPr>
            <a:t>20% </a:t>
          </a:r>
          <a:r>
            <a:rPr lang="es-PE" sz="1800" b="0" i="0" u="sng" baseline="0">
              <a:solidFill>
                <a:sysClr val="windowText" lastClr="000000"/>
              </a:solidFill>
              <a:effectLst/>
              <a:latin typeface="+mn-lt"/>
              <a:ea typeface="+mn-ea"/>
              <a:cs typeface="+mn-cs"/>
            </a:rPr>
            <a:t>, </a:t>
          </a:r>
          <a:r>
            <a:rPr lang="es-PE" sz="1800" b="0" i="0" u="sng">
              <a:solidFill>
                <a:sysClr val="windowText" lastClr="000000"/>
              </a:solidFill>
              <a:effectLst/>
              <a:latin typeface="+mn-lt"/>
              <a:ea typeface="+mn-ea"/>
              <a:cs typeface="+mn-cs"/>
            </a:rPr>
            <a:t>para ciudades con poblaciones menores a 10,000 habitantes y 10% para ciudades con poblaciones mayores a 10,000 habitantes. </a:t>
          </a:r>
          <a:r>
            <a:rPr lang="es-PE" sz="1800" b="0" i="0">
              <a:solidFill>
                <a:sysClr val="windowText" lastClr="000000"/>
              </a:solidFill>
              <a:effectLst/>
              <a:latin typeface="+mn-lt"/>
              <a:ea typeface="+mn-ea"/>
              <a:cs typeface="+mn-cs"/>
            </a:rPr>
            <a:t>El porcentaje de valorización</a:t>
          </a:r>
          <a:r>
            <a:rPr lang="es-PE" sz="1800" b="0" i="0" baseline="0">
              <a:solidFill>
                <a:sysClr val="windowText" lastClr="000000"/>
              </a:solidFill>
              <a:effectLst/>
              <a:latin typeface="+mn-lt"/>
              <a:ea typeface="+mn-ea"/>
              <a:cs typeface="+mn-cs"/>
            </a:rPr>
            <a:t> será</a:t>
          </a:r>
          <a:r>
            <a:rPr lang="es-PE" sz="1800" b="0" i="0">
              <a:solidFill>
                <a:sysClr val="windowText" lastClr="000000"/>
              </a:solidFill>
              <a:effectLst/>
              <a:latin typeface="+mn-lt"/>
              <a:ea typeface="+mn-ea"/>
              <a:cs typeface="+mn-cs"/>
            </a:rPr>
            <a:t> respecto a la cantidad de residuos orgánicos generados por la población y en mercados según datos del estudio de caracterización. </a:t>
          </a:r>
          <a:endParaRPr lang="es-PE" sz="1800">
            <a:solidFill>
              <a:sysClr val="windowText" lastClr="000000"/>
            </a:solidFill>
            <a:effectLst/>
          </a:endParaRPr>
        </a:p>
        <a:p>
          <a:pPr rtl="0" eaLnBrk="1" fontAlgn="b" latinLnBrk="0" hangingPunct="1">
            <a:lnSpc>
              <a:spcPts val="2100"/>
            </a:lnSpc>
          </a:pPr>
          <a:r>
            <a:rPr lang="es-PE" sz="1800" b="0" i="0">
              <a:solidFill>
                <a:sysClr val="windowText" lastClr="000000"/>
              </a:solidFill>
              <a:effectLst/>
              <a:latin typeface="+mn-lt"/>
              <a:ea typeface="+mn-ea"/>
              <a:cs typeface="+mn-cs"/>
            </a:rPr>
            <a:t>• La</a:t>
          </a:r>
          <a:r>
            <a:rPr lang="es-PE" sz="1800" b="0" i="0" baseline="0">
              <a:solidFill>
                <a:sysClr val="windowText" lastClr="000000"/>
              </a:solidFill>
              <a:effectLst/>
              <a:latin typeface="+mn-lt"/>
              <a:ea typeface="+mn-ea"/>
              <a:cs typeface="+mn-cs"/>
            </a:rPr>
            <a:t> infraestructura de aprovechamiento</a:t>
          </a:r>
          <a:r>
            <a:rPr lang="es-PE" sz="1800" b="0" i="0">
              <a:solidFill>
                <a:sysClr val="windowText" lastClr="000000"/>
              </a:solidFill>
              <a:effectLst/>
              <a:latin typeface="+mn-lt"/>
              <a:ea typeface="+mn-ea"/>
              <a:cs typeface="+mn-cs"/>
            </a:rPr>
            <a:t> orgánico será:</a:t>
          </a:r>
          <a:endParaRPr lang="es-PE" sz="1800">
            <a:solidFill>
              <a:sysClr val="windowText" lastClr="000000"/>
            </a:solidFill>
            <a:effectLst/>
          </a:endParaRPr>
        </a:p>
        <a:p>
          <a:pPr rtl="0" eaLnBrk="1" fontAlgn="b" latinLnBrk="0" hangingPunct="1">
            <a:lnSpc>
              <a:spcPts val="2100"/>
            </a:lnSpc>
          </a:pPr>
          <a:r>
            <a:rPr lang="es-PE" sz="1800" b="0" i="0" baseline="0">
              <a:solidFill>
                <a:sysClr val="windowText" lastClr="000000"/>
              </a:solidFill>
              <a:effectLst/>
              <a:latin typeface="+mn-lt"/>
              <a:ea typeface="+mn-ea"/>
              <a:cs typeface="+mn-cs"/>
            </a:rPr>
            <a:t>   </a:t>
          </a:r>
          <a:r>
            <a:rPr lang="es-PE" sz="1800" b="1" i="0" baseline="0">
              <a:solidFill>
                <a:sysClr val="windowText" lastClr="000000"/>
              </a:solidFill>
              <a:effectLst/>
              <a:latin typeface="+mn-lt"/>
              <a:ea typeface="+mn-ea"/>
              <a:cs typeface="+mn-cs"/>
            </a:rPr>
            <a:t>i) </a:t>
          </a:r>
          <a:r>
            <a:rPr lang="es-PE" sz="1800" b="1" i="0" u="sng" baseline="0">
              <a:solidFill>
                <a:sysClr val="windowText" lastClr="000000"/>
              </a:solidFill>
              <a:effectLst/>
              <a:latin typeface="+mn-lt"/>
              <a:ea typeface="+mn-ea"/>
              <a:cs typeface="+mn-cs"/>
            </a:rPr>
            <a:t>M</a:t>
          </a:r>
          <a:r>
            <a:rPr lang="es-PE" sz="1800" b="1" i="0" u="sng">
              <a:solidFill>
                <a:sysClr val="windowText" lastClr="000000"/>
              </a:solidFill>
              <a:effectLst/>
              <a:latin typeface="+mn-lt"/>
              <a:ea typeface="+mn-ea"/>
              <a:cs typeface="+mn-cs"/>
            </a:rPr>
            <a:t>anual </a:t>
          </a:r>
          <a:r>
            <a:rPr lang="es-PE" sz="1800" b="0" i="0">
              <a:solidFill>
                <a:sysClr val="windowText" lastClr="000000"/>
              </a:solidFill>
              <a:effectLst/>
              <a:latin typeface="+mn-lt"/>
              <a:ea typeface="+mn-ea"/>
              <a:cs typeface="+mn-cs"/>
            </a:rPr>
            <a:t>(Hasta</a:t>
          </a:r>
          <a:r>
            <a:rPr lang="es-PE" sz="1800" b="0" i="0" baseline="0">
              <a:solidFill>
                <a:sysClr val="windowText" lastClr="000000"/>
              </a:solidFill>
              <a:effectLst/>
              <a:latin typeface="+mn-lt"/>
              <a:ea typeface="+mn-ea"/>
              <a:cs typeface="+mn-cs"/>
            </a:rPr>
            <a:t> 2 tn/día: palas</a:t>
          </a:r>
          <a:r>
            <a:rPr lang="es-PE" sz="1800" b="0" i="0">
              <a:solidFill>
                <a:sysClr val="windowText" lastClr="000000"/>
              </a:solidFill>
              <a:effectLst/>
              <a:latin typeface="+mn-lt"/>
              <a:ea typeface="+mn-ea"/>
              <a:cs typeface="+mn-cs"/>
            </a:rPr>
            <a:t>), </a:t>
          </a:r>
          <a:endParaRPr lang="es-PE" sz="1800">
            <a:solidFill>
              <a:sysClr val="windowText" lastClr="000000"/>
            </a:solidFill>
            <a:effectLst/>
          </a:endParaRPr>
        </a:p>
        <a:p>
          <a:pPr rtl="0" eaLnBrk="1" fontAlgn="b" latinLnBrk="0" hangingPunct="1">
            <a:lnSpc>
              <a:spcPts val="2100"/>
            </a:lnSpc>
          </a:pPr>
          <a:r>
            <a:rPr lang="es-PE" sz="1800" b="1" i="0">
              <a:solidFill>
                <a:sysClr val="windowText" lastClr="000000"/>
              </a:solidFill>
              <a:effectLst/>
              <a:latin typeface="+mn-lt"/>
              <a:ea typeface="+mn-ea"/>
              <a:cs typeface="+mn-cs"/>
            </a:rPr>
            <a:t>   ii) </a:t>
          </a:r>
          <a:r>
            <a:rPr lang="es-PE" sz="1800" b="1" i="0" u="sng">
              <a:solidFill>
                <a:sysClr val="windowText" lastClr="000000"/>
              </a:solidFill>
              <a:effectLst/>
              <a:latin typeface="+mn-lt"/>
              <a:ea typeface="+mn-ea"/>
              <a:cs typeface="+mn-cs"/>
            </a:rPr>
            <a:t>Semimecanizado </a:t>
          </a:r>
          <a:r>
            <a:rPr lang="es-PE" sz="1800" b="0" i="0">
              <a:solidFill>
                <a:sysClr val="windowText" lastClr="000000"/>
              </a:solidFill>
              <a:effectLst/>
              <a:latin typeface="+mn-lt"/>
              <a:ea typeface="+mn-ea"/>
              <a:cs typeface="+mn-cs"/>
            </a:rPr>
            <a:t>(Mayor a 2 ton/día y hasta 10 ton/día</a:t>
          </a:r>
          <a:r>
            <a:rPr lang="es-PE" sz="1800" b="0" i="0" baseline="0">
              <a:solidFill>
                <a:sysClr val="windowText" lastClr="000000"/>
              </a:solidFill>
              <a:effectLst/>
              <a:latin typeface="+mn-lt"/>
              <a:ea typeface="+mn-ea"/>
              <a:cs typeface="+mn-cs"/>
            </a:rPr>
            <a:t>:   minicargador</a:t>
          </a:r>
          <a:r>
            <a:rPr lang="es-PE" sz="1800" b="0" i="0">
              <a:solidFill>
                <a:sysClr val="windowText" lastClr="000000"/>
              </a:solidFill>
              <a:effectLst/>
              <a:latin typeface="+mn-lt"/>
              <a:ea typeface="+mn-ea"/>
              <a:cs typeface="+mn-cs"/>
            </a:rPr>
            <a:t>)</a:t>
          </a:r>
          <a:r>
            <a:rPr lang="es-PE" sz="1800" b="0" i="0" baseline="0">
              <a:solidFill>
                <a:sysClr val="windowText" lastClr="000000"/>
              </a:solidFill>
              <a:effectLst/>
              <a:latin typeface="+mn-lt"/>
              <a:ea typeface="+mn-ea"/>
              <a:cs typeface="+mn-cs"/>
            </a:rPr>
            <a:t> y </a:t>
          </a:r>
          <a:endParaRPr lang="es-PE" sz="1800">
            <a:solidFill>
              <a:sysClr val="windowText" lastClr="000000"/>
            </a:solidFill>
            <a:effectLst/>
          </a:endParaRPr>
        </a:p>
        <a:p>
          <a:pPr rtl="0" eaLnBrk="1" fontAlgn="b" latinLnBrk="0" hangingPunct="1">
            <a:lnSpc>
              <a:spcPts val="2100"/>
            </a:lnSpc>
          </a:pPr>
          <a:r>
            <a:rPr lang="es-PE" sz="1800" b="1" i="0" baseline="0">
              <a:solidFill>
                <a:sysClr val="windowText" lastClr="000000"/>
              </a:solidFill>
              <a:effectLst/>
              <a:latin typeface="+mn-lt"/>
              <a:ea typeface="+mn-ea"/>
              <a:cs typeface="+mn-cs"/>
            </a:rPr>
            <a:t>   iii) </a:t>
          </a:r>
          <a:r>
            <a:rPr lang="es-PE" sz="1800" b="1" i="0" u="sng" baseline="0">
              <a:solidFill>
                <a:sysClr val="windowText" lastClr="000000"/>
              </a:solidFill>
              <a:effectLst/>
              <a:latin typeface="+mn-lt"/>
              <a:ea typeface="+mn-ea"/>
              <a:cs typeface="+mn-cs"/>
            </a:rPr>
            <a:t>Mecanizado</a:t>
          </a:r>
          <a:r>
            <a:rPr lang="es-PE" sz="1800" b="0" i="0" baseline="0">
              <a:solidFill>
                <a:sysClr val="windowText" lastClr="000000"/>
              </a:solidFill>
              <a:effectLst/>
              <a:latin typeface="+mn-lt"/>
              <a:ea typeface="+mn-ea"/>
              <a:cs typeface="+mn-cs"/>
            </a:rPr>
            <a:t> (Mayor a 10 ton/día: minicargador y volteadora  mecánica)</a:t>
          </a:r>
          <a:endParaRPr lang="es-PE" sz="1800">
            <a:solidFill>
              <a:sysClr val="windowText" lastClr="000000"/>
            </a:solidFill>
            <a:effectLst/>
          </a:endParaRPr>
        </a:p>
        <a:p>
          <a:pPr rtl="0" eaLnBrk="1" fontAlgn="b" latinLnBrk="0" hangingPunct="1">
            <a:lnSpc>
              <a:spcPts val="2100"/>
            </a:lnSpc>
          </a:pPr>
          <a:r>
            <a:rPr lang="es-PE" sz="1800" b="0" i="0">
              <a:solidFill>
                <a:sysClr val="windowText" lastClr="000000"/>
              </a:solidFill>
              <a:effectLst/>
              <a:latin typeface="+mn-lt"/>
              <a:ea typeface="+mn-ea"/>
              <a:cs typeface="+mn-cs"/>
            </a:rPr>
            <a:t>• La indumentaria y equipos de protección a utilizar podrá ser camisa/polo, pantalón, gorro, casco, calzado, lentes,</a:t>
          </a:r>
          <a:r>
            <a:rPr lang="es-PE" sz="1800" b="0" i="0" baseline="0">
              <a:solidFill>
                <a:sysClr val="windowText" lastClr="000000"/>
              </a:solidFill>
              <a:effectLst/>
              <a:latin typeface="+mn-lt"/>
              <a:ea typeface="+mn-ea"/>
              <a:cs typeface="+mn-cs"/>
            </a:rPr>
            <a:t> </a:t>
          </a:r>
          <a:r>
            <a:rPr lang="es-PE" sz="1800" b="0" i="0">
              <a:solidFill>
                <a:sysClr val="windowText" lastClr="000000"/>
              </a:solidFill>
              <a:effectLst/>
              <a:latin typeface="+mn-lt"/>
              <a:ea typeface="+mn-ea"/>
              <a:cs typeface="+mn-cs"/>
            </a:rPr>
            <a:t>guantes y mascarilla de gases.</a:t>
          </a:r>
        </a:p>
        <a:p>
          <a:pPr rtl="0" eaLnBrk="1" fontAlgn="b" latinLnBrk="0" hangingPunct="1">
            <a:lnSpc>
              <a:spcPts val="2100"/>
            </a:lnSpc>
          </a:pPr>
          <a:endParaRPr lang="es-PE" sz="1800" b="0" i="0">
            <a:solidFill>
              <a:sysClr val="windowText" lastClr="000000"/>
            </a:solidFill>
            <a:effectLst/>
            <a:latin typeface="+mn-lt"/>
            <a:ea typeface="+mn-ea"/>
            <a:cs typeface="+mn-cs"/>
          </a:endParaRPr>
        </a:p>
        <a:p>
          <a:pPr rtl="0" eaLnBrk="1" fontAlgn="b" latinLnBrk="0" hangingPunct="1">
            <a:lnSpc>
              <a:spcPts val="2100"/>
            </a:lnSpc>
          </a:pPr>
          <a:r>
            <a:rPr lang="es-PE" sz="1800" b="1" u="sng">
              <a:solidFill>
                <a:sysClr val="windowText" lastClr="000000"/>
              </a:solidFill>
              <a:effectLst/>
            </a:rPr>
            <a:t>CRITERIOS DE UBICACIÓN </a:t>
          </a:r>
          <a:r>
            <a:rPr lang="es-PE" sz="1800" b="1">
              <a:solidFill>
                <a:sysClr val="windowText" lastClr="000000"/>
              </a:solidFill>
              <a:effectLst/>
            </a:rPr>
            <a:t>:</a:t>
          </a:r>
        </a:p>
        <a:p>
          <a:pPr>
            <a:lnSpc>
              <a:spcPts val="2100"/>
            </a:lnSpc>
          </a:pPr>
          <a:r>
            <a:rPr lang="es-PE" sz="1800">
              <a:solidFill>
                <a:sysClr val="windowText" lastClr="000000"/>
              </a:solidFill>
              <a:effectLst/>
              <a:latin typeface="+mn-lt"/>
              <a:ea typeface="+mn-ea"/>
              <a:cs typeface="+mn-cs"/>
            </a:rPr>
            <a:t>DENTRO DEL AREA DE INFRAESTRUCTURA DE RELLENO SANITARIO</a:t>
          </a:r>
        </a:p>
        <a:p>
          <a:pPr lvl="0">
            <a:lnSpc>
              <a:spcPts val="2100"/>
            </a:lnSpc>
          </a:pPr>
          <a:r>
            <a:rPr lang="es-PE" sz="1800">
              <a:solidFill>
                <a:sysClr val="windowText" lastClr="000000"/>
              </a:solidFill>
              <a:effectLst/>
              <a:latin typeface="+mn-lt"/>
              <a:ea typeface="+mn-ea"/>
              <a:cs typeface="+mn-cs"/>
            </a:rPr>
            <a:t>• Contar con disponibilidad de área en la infraestructura del relleno sanitario.</a:t>
          </a:r>
        </a:p>
        <a:p>
          <a:pPr lvl="0">
            <a:lnSpc>
              <a:spcPts val="2100"/>
            </a:lnSpc>
          </a:pPr>
          <a:r>
            <a:rPr lang="es-PE" sz="1800">
              <a:solidFill>
                <a:sysClr val="windowText" lastClr="000000"/>
              </a:solidFill>
              <a:effectLst/>
              <a:latin typeface="+mn-lt"/>
              <a:ea typeface="+mn-ea"/>
              <a:cs typeface="+mn-cs"/>
            </a:rPr>
            <a:t>• Disponibilidad de agua de riego para el procesamiento del material orgánico.</a:t>
          </a:r>
        </a:p>
        <a:p>
          <a:pPr>
            <a:lnSpc>
              <a:spcPts val="2100"/>
            </a:lnSpc>
          </a:pPr>
          <a:endParaRPr lang="es-PE" sz="1800">
            <a:solidFill>
              <a:sysClr val="windowText" lastClr="000000"/>
            </a:solidFill>
            <a:effectLst/>
            <a:latin typeface="+mn-lt"/>
            <a:ea typeface="+mn-ea"/>
            <a:cs typeface="+mn-cs"/>
          </a:endParaRPr>
        </a:p>
        <a:p>
          <a:pPr>
            <a:lnSpc>
              <a:spcPts val="2100"/>
            </a:lnSpc>
          </a:pPr>
          <a:r>
            <a:rPr lang="es-PE" sz="1800">
              <a:solidFill>
                <a:sysClr val="windowText" lastClr="000000"/>
              </a:solidFill>
              <a:effectLst/>
              <a:latin typeface="+mn-lt"/>
              <a:ea typeface="+mn-ea"/>
              <a:cs typeface="+mn-cs"/>
            </a:rPr>
            <a:t>FUERA  DEL AREA DE INFRAESTRUCTURA DE RELLENO SANITARIO</a:t>
          </a:r>
        </a:p>
        <a:p>
          <a:pPr lvl="0">
            <a:lnSpc>
              <a:spcPts val="2100"/>
            </a:lnSpc>
          </a:pPr>
          <a:r>
            <a:rPr lang="es-PE" sz="1800">
              <a:solidFill>
                <a:sysClr val="windowText" lastClr="000000"/>
              </a:solidFill>
              <a:effectLst/>
              <a:latin typeface="+mn-lt"/>
              <a:ea typeface="+mn-ea"/>
              <a:cs typeface="+mn-cs"/>
            </a:rPr>
            <a:t>• No deben ubicarse en zonificación residencial, comercial o recreacional.</a:t>
          </a:r>
        </a:p>
        <a:p>
          <a:pPr lvl="0">
            <a:lnSpc>
              <a:spcPts val="2100"/>
            </a:lnSpc>
          </a:pPr>
          <a:r>
            <a:rPr lang="es-PE" sz="1800">
              <a:solidFill>
                <a:sysClr val="windowText" lastClr="000000"/>
              </a:solidFill>
              <a:effectLst/>
              <a:latin typeface="+mn-lt"/>
              <a:ea typeface="+mn-ea"/>
              <a:cs typeface="+mn-cs"/>
            </a:rPr>
            <a:t>• No obstaculizar el tránsito vehicular y peatonal.</a:t>
          </a:r>
        </a:p>
        <a:p>
          <a:pPr rtl="0" eaLnBrk="1" fontAlgn="b" latinLnBrk="0" hangingPunct="1">
            <a:lnSpc>
              <a:spcPts val="2000"/>
            </a:lnSpc>
          </a:pPr>
          <a:endParaRPr lang="es-PE" sz="1800" b="1">
            <a:solidFill>
              <a:sysClr val="windowText" lastClr="000000"/>
            </a:solidFill>
            <a:effectLst/>
          </a:endParaRPr>
        </a:p>
        <a:p>
          <a:pPr rtl="0" eaLnBrk="1" fontAlgn="b" latinLnBrk="0" hangingPunct="1">
            <a:lnSpc>
              <a:spcPts val="2000"/>
            </a:lnSpc>
          </a:pPr>
          <a:endParaRPr lang="es-PE" sz="1800" b="1">
            <a:solidFill>
              <a:sysClr val="windowText" lastClr="000000"/>
            </a:solidFill>
            <a:effectLst/>
          </a:endParaRPr>
        </a:p>
      </xdr:txBody>
    </xdr:sp>
    <xdr:clientData/>
  </xdr:twoCellAnchor>
  <xdr:twoCellAnchor>
    <xdr:from>
      <xdr:col>0</xdr:col>
      <xdr:colOff>0</xdr:colOff>
      <xdr:row>255</xdr:row>
      <xdr:rowOff>129378</xdr:rowOff>
    </xdr:from>
    <xdr:to>
      <xdr:col>19</xdr:col>
      <xdr:colOff>607372</xdr:colOff>
      <xdr:row>293</xdr:row>
      <xdr:rowOff>33618</xdr:rowOff>
    </xdr:to>
    <xdr:sp macro="" textlink="">
      <xdr:nvSpPr>
        <xdr:cNvPr id="24" name="Rectángulo redondeado 23">
          <a:extLst>
            <a:ext uri="{FF2B5EF4-FFF2-40B4-BE49-F238E27FC236}">
              <a16:creationId xmlns:a16="http://schemas.microsoft.com/office/drawing/2014/main" id="{00000000-0008-0000-0400-000018000000}"/>
            </a:ext>
          </a:extLst>
        </xdr:cNvPr>
        <xdr:cNvSpPr/>
      </xdr:nvSpPr>
      <xdr:spPr>
        <a:xfrm>
          <a:off x="0" y="48887853"/>
          <a:ext cx="15094897" cy="7143240"/>
        </a:xfrm>
        <a:prstGeom prst="roundRect">
          <a:avLst/>
        </a:prstGeom>
        <a:solidFill>
          <a:schemeClr val="accent5">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PE" sz="2000" b="1" u="sng" baseline="0">
              <a:solidFill>
                <a:schemeClr val="accent2">
                  <a:lumMod val="50000"/>
                </a:schemeClr>
              </a:solidFill>
              <a:latin typeface="+mn-lt"/>
              <a:ea typeface="+mn-ea"/>
              <a:cs typeface="+mn-cs"/>
            </a:rPr>
            <a:t>Aprovechamiento Residuos Inorgánicos:</a:t>
          </a:r>
        </a:p>
        <a:p>
          <a:pPr marL="0" marR="0" lvl="0" indent="0" algn="ctr" defTabSz="914400" eaLnBrk="1" fontAlgn="auto" latinLnBrk="0" hangingPunct="1">
            <a:lnSpc>
              <a:spcPct val="100000"/>
            </a:lnSpc>
            <a:spcBef>
              <a:spcPts val="0"/>
            </a:spcBef>
            <a:spcAft>
              <a:spcPts val="0"/>
            </a:spcAft>
            <a:buClrTx/>
            <a:buSzTx/>
            <a:buFontTx/>
            <a:buNone/>
            <a:tabLst/>
            <a:defRPr/>
          </a:pPr>
          <a:endParaRPr lang="es-PE" sz="1700" b="0" baseline="0">
            <a:solidFill>
              <a:sysClr val="windowText" lastClr="000000"/>
            </a:solidFill>
          </a:endParaRPr>
        </a:p>
        <a:p>
          <a:pPr rtl="0" eaLnBrk="1" fontAlgn="b" latinLnBrk="0" hangingPunct="1"/>
          <a:r>
            <a:rPr lang="es-PE" sz="1700" b="0" baseline="0">
              <a:solidFill>
                <a:sysClr val="windowText" lastClr="000000"/>
              </a:solidFill>
              <a:effectLst/>
              <a:latin typeface="+mn-lt"/>
              <a:ea typeface="+mn-ea"/>
              <a:cs typeface="+mn-cs"/>
            </a:rPr>
            <a:t>•</a:t>
          </a:r>
          <a:r>
            <a:rPr lang="es-PE" sz="1800" b="0" i="0">
              <a:solidFill>
                <a:sysClr val="windowText" lastClr="000000"/>
              </a:solidFill>
              <a:effectLst/>
              <a:latin typeface="+mn-lt"/>
              <a:ea typeface="+mn-ea"/>
              <a:cs typeface="+mn-cs"/>
            </a:rPr>
            <a:t>El porcentaje de aprovechamiento de residuos inorgánicos será definido por la Municipalidad y estará en función a la cantidad de residuos inorgánicos aprovechables según datos del estudio de caracterización, y como resultado de un </a:t>
          </a:r>
          <a:r>
            <a:rPr lang="es-VE" sz="1800" b="0" i="0">
              <a:solidFill>
                <a:sysClr val="windowText" lastClr="000000"/>
              </a:solidFill>
              <a:effectLst/>
              <a:latin typeface="+mn-lt"/>
              <a:ea typeface="+mn-ea"/>
              <a:cs typeface="+mn-cs"/>
            </a:rPr>
            <a:t>análisis de opciones de comercialización</a:t>
          </a:r>
          <a:r>
            <a:rPr lang="es-PE" sz="1800" b="0" i="0">
              <a:solidFill>
                <a:sysClr val="windowText" lastClr="000000"/>
              </a:solidFill>
              <a:effectLst/>
              <a:latin typeface="+mn-lt"/>
              <a:ea typeface="+mn-ea"/>
              <a:cs typeface="+mn-cs"/>
            </a:rPr>
            <a:t>. </a:t>
          </a:r>
          <a:endParaRPr lang="es-PE" sz="1800">
            <a:solidFill>
              <a:sysClr val="windowText" lastClr="000000"/>
            </a:solidFill>
            <a:effectLst/>
          </a:endParaRPr>
        </a:p>
        <a:p>
          <a:pPr rtl="0" eaLnBrk="1" fontAlgn="b" latinLnBrk="0" hangingPunct="1"/>
          <a:r>
            <a:rPr lang="es-PE" sz="1800" b="0" i="0">
              <a:solidFill>
                <a:sysClr val="windowText" lastClr="000000"/>
              </a:solidFill>
              <a:effectLst/>
              <a:latin typeface="+mn-lt"/>
              <a:ea typeface="+mn-ea"/>
              <a:cs typeface="+mn-cs"/>
            </a:rPr>
            <a:t>• La</a:t>
          </a:r>
          <a:r>
            <a:rPr lang="es-PE" sz="1800" b="0" i="0" baseline="0">
              <a:solidFill>
                <a:sysClr val="windowText" lastClr="000000"/>
              </a:solidFill>
              <a:effectLst/>
              <a:latin typeface="+mn-lt"/>
              <a:ea typeface="+mn-ea"/>
              <a:cs typeface="+mn-cs"/>
            </a:rPr>
            <a:t> infraestructura de aprovechamiento</a:t>
          </a:r>
          <a:r>
            <a:rPr lang="es-PE" sz="1800" b="0" i="0">
              <a:solidFill>
                <a:sysClr val="windowText" lastClr="000000"/>
              </a:solidFill>
              <a:effectLst/>
              <a:latin typeface="+mn-lt"/>
              <a:ea typeface="+mn-ea"/>
              <a:cs typeface="+mn-cs"/>
            </a:rPr>
            <a:t> inorgánico será:</a:t>
          </a:r>
          <a:r>
            <a:rPr lang="es-PE" sz="1800" b="0" i="0" baseline="0">
              <a:solidFill>
                <a:sysClr val="windowText" lastClr="000000"/>
              </a:solidFill>
              <a:effectLst/>
              <a:latin typeface="+mn-lt"/>
              <a:ea typeface="+mn-ea"/>
              <a:cs typeface="+mn-cs"/>
            </a:rPr>
            <a:t> </a:t>
          </a:r>
          <a:endParaRPr lang="es-PE" sz="1800">
            <a:solidFill>
              <a:sysClr val="windowText" lastClr="000000"/>
            </a:solidFill>
            <a:effectLst/>
          </a:endParaRPr>
        </a:p>
        <a:p>
          <a:pPr rtl="0" eaLnBrk="1" fontAlgn="b" latinLnBrk="0" hangingPunct="1"/>
          <a:r>
            <a:rPr lang="es-PE" sz="1800" b="0" i="0" baseline="0">
              <a:solidFill>
                <a:sysClr val="windowText" lastClr="000000"/>
              </a:solidFill>
              <a:effectLst/>
              <a:latin typeface="+mn-lt"/>
              <a:ea typeface="+mn-ea"/>
              <a:cs typeface="+mn-cs"/>
            </a:rPr>
            <a:t>   </a:t>
          </a:r>
          <a:r>
            <a:rPr lang="es-PE" sz="1800" b="1" i="0" baseline="0">
              <a:solidFill>
                <a:sysClr val="windowText" lastClr="000000"/>
              </a:solidFill>
              <a:effectLst/>
              <a:latin typeface="+mn-lt"/>
              <a:ea typeface="+mn-ea"/>
              <a:cs typeface="+mn-cs"/>
            </a:rPr>
            <a:t>i) </a:t>
          </a:r>
          <a:r>
            <a:rPr lang="es-PE" sz="1800" b="1" i="0" u="sng" baseline="0">
              <a:solidFill>
                <a:sysClr val="windowText" lastClr="000000"/>
              </a:solidFill>
              <a:effectLst/>
              <a:latin typeface="+mn-lt"/>
              <a:ea typeface="+mn-ea"/>
              <a:cs typeface="+mn-cs"/>
            </a:rPr>
            <a:t>M</a:t>
          </a:r>
          <a:r>
            <a:rPr lang="es-PE" sz="1800" b="1" i="0" u="sng">
              <a:solidFill>
                <a:sysClr val="windowText" lastClr="000000"/>
              </a:solidFill>
              <a:effectLst/>
              <a:latin typeface="+mn-lt"/>
              <a:ea typeface="+mn-ea"/>
              <a:cs typeface="+mn-cs"/>
            </a:rPr>
            <a:t>anual </a:t>
          </a:r>
          <a:r>
            <a:rPr lang="es-PE" sz="1800" b="0" i="0">
              <a:solidFill>
                <a:sysClr val="windowText" lastClr="000000"/>
              </a:solidFill>
              <a:effectLst/>
              <a:latin typeface="+mn-lt"/>
              <a:ea typeface="+mn-ea"/>
              <a:cs typeface="+mn-cs"/>
            </a:rPr>
            <a:t>(Hasta</a:t>
          </a:r>
          <a:r>
            <a:rPr lang="es-PE" sz="1800" b="0" i="0" baseline="0">
              <a:solidFill>
                <a:sysClr val="windowText" lastClr="000000"/>
              </a:solidFill>
              <a:effectLst/>
              <a:latin typeface="+mn-lt"/>
              <a:ea typeface="+mn-ea"/>
              <a:cs typeface="+mn-cs"/>
            </a:rPr>
            <a:t> 2 tn/día: mesa de segregación. Mayor a 2 ton/día y hasta 4 tn/día: mesa de segregación y prensa hidráulica</a:t>
          </a:r>
          <a:r>
            <a:rPr lang="es-PE" sz="1800" b="0" i="0">
              <a:solidFill>
                <a:sysClr val="windowText" lastClr="000000"/>
              </a:solidFill>
              <a:effectLst/>
              <a:latin typeface="+mn-lt"/>
              <a:ea typeface="+mn-ea"/>
              <a:cs typeface="+mn-cs"/>
            </a:rPr>
            <a:t>), </a:t>
          </a:r>
          <a:endParaRPr lang="es-PE" sz="1800">
            <a:solidFill>
              <a:sysClr val="windowText" lastClr="000000"/>
            </a:solidFill>
            <a:effectLst/>
          </a:endParaRPr>
        </a:p>
        <a:p>
          <a:pPr rtl="0" eaLnBrk="1" fontAlgn="b" latinLnBrk="0" hangingPunct="1"/>
          <a:r>
            <a:rPr lang="es-PE" sz="1800" b="0" i="0">
              <a:solidFill>
                <a:sysClr val="windowText" lastClr="000000"/>
              </a:solidFill>
              <a:effectLst/>
              <a:latin typeface="+mn-lt"/>
              <a:ea typeface="+mn-ea"/>
              <a:cs typeface="+mn-cs"/>
            </a:rPr>
            <a:t>   </a:t>
          </a:r>
          <a:r>
            <a:rPr lang="es-PE" sz="1800" b="1" i="0">
              <a:solidFill>
                <a:sysClr val="windowText" lastClr="000000"/>
              </a:solidFill>
              <a:effectLst/>
              <a:latin typeface="+mn-lt"/>
              <a:ea typeface="+mn-ea"/>
              <a:cs typeface="+mn-cs"/>
            </a:rPr>
            <a:t>ii) </a:t>
          </a:r>
          <a:r>
            <a:rPr lang="es-PE" sz="1800" b="1" i="0" u="sng">
              <a:solidFill>
                <a:sysClr val="windowText" lastClr="000000"/>
              </a:solidFill>
              <a:effectLst/>
              <a:latin typeface="+mn-lt"/>
              <a:ea typeface="+mn-ea"/>
              <a:cs typeface="+mn-cs"/>
            </a:rPr>
            <a:t>Semimecanizado </a:t>
          </a:r>
          <a:r>
            <a:rPr lang="es-PE" sz="1800" b="0" i="0">
              <a:solidFill>
                <a:sysClr val="windowText" lastClr="000000"/>
              </a:solidFill>
              <a:effectLst/>
              <a:latin typeface="+mn-lt"/>
              <a:ea typeface="+mn-ea"/>
              <a:cs typeface="+mn-cs"/>
            </a:rPr>
            <a:t>(Mayor a 4 ton/día y hasta 50 ton/día</a:t>
          </a:r>
          <a:r>
            <a:rPr lang="es-PE" sz="1800" b="0" i="0" baseline="0">
              <a:solidFill>
                <a:sysClr val="windowText" lastClr="000000"/>
              </a:solidFill>
              <a:effectLst/>
              <a:latin typeface="+mn-lt"/>
              <a:ea typeface="+mn-ea"/>
              <a:cs typeface="+mn-cs"/>
            </a:rPr>
            <a:t>:  faja transportadora y prensa hidráulica</a:t>
          </a:r>
          <a:r>
            <a:rPr lang="es-PE" sz="1800" b="0" i="0">
              <a:solidFill>
                <a:sysClr val="windowText" lastClr="000000"/>
              </a:solidFill>
              <a:effectLst/>
              <a:latin typeface="+mn-lt"/>
              <a:ea typeface="+mn-ea"/>
              <a:cs typeface="+mn-cs"/>
            </a:rPr>
            <a:t>) y </a:t>
          </a:r>
          <a:endParaRPr lang="es-PE" sz="1800">
            <a:solidFill>
              <a:sysClr val="windowText" lastClr="000000"/>
            </a:solidFill>
            <a:effectLst/>
          </a:endParaRPr>
        </a:p>
        <a:p>
          <a:pPr rtl="0" eaLnBrk="1" fontAlgn="b" latinLnBrk="0" hangingPunct="1"/>
          <a:r>
            <a:rPr lang="es-PE" sz="1800" b="0" i="0">
              <a:solidFill>
                <a:sysClr val="windowText" lastClr="000000"/>
              </a:solidFill>
              <a:effectLst/>
              <a:latin typeface="+mn-lt"/>
              <a:ea typeface="+mn-ea"/>
              <a:cs typeface="+mn-cs"/>
            </a:rPr>
            <a:t>   </a:t>
          </a:r>
          <a:r>
            <a:rPr lang="es-PE" sz="1800" b="1" i="0">
              <a:solidFill>
                <a:sysClr val="windowText" lastClr="000000"/>
              </a:solidFill>
              <a:effectLst/>
              <a:latin typeface="+mn-lt"/>
              <a:ea typeface="+mn-ea"/>
              <a:cs typeface="+mn-cs"/>
            </a:rPr>
            <a:t>iii) </a:t>
          </a:r>
          <a:r>
            <a:rPr lang="es-PE" sz="1800" b="1" i="0" u="sng">
              <a:solidFill>
                <a:sysClr val="windowText" lastClr="000000"/>
              </a:solidFill>
              <a:effectLst/>
              <a:latin typeface="+mn-lt"/>
              <a:ea typeface="+mn-ea"/>
              <a:cs typeface="+mn-cs"/>
            </a:rPr>
            <a:t>Mecanizado </a:t>
          </a:r>
          <a:r>
            <a:rPr lang="es-PE" sz="1800" b="0" i="0">
              <a:solidFill>
                <a:sysClr val="windowText" lastClr="000000"/>
              </a:solidFill>
              <a:effectLst/>
              <a:latin typeface="+mn-lt"/>
              <a:ea typeface="+mn-ea"/>
              <a:cs typeface="+mn-cs"/>
            </a:rPr>
            <a:t>(Mayor</a:t>
          </a:r>
          <a:r>
            <a:rPr lang="es-PE" sz="1800" b="0" i="0" baseline="0">
              <a:solidFill>
                <a:sysClr val="windowText" lastClr="000000"/>
              </a:solidFill>
              <a:effectLst/>
              <a:latin typeface="+mn-lt"/>
              <a:ea typeface="+mn-ea"/>
              <a:cs typeface="+mn-cs"/>
            </a:rPr>
            <a:t> a 50 ton/día: Criba tambor y prensa hidráulica)</a:t>
          </a:r>
        </a:p>
        <a:p>
          <a:pPr rtl="0" eaLnBrk="1" fontAlgn="b" latinLnBrk="0" hangingPunct="1"/>
          <a:r>
            <a:rPr lang="es-PE" sz="1800" b="0" i="0" baseline="0">
              <a:solidFill>
                <a:sysClr val="windowText" lastClr="000000"/>
              </a:solidFill>
              <a:effectLst/>
              <a:latin typeface="+mn-lt"/>
              <a:ea typeface="+mn-ea"/>
              <a:cs typeface="+mn-cs"/>
            </a:rPr>
            <a:t> </a:t>
          </a:r>
          <a:endParaRPr lang="es-PE" sz="1800">
            <a:solidFill>
              <a:sysClr val="windowText" lastClr="000000"/>
            </a:solidFill>
            <a:effectLst/>
          </a:endParaRPr>
        </a:p>
        <a:p>
          <a:pPr rtl="0" eaLnBrk="1" fontAlgn="b" latinLnBrk="0" hangingPunct="1"/>
          <a:r>
            <a:rPr lang="es-PE" sz="1800" b="0" i="0">
              <a:solidFill>
                <a:sysClr val="windowText" lastClr="000000"/>
              </a:solidFill>
              <a:effectLst/>
              <a:latin typeface="+mn-lt"/>
              <a:ea typeface="+mn-ea"/>
              <a:cs typeface="+mn-cs"/>
            </a:rPr>
            <a:t>• La indumentaria y equipos de protección a utilizar podrá ser camisa/polo,  pantalón, gorro, casco, calzado, lentes,</a:t>
          </a:r>
          <a:r>
            <a:rPr lang="es-PE" sz="1800" b="0" i="0" baseline="0">
              <a:solidFill>
                <a:sysClr val="windowText" lastClr="000000"/>
              </a:solidFill>
              <a:effectLst/>
              <a:latin typeface="+mn-lt"/>
              <a:ea typeface="+mn-ea"/>
              <a:cs typeface="+mn-cs"/>
            </a:rPr>
            <a:t> </a:t>
          </a:r>
          <a:r>
            <a:rPr lang="es-PE" sz="1800" b="0" i="0">
              <a:solidFill>
                <a:sysClr val="windowText" lastClr="000000"/>
              </a:solidFill>
              <a:effectLst/>
              <a:latin typeface="+mn-lt"/>
              <a:ea typeface="+mn-ea"/>
              <a:cs typeface="+mn-cs"/>
            </a:rPr>
            <a:t>guantes y mascarilla de gases.</a:t>
          </a:r>
          <a:endParaRPr lang="es-PE" sz="1800">
            <a:solidFill>
              <a:sysClr val="windowText" lastClr="000000"/>
            </a:solidFill>
            <a:effectLst/>
          </a:endParaRPr>
        </a:p>
        <a:p>
          <a:endParaRPr lang="es-PE" sz="1600">
            <a:solidFill>
              <a:sysClr val="windowText" lastClr="000000"/>
            </a:solidFill>
            <a:effectLst/>
            <a:latin typeface="+mn-lt"/>
            <a:ea typeface="+mn-ea"/>
            <a:cs typeface="+mn-cs"/>
          </a:endParaRPr>
        </a:p>
        <a:p>
          <a:pPr marL="0" marR="0" lvl="0" indent="0" defTabSz="914400" rtl="0" eaLnBrk="1" fontAlgn="b" latinLnBrk="0" hangingPunct="1">
            <a:lnSpc>
              <a:spcPct val="100000"/>
            </a:lnSpc>
            <a:spcBef>
              <a:spcPts val="0"/>
            </a:spcBef>
            <a:spcAft>
              <a:spcPts val="0"/>
            </a:spcAft>
            <a:buClrTx/>
            <a:buSzTx/>
            <a:buFontTx/>
            <a:buNone/>
            <a:tabLst/>
            <a:defRPr/>
          </a:pPr>
          <a:r>
            <a:rPr kumimoji="0" lang="es-PE" sz="1800" b="1" i="0" u="sng" strike="noStrike" kern="0" cap="none" spc="0" normalizeH="0" baseline="0" noProof="0">
              <a:ln>
                <a:noFill/>
              </a:ln>
              <a:solidFill>
                <a:sysClr val="windowText" lastClr="000000"/>
              </a:solidFill>
              <a:effectLst/>
              <a:uLnTx/>
              <a:uFillTx/>
              <a:latin typeface="+mn-lt"/>
              <a:ea typeface="+mn-ea"/>
              <a:cs typeface="+mn-cs"/>
            </a:rPr>
            <a:t>CRITERIOS DE UBICACIÓN </a:t>
          </a:r>
          <a:r>
            <a:rPr kumimoji="0" lang="es-PE" sz="1800" b="1" i="0" u="none" strike="noStrike" kern="0" cap="none" spc="0" normalizeH="0" baseline="0" noProof="0">
              <a:ln>
                <a:noFill/>
              </a:ln>
              <a:solidFill>
                <a:sysClr val="windowText" lastClr="000000"/>
              </a:solidFill>
              <a:effectLst/>
              <a:uLnTx/>
              <a:uFillTx/>
              <a:latin typeface="+mn-lt"/>
              <a:ea typeface="+mn-ea"/>
              <a:cs typeface="+mn-cs"/>
            </a:rPr>
            <a:t>:</a:t>
          </a:r>
        </a:p>
        <a:p>
          <a:r>
            <a:rPr lang="es-PE" sz="1600">
              <a:solidFill>
                <a:sysClr val="windowText" lastClr="000000"/>
              </a:solidFill>
              <a:effectLst/>
              <a:latin typeface="+mn-lt"/>
              <a:ea typeface="+mn-ea"/>
              <a:cs typeface="+mn-cs"/>
            </a:rPr>
            <a:t>DENTRO DEL AREA DE INFRAESTRUCTURA DEL RELLENO</a:t>
          </a:r>
        </a:p>
        <a:p>
          <a:pPr marL="0" marR="0" indent="0" defTabSz="914400" eaLnBrk="1" fontAlgn="auto" latinLnBrk="0" hangingPunct="1">
            <a:lnSpc>
              <a:spcPct val="100000"/>
            </a:lnSpc>
            <a:spcBef>
              <a:spcPts val="0"/>
            </a:spcBef>
            <a:spcAft>
              <a:spcPts val="0"/>
            </a:spcAft>
            <a:buClrTx/>
            <a:buSzTx/>
            <a:buFontTx/>
            <a:buNone/>
            <a:tabLst/>
            <a:defRPr/>
          </a:pPr>
          <a:r>
            <a:rPr lang="es-PE" sz="1800">
              <a:solidFill>
                <a:sysClr val="windowText" lastClr="000000"/>
              </a:solidFill>
              <a:effectLst/>
              <a:latin typeface="+mn-lt"/>
              <a:ea typeface="+mn-ea"/>
              <a:cs typeface="+mn-cs"/>
            </a:rPr>
            <a:t>•</a:t>
          </a:r>
          <a:r>
            <a:rPr lang="es-PE" sz="1100">
              <a:solidFill>
                <a:schemeClr val="lt1"/>
              </a:solidFill>
              <a:effectLst/>
              <a:latin typeface="+mn-lt"/>
              <a:ea typeface="+mn-ea"/>
              <a:cs typeface="+mn-cs"/>
            </a:rPr>
            <a:t> </a:t>
          </a:r>
          <a:r>
            <a:rPr lang="es-PE" sz="1600">
              <a:solidFill>
                <a:sysClr val="windowText" lastClr="000000"/>
              </a:solidFill>
              <a:effectLst/>
              <a:latin typeface="+mn-lt"/>
              <a:ea typeface="+mn-ea"/>
              <a:cs typeface="+mn-cs"/>
            </a:rPr>
            <a:t>Contar con disponibilidad de área en la infraestructura del relleno sanitario.</a:t>
          </a:r>
        </a:p>
        <a:p>
          <a:r>
            <a:rPr lang="es-PE" sz="1600">
              <a:solidFill>
                <a:sysClr val="windowText" lastClr="000000"/>
              </a:solidFill>
              <a:effectLst/>
              <a:latin typeface="+mn-lt"/>
              <a:ea typeface="+mn-ea"/>
              <a:cs typeface="+mn-cs"/>
            </a:rPr>
            <a:t>• Tener la cercanía de centros de comercialización de residuos sólidos reciclables.</a:t>
          </a:r>
        </a:p>
        <a:p>
          <a:pPr lvl="0"/>
          <a:r>
            <a:rPr lang="es-PE" sz="1600">
              <a:solidFill>
                <a:sysClr val="windowText" lastClr="000000"/>
              </a:solidFill>
              <a:effectLst/>
              <a:latin typeface="+mn-lt"/>
              <a:ea typeface="+mn-ea"/>
              <a:cs typeface="+mn-cs"/>
            </a:rPr>
            <a:t>• Tener una distancia con tiempo de transporte no mayor de una hora desde la fuente de generación.</a:t>
          </a:r>
        </a:p>
        <a:p>
          <a:r>
            <a:rPr lang="es-PE" sz="1600">
              <a:solidFill>
                <a:sysClr val="windowText" lastClr="000000"/>
              </a:solidFill>
              <a:effectLst/>
              <a:latin typeface="+mn-lt"/>
              <a:ea typeface="+mn-ea"/>
              <a:cs typeface="+mn-cs"/>
            </a:rPr>
            <a:t> </a:t>
          </a:r>
        </a:p>
        <a:p>
          <a:r>
            <a:rPr lang="es-PE" sz="1600">
              <a:solidFill>
                <a:sysClr val="windowText" lastClr="000000"/>
              </a:solidFill>
              <a:effectLst/>
              <a:latin typeface="+mn-lt"/>
              <a:ea typeface="+mn-ea"/>
              <a:cs typeface="+mn-cs"/>
            </a:rPr>
            <a:t>FUERA DEL AREA DE INFRAESTRUCTURA DEL RELLENO</a:t>
          </a:r>
        </a:p>
        <a:p>
          <a:pPr lvl="0"/>
          <a:r>
            <a:rPr lang="es-PE" sz="1600">
              <a:solidFill>
                <a:sysClr val="windowText" lastClr="000000"/>
              </a:solidFill>
              <a:effectLst/>
              <a:latin typeface="+mn-lt"/>
              <a:ea typeface="+mn-ea"/>
              <a:cs typeface="+mn-cs"/>
            </a:rPr>
            <a:t>• No deben ubicarse en área de zonificación residencial.</a:t>
          </a:r>
        </a:p>
        <a:p>
          <a:pPr lvl="0"/>
          <a:r>
            <a:rPr lang="es-PE" sz="1600">
              <a:solidFill>
                <a:sysClr val="windowText" lastClr="000000"/>
              </a:solidFill>
              <a:effectLst/>
              <a:latin typeface="+mn-lt"/>
              <a:ea typeface="+mn-ea"/>
              <a:cs typeface="+mn-cs"/>
            </a:rPr>
            <a:t>• No estar ubicados a menos de 100 metros de centros de establecimientos de atención de salud, instituciones educativas.</a:t>
          </a:r>
        </a:p>
        <a:p>
          <a:pPr lvl="0"/>
          <a:r>
            <a:rPr lang="es-PE" sz="1600">
              <a:solidFill>
                <a:sysClr val="windowText" lastClr="000000"/>
              </a:solidFill>
              <a:effectLst/>
              <a:latin typeface="+mn-lt"/>
              <a:ea typeface="+mn-ea"/>
              <a:cs typeface="+mn-cs"/>
            </a:rPr>
            <a:t>• No estar ubicados a menos de 300 metros de almacenes de insumos o materia prima o de productos inflamables.</a:t>
          </a:r>
        </a:p>
        <a:p>
          <a:pPr lvl="0"/>
          <a:r>
            <a:rPr lang="es-PE" sz="1600">
              <a:solidFill>
                <a:sysClr val="windowText" lastClr="000000"/>
              </a:solidFill>
              <a:effectLst/>
              <a:latin typeface="+mn-lt"/>
              <a:ea typeface="+mn-ea"/>
              <a:cs typeface="+mn-cs"/>
            </a:rPr>
            <a:t>• Que el mercado de material de reciclaje este cerca al centro de acopio.</a:t>
          </a:r>
        </a:p>
        <a:p>
          <a:pPr lvl="0"/>
          <a:r>
            <a:rPr lang="es-PE" sz="1600">
              <a:solidFill>
                <a:sysClr val="windowText" lastClr="000000"/>
              </a:solidFill>
              <a:effectLst/>
              <a:latin typeface="+mn-lt"/>
              <a:ea typeface="+mn-ea"/>
              <a:cs typeface="+mn-cs"/>
            </a:rPr>
            <a:t>• Tener una vía de acceso adecuado, con pendientes suaves con un tiempo de llegada menor a una hora con vehículo no convencional</a:t>
          </a:r>
          <a:r>
            <a:rPr lang="es-PE" sz="1600" baseline="0">
              <a:solidFill>
                <a:sysClr val="windowText" lastClr="000000"/>
              </a:solidFill>
              <a:effectLst/>
              <a:latin typeface="+mn-lt"/>
              <a:ea typeface="+mn-ea"/>
              <a:cs typeface="+mn-cs"/>
            </a:rPr>
            <a:t> o </a:t>
          </a:r>
          <a:r>
            <a:rPr lang="es-PE" sz="1600">
              <a:solidFill>
                <a:sysClr val="windowText" lastClr="000000"/>
              </a:solidFill>
              <a:effectLst/>
              <a:latin typeface="+mn-lt"/>
              <a:ea typeface="+mn-ea"/>
              <a:cs typeface="+mn-cs"/>
            </a:rPr>
            <a:t> convencional menor a 30 minutos.</a:t>
          </a:r>
        </a:p>
      </xdr:txBody>
    </xdr:sp>
    <xdr:clientData/>
  </xdr:twoCellAnchor>
  <xdr:twoCellAnchor>
    <xdr:from>
      <xdr:col>0</xdr:col>
      <xdr:colOff>252353</xdr:colOff>
      <xdr:row>9</xdr:row>
      <xdr:rowOff>35871</xdr:rowOff>
    </xdr:from>
    <xdr:to>
      <xdr:col>6</xdr:col>
      <xdr:colOff>34637</xdr:colOff>
      <xdr:row>18</xdr:row>
      <xdr:rowOff>139285</xdr:rowOff>
    </xdr:to>
    <xdr:sp macro="" textlink="">
      <xdr:nvSpPr>
        <xdr:cNvPr id="25" name="Llamada de flecha a la derecha 24">
          <a:extLst>
            <a:ext uri="{FF2B5EF4-FFF2-40B4-BE49-F238E27FC236}">
              <a16:creationId xmlns:a16="http://schemas.microsoft.com/office/drawing/2014/main" id="{00000000-0008-0000-0400-000019000000}"/>
            </a:ext>
          </a:extLst>
        </xdr:cNvPr>
        <xdr:cNvSpPr/>
      </xdr:nvSpPr>
      <xdr:spPr>
        <a:xfrm>
          <a:off x="252353" y="1607496"/>
          <a:ext cx="4449534" cy="1817914"/>
        </a:xfrm>
        <a:prstGeom prst="rightArrowCallout">
          <a:avLst>
            <a:gd name="adj1" fmla="val 22646"/>
            <a:gd name="adj2" fmla="val 20722"/>
            <a:gd name="adj3" fmla="val 44143"/>
            <a:gd name="adj4" fmla="val 61563"/>
          </a:avLst>
        </a:prstGeom>
        <a:solidFill>
          <a:schemeClr val="tx2">
            <a:lumMod val="60000"/>
            <a:lumOff val="4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b="1" baseline="0"/>
            <a:t>ALMACENAMIENTO </a:t>
          </a:r>
          <a:endParaRPr lang="es-PE" sz="2400" b="1">
            <a:solidFill>
              <a:schemeClr val="tx1"/>
            </a:solidFill>
          </a:endParaRPr>
        </a:p>
      </xdr:txBody>
    </xdr:sp>
    <xdr:clientData/>
  </xdr:twoCellAnchor>
  <xdr:twoCellAnchor editAs="oneCell">
    <xdr:from>
      <xdr:col>29</xdr:col>
      <xdr:colOff>0</xdr:colOff>
      <xdr:row>255</xdr:row>
      <xdr:rowOff>0</xdr:rowOff>
    </xdr:from>
    <xdr:to>
      <xdr:col>29</xdr:col>
      <xdr:colOff>304800</xdr:colOff>
      <xdr:row>256</xdr:row>
      <xdr:rowOff>114300</xdr:rowOff>
    </xdr:to>
    <xdr:sp macro="" textlink="">
      <xdr:nvSpPr>
        <xdr:cNvPr id="84499" name="AutoShape 9" descr="Resultado de imagen para CRIBA TAMBOR de residuos">
          <a:extLst>
            <a:ext uri="{FF2B5EF4-FFF2-40B4-BE49-F238E27FC236}">
              <a16:creationId xmlns:a16="http://schemas.microsoft.com/office/drawing/2014/main" id="{00000000-0008-0000-0400-0000134A0100}"/>
            </a:ext>
          </a:extLst>
        </xdr:cNvPr>
        <xdr:cNvSpPr>
          <a:spLocks noChangeAspect="1" noChangeArrowheads="1"/>
        </xdr:cNvSpPr>
      </xdr:nvSpPr>
      <xdr:spPr bwMode="auto">
        <a:xfrm>
          <a:off x="21955125" y="501396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329045</xdr:colOff>
      <xdr:row>297</xdr:row>
      <xdr:rowOff>111331</xdr:rowOff>
    </xdr:from>
    <xdr:to>
      <xdr:col>20</xdr:col>
      <xdr:colOff>17317</xdr:colOff>
      <xdr:row>324</xdr:row>
      <xdr:rowOff>103909</xdr:rowOff>
    </xdr:to>
    <xdr:sp macro="" textlink="">
      <xdr:nvSpPr>
        <xdr:cNvPr id="27" name="Rectángulo redondeado 26">
          <a:extLst>
            <a:ext uri="{FF2B5EF4-FFF2-40B4-BE49-F238E27FC236}">
              <a16:creationId xmlns:a16="http://schemas.microsoft.com/office/drawing/2014/main" id="{00000000-0008-0000-0400-00001B000000}"/>
            </a:ext>
          </a:extLst>
        </xdr:cNvPr>
        <xdr:cNvSpPr/>
      </xdr:nvSpPr>
      <xdr:spPr>
        <a:xfrm>
          <a:off x="3653270" y="56870806"/>
          <a:ext cx="11613572" cy="5136078"/>
        </a:xfrm>
        <a:prstGeom prst="round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PE" sz="2000" b="1" u="sng" baseline="0">
              <a:solidFill>
                <a:schemeClr val="accent2">
                  <a:lumMod val="50000"/>
                </a:schemeClr>
              </a:solidFill>
              <a:latin typeface="+mn-lt"/>
              <a:ea typeface="+mn-ea"/>
              <a:cs typeface="+mn-cs"/>
            </a:rPr>
            <a:t>CRITERIOS GENERALES</a:t>
          </a:r>
        </a:p>
        <a:p>
          <a:pPr rtl="0" eaLnBrk="1" fontAlgn="b" latinLnBrk="0" hangingPunct="1"/>
          <a:r>
            <a:rPr lang="es-PE" sz="1800" b="0" i="0">
              <a:solidFill>
                <a:sysClr val="windowText" lastClr="000000"/>
              </a:solidFill>
              <a:effectLst/>
              <a:latin typeface="+mn-lt"/>
              <a:ea typeface="+mn-ea"/>
              <a:cs typeface="+mn-cs"/>
            </a:rPr>
            <a:t>•  El proceso de la implementación del relleno sanitario</a:t>
          </a:r>
          <a:r>
            <a:rPr lang="es-PE" sz="1800" b="0" i="0" baseline="0">
              <a:solidFill>
                <a:sysClr val="windowText" lastClr="000000"/>
              </a:solidFill>
              <a:effectLst/>
              <a:latin typeface="+mn-lt"/>
              <a:ea typeface="+mn-ea"/>
              <a:cs typeface="+mn-cs"/>
            </a:rPr>
            <a:t> </a:t>
          </a:r>
          <a:r>
            <a:rPr lang="es-PE" sz="1800" b="0" i="0">
              <a:solidFill>
                <a:sysClr val="windowText" lastClr="000000"/>
              </a:solidFill>
              <a:effectLst/>
              <a:latin typeface="+mn-lt"/>
              <a:ea typeface="+mn-ea"/>
              <a:cs typeface="+mn-cs"/>
            </a:rPr>
            <a:t>debe considerar  las siguientes etapas: </a:t>
          </a:r>
          <a:r>
            <a:rPr lang="es-PE" sz="1800" b="0" i="0" baseline="0">
              <a:solidFill>
                <a:sysClr val="windowText" lastClr="000000"/>
              </a:solidFill>
              <a:effectLst/>
              <a:latin typeface="+mn-lt"/>
              <a:ea typeface="+mn-ea"/>
              <a:cs typeface="+mn-cs"/>
            </a:rPr>
            <a:t> ha</a:t>
          </a:r>
          <a:r>
            <a:rPr lang="es-PE" sz="1800" b="0" i="0">
              <a:solidFill>
                <a:sysClr val="windowText" lastClr="000000"/>
              </a:solidFill>
              <a:effectLst/>
              <a:latin typeface="+mn-lt"/>
              <a:ea typeface="+mn-ea"/>
              <a:cs typeface="+mn-cs"/>
            </a:rPr>
            <a:t>bilitación y/o construcción, operación y mantenimiento y cierre.</a:t>
          </a:r>
          <a:endParaRPr lang="es-PE" sz="1800">
            <a:solidFill>
              <a:sysClr val="windowText" lastClr="000000"/>
            </a:solidFill>
            <a:effectLst/>
          </a:endParaRPr>
        </a:p>
        <a:p>
          <a:pPr rtl="0" eaLnBrk="1" fontAlgn="b" latinLnBrk="0" hangingPunct="1"/>
          <a:r>
            <a:rPr lang="es-PE" sz="1800" b="0" i="0">
              <a:solidFill>
                <a:sysClr val="windowText" lastClr="000000"/>
              </a:solidFill>
              <a:effectLst/>
              <a:latin typeface="+mn-lt"/>
              <a:ea typeface="+mn-ea"/>
              <a:cs typeface="+mn-cs"/>
            </a:rPr>
            <a:t>•  La impermeabilización de base y taludes de un relleno sanitario debe ser resultado de la evaluación de cada caso particular, se</a:t>
          </a:r>
          <a:r>
            <a:rPr lang="es-PE" sz="1800" b="0" i="0" baseline="0">
              <a:solidFill>
                <a:sysClr val="windowText" lastClr="000000"/>
              </a:solidFill>
              <a:effectLst/>
              <a:latin typeface="+mn-lt"/>
              <a:ea typeface="+mn-ea"/>
              <a:cs typeface="+mn-cs"/>
            </a:rPr>
            <a:t> </a:t>
          </a:r>
          <a:r>
            <a:rPr lang="es-PE" sz="1800" b="0" i="0">
              <a:solidFill>
                <a:sysClr val="windowText" lastClr="000000"/>
              </a:solidFill>
              <a:effectLst/>
              <a:latin typeface="+mn-lt"/>
              <a:ea typeface="+mn-ea"/>
              <a:cs typeface="+mn-cs"/>
            </a:rPr>
            <a:t>debe considerar materiales impermeabilizantes </a:t>
          </a:r>
          <a:r>
            <a:rPr lang="es-PE" sz="1800" b="0" i="0" u="sng">
              <a:solidFill>
                <a:sysClr val="windowText" lastClr="000000"/>
              </a:solidFill>
              <a:effectLst/>
              <a:latin typeface="+mn-lt"/>
              <a:ea typeface="+mn-ea"/>
              <a:cs typeface="+mn-cs"/>
            </a:rPr>
            <a:t>como arcilla o geo sintéticos</a:t>
          </a:r>
          <a:r>
            <a:rPr lang="es-PE" sz="1800" b="0" i="0">
              <a:solidFill>
                <a:sysClr val="windowText" lastClr="000000"/>
              </a:solidFill>
              <a:effectLst/>
              <a:latin typeface="+mn-lt"/>
              <a:ea typeface="+mn-ea"/>
              <a:cs typeface="+mn-cs"/>
            </a:rPr>
            <a:t>.</a:t>
          </a:r>
          <a:endParaRPr lang="es-PE" sz="1800">
            <a:solidFill>
              <a:sysClr val="windowText" lastClr="000000"/>
            </a:solidFill>
            <a:effectLst/>
          </a:endParaRPr>
        </a:p>
        <a:p>
          <a:pPr rtl="0" eaLnBrk="1" fontAlgn="b" latinLnBrk="0" hangingPunct="1"/>
          <a:r>
            <a:rPr lang="es-PE" sz="1800" b="0" i="0">
              <a:solidFill>
                <a:sysClr val="windowText" lastClr="000000"/>
              </a:solidFill>
              <a:effectLst/>
              <a:latin typeface="+mn-lt"/>
              <a:ea typeface="+mn-ea"/>
              <a:cs typeface="+mn-cs"/>
            </a:rPr>
            <a:t>En</a:t>
          </a:r>
          <a:r>
            <a:rPr lang="es-PE" sz="1800" b="0" i="0" baseline="0">
              <a:solidFill>
                <a:sysClr val="windowText" lastClr="000000"/>
              </a:solidFill>
              <a:effectLst/>
              <a:latin typeface="+mn-lt"/>
              <a:ea typeface="+mn-ea"/>
              <a:cs typeface="+mn-cs"/>
            </a:rPr>
            <a:t> cuanto al diseño del relleno sanitario podrá optar por: anaeróbicos o semi aeróbicos.</a:t>
          </a:r>
          <a:endParaRPr lang="es-PE" sz="1800">
            <a:solidFill>
              <a:sysClr val="windowText" lastClr="000000"/>
            </a:solidFill>
            <a:effectLst/>
          </a:endParaRPr>
        </a:p>
        <a:p>
          <a:pPr rtl="0" eaLnBrk="1" fontAlgn="b" latinLnBrk="0" hangingPunct="1"/>
          <a:r>
            <a:rPr lang="es-PE" sz="1800" b="0" i="0">
              <a:solidFill>
                <a:sysClr val="windowText" lastClr="000000"/>
              </a:solidFill>
              <a:effectLst/>
              <a:latin typeface="+mn-lt"/>
              <a:ea typeface="+mn-ea"/>
              <a:cs typeface="+mn-cs"/>
            </a:rPr>
            <a:t>•  El manejo de lixiviados será a través de recirculación (de la poza de lixiviados a las celdas de residuos).</a:t>
          </a:r>
          <a:endParaRPr lang="es-PE" sz="1800">
            <a:solidFill>
              <a:sysClr val="windowText" lastClr="000000"/>
            </a:solidFill>
            <a:effectLst/>
          </a:endParaRPr>
        </a:p>
        <a:p>
          <a:pPr rtl="0" eaLnBrk="1" fontAlgn="b" latinLnBrk="0" hangingPunct="1"/>
          <a:r>
            <a:rPr lang="es-PE" sz="1800" b="0" i="0">
              <a:solidFill>
                <a:sysClr val="windowText" lastClr="000000"/>
              </a:solidFill>
              <a:effectLst/>
              <a:latin typeface="+mn-lt"/>
              <a:ea typeface="+mn-ea"/>
              <a:cs typeface="+mn-cs"/>
            </a:rPr>
            <a:t>•  Se debe tener un control adecuado de los gases (chimeneas), aguas pluviales (sistema drenaje) y monitoreo ambiental</a:t>
          </a:r>
          <a:endParaRPr lang="es-PE" sz="1800">
            <a:solidFill>
              <a:sysClr val="windowText" lastClr="000000"/>
            </a:solidFill>
            <a:effectLst/>
          </a:endParaRPr>
        </a:p>
        <a:p>
          <a:pPr rtl="0" eaLnBrk="1" fontAlgn="b" latinLnBrk="0" hangingPunct="1"/>
          <a:r>
            <a:rPr lang="es-PE" sz="1800" b="0" i="0">
              <a:solidFill>
                <a:sysClr val="windowText" lastClr="000000"/>
              </a:solidFill>
              <a:effectLst/>
              <a:latin typeface="+mn-lt"/>
              <a:ea typeface="+mn-ea"/>
              <a:cs typeface="+mn-cs"/>
            </a:rPr>
            <a:t>Para</a:t>
          </a:r>
          <a:r>
            <a:rPr lang="es-PE" sz="1800" b="0" i="0" baseline="0">
              <a:solidFill>
                <a:sysClr val="windowText" lastClr="000000"/>
              </a:solidFill>
              <a:effectLst/>
              <a:latin typeface="+mn-lt"/>
              <a:ea typeface="+mn-ea"/>
              <a:cs typeface="+mn-cs"/>
            </a:rPr>
            <a:t> rellenos sanitarios que manejen más de 200 toneladas por día, deberán implementar un sistema de captura y quema centralizada de gases a efectos de reducir las emisiones de gases de efecto invernadero (en caso de rellenos sanitarios anaeróbicos).  En el caso de rellenos sanitarios que no contemplen captura y quema centralizada se deberá priorizar el diseño semi aeróbico.</a:t>
          </a:r>
          <a:endParaRPr lang="es-PE" sz="1800">
            <a:solidFill>
              <a:sysClr val="windowText" lastClr="000000"/>
            </a:solidFill>
            <a:effectLst/>
          </a:endParaRPr>
        </a:p>
        <a:p>
          <a:pPr rtl="0" eaLnBrk="1" fontAlgn="b" latinLnBrk="0" hangingPunct="1"/>
          <a:r>
            <a:rPr lang="es-PE" sz="1800">
              <a:solidFill>
                <a:sysClr val="windowText" lastClr="000000"/>
              </a:solidFill>
              <a:effectLst/>
            </a:rPr>
            <a:t>•  La indumentaria y equipos de protección a utilizar podrá ser camisa/polo, pantalón, gorro, casco, calzado, lentes, guantes y mascarilla de gases.</a:t>
          </a:r>
        </a:p>
        <a:p>
          <a:pPr rtl="0" eaLnBrk="1" fontAlgn="b" latinLnBrk="0" hangingPunct="1"/>
          <a:r>
            <a:rPr lang="es-PE" sz="1800">
              <a:solidFill>
                <a:sysClr val="windowText" lastClr="000000"/>
              </a:solidFill>
              <a:effectLst/>
            </a:rPr>
            <a:t>•  La vida útil de las infraestructuras deberán considerar un período de funcionamiento de 10 años.</a:t>
          </a:r>
        </a:p>
      </xdr:txBody>
    </xdr:sp>
    <xdr:clientData/>
  </xdr:twoCellAnchor>
  <xdr:twoCellAnchor>
    <xdr:from>
      <xdr:col>19</xdr:col>
      <xdr:colOff>555575</xdr:colOff>
      <xdr:row>331</xdr:row>
      <xdr:rowOff>138392</xdr:rowOff>
    </xdr:from>
    <xdr:to>
      <xdr:col>20</xdr:col>
      <xdr:colOff>330440</xdr:colOff>
      <xdr:row>334</xdr:row>
      <xdr:rowOff>161604</xdr:rowOff>
    </xdr:to>
    <xdr:sp macro="" textlink="">
      <xdr:nvSpPr>
        <xdr:cNvPr id="28" name="Flecha a la derecha con bandas 27">
          <a:extLst>
            <a:ext uri="{FF2B5EF4-FFF2-40B4-BE49-F238E27FC236}">
              <a16:creationId xmlns:a16="http://schemas.microsoft.com/office/drawing/2014/main" id="{00000000-0008-0000-0400-00001C000000}"/>
            </a:ext>
          </a:extLst>
        </xdr:cNvPr>
        <xdr:cNvSpPr/>
      </xdr:nvSpPr>
      <xdr:spPr>
        <a:xfrm>
          <a:off x="15033575" y="64753611"/>
          <a:ext cx="536865" cy="594712"/>
        </a:xfrm>
        <a:prstGeom prst="stripedRightArrow">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PE"/>
        </a:p>
      </xdr:txBody>
    </xdr:sp>
    <xdr:clientData/>
  </xdr:twoCellAnchor>
  <xdr:twoCellAnchor>
    <xdr:from>
      <xdr:col>0</xdr:col>
      <xdr:colOff>0</xdr:colOff>
      <xdr:row>305</xdr:row>
      <xdr:rowOff>98963</xdr:rowOff>
    </xdr:from>
    <xdr:to>
      <xdr:col>4</xdr:col>
      <xdr:colOff>199159</xdr:colOff>
      <xdr:row>315</xdr:row>
      <xdr:rowOff>11877</xdr:rowOff>
    </xdr:to>
    <xdr:sp macro="" textlink="">
      <xdr:nvSpPr>
        <xdr:cNvPr id="29" name="Llamada de flecha a la derecha 28">
          <a:extLst>
            <a:ext uri="{FF2B5EF4-FFF2-40B4-BE49-F238E27FC236}">
              <a16:creationId xmlns:a16="http://schemas.microsoft.com/office/drawing/2014/main" id="{00000000-0008-0000-0400-00001D000000}"/>
            </a:ext>
          </a:extLst>
        </xdr:cNvPr>
        <xdr:cNvSpPr/>
      </xdr:nvSpPr>
      <xdr:spPr>
        <a:xfrm>
          <a:off x="0" y="58382438"/>
          <a:ext cx="3523384" cy="1817914"/>
        </a:xfrm>
        <a:prstGeom prst="rightArrowCallout">
          <a:avLst>
            <a:gd name="adj1" fmla="val 22646"/>
            <a:gd name="adj2" fmla="val 20722"/>
            <a:gd name="adj3" fmla="val 44143"/>
            <a:gd name="adj4" fmla="val 61563"/>
          </a:avLst>
        </a:prstGeom>
        <a:solidFill>
          <a:schemeClr val="tx2">
            <a:lumMod val="60000"/>
            <a:lumOff val="4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b="1" baseline="0"/>
            <a:t>DISPOSICIÓN FINAL DE RESIDUOS SÓLIDOS </a:t>
          </a:r>
          <a:endParaRPr lang="es-PE" sz="2400" b="1">
            <a:solidFill>
              <a:schemeClr val="tx1"/>
            </a:solidFill>
          </a:endParaRPr>
        </a:p>
      </xdr:txBody>
    </xdr:sp>
    <xdr:clientData/>
  </xdr:twoCellAnchor>
  <xdr:twoCellAnchor>
    <xdr:from>
      <xdr:col>1</xdr:col>
      <xdr:colOff>28142</xdr:colOff>
      <xdr:row>328</xdr:row>
      <xdr:rowOff>137924</xdr:rowOff>
    </xdr:from>
    <xdr:to>
      <xdr:col>19</xdr:col>
      <xdr:colOff>357187</xdr:colOff>
      <xdr:row>344</xdr:row>
      <xdr:rowOff>47625</xdr:rowOff>
    </xdr:to>
    <xdr:sp macro="" textlink="">
      <xdr:nvSpPr>
        <xdr:cNvPr id="30" name="Rectángulo redondeado 29">
          <a:extLst>
            <a:ext uri="{FF2B5EF4-FFF2-40B4-BE49-F238E27FC236}">
              <a16:creationId xmlns:a16="http://schemas.microsoft.com/office/drawing/2014/main" id="{00000000-0008-0000-0400-00001E000000}"/>
            </a:ext>
          </a:extLst>
        </xdr:cNvPr>
        <xdr:cNvSpPr/>
      </xdr:nvSpPr>
      <xdr:spPr>
        <a:xfrm>
          <a:off x="468673" y="64181643"/>
          <a:ext cx="14366514" cy="2957701"/>
        </a:xfrm>
        <a:prstGeom prst="roundRect">
          <a:avLst/>
        </a:prstGeom>
        <a:solidFill>
          <a:schemeClr val="accent5">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PE" sz="2000" b="1" baseline="0">
              <a:solidFill>
                <a:schemeClr val="accent2">
                  <a:lumMod val="50000"/>
                </a:schemeClr>
              </a:solidFill>
              <a:latin typeface="+mn-lt"/>
              <a:ea typeface="+mn-ea"/>
              <a:cs typeface="+mn-cs"/>
            </a:rPr>
            <a:t>MANUAL (Para ciudades con generación de residuos hasta 6 ton/día)</a:t>
          </a:r>
        </a:p>
        <a:p>
          <a:pPr algn="l"/>
          <a:endParaRPr lang="es-PE" sz="2000" b="0" baseline="0">
            <a:solidFill>
              <a:sysClr val="windowText" lastClr="000000"/>
            </a:solidFill>
          </a:endParaRPr>
        </a:p>
        <a:p>
          <a:pPr rtl="0" eaLnBrk="1" fontAlgn="b" latinLnBrk="0" hangingPunct="1"/>
          <a:r>
            <a:rPr lang="es-PE" sz="2000" b="0" baseline="0">
              <a:solidFill>
                <a:sysClr val="windowText" lastClr="000000"/>
              </a:solidFill>
              <a:effectLst/>
              <a:latin typeface="+mn-lt"/>
              <a:ea typeface="+mn-ea"/>
              <a:cs typeface="+mn-cs"/>
            </a:rPr>
            <a:t>• </a:t>
          </a:r>
          <a:r>
            <a:rPr lang="es-PE" sz="2000" b="0" i="0">
              <a:solidFill>
                <a:sysClr val="windowText" lastClr="000000"/>
              </a:solidFill>
              <a:effectLst/>
              <a:latin typeface="+mn-lt"/>
              <a:ea typeface="+mn-ea"/>
              <a:cs typeface="+mn-cs"/>
            </a:rPr>
            <a:t>La</a:t>
          </a:r>
          <a:r>
            <a:rPr lang="es-PE" sz="2000" b="0" i="0" baseline="0">
              <a:solidFill>
                <a:sysClr val="windowText" lastClr="000000"/>
              </a:solidFill>
              <a:effectLst/>
              <a:latin typeface="+mn-lt"/>
              <a:ea typeface="+mn-ea"/>
              <a:cs typeface="+mn-cs"/>
            </a:rPr>
            <a:t> disposición final en ciudades que generen residuos hasta </a:t>
          </a:r>
          <a:r>
            <a:rPr lang="es-PE" sz="2000" b="0" i="0">
              <a:solidFill>
                <a:sysClr val="windowText" lastClr="000000"/>
              </a:solidFill>
              <a:effectLst/>
              <a:latin typeface="+mn-lt"/>
              <a:ea typeface="+mn-ea"/>
              <a:cs typeface="+mn-cs"/>
            </a:rPr>
            <a:t>2 ton/día se</a:t>
          </a:r>
          <a:r>
            <a:rPr lang="es-PE" sz="2000" b="0" i="0" baseline="0">
              <a:solidFill>
                <a:sysClr val="windowText" lastClr="000000"/>
              </a:solidFill>
              <a:effectLst/>
              <a:latin typeface="+mn-lt"/>
              <a:ea typeface="+mn-ea"/>
              <a:cs typeface="+mn-cs"/>
            </a:rPr>
            <a:t> </a:t>
          </a:r>
          <a:r>
            <a:rPr lang="es-PE" sz="2000" b="0" i="0">
              <a:solidFill>
                <a:sysClr val="windowText" lastClr="000000"/>
              </a:solidFill>
              <a:effectLst/>
              <a:latin typeface="+mn-lt"/>
              <a:ea typeface="+mn-ea"/>
              <a:cs typeface="+mn-cs"/>
            </a:rPr>
            <a:t>realizará con empleo de herramientas manuales (lampa, rastrillo, pisones manuales, carretillas).</a:t>
          </a:r>
          <a:endParaRPr lang="es-PE" sz="2000">
            <a:solidFill>
              <a:sysClr val="windowText" lastClr="000000"/>
            </a:solidFill>
            <a:effectLst/>
          </a:endParaRPr>
        </a:p>
        <a:p>
          <a:pPr rtl="0" eaLnBrk="1" fontAlgn="b" latinLnBrk="0" hangingPunct="1"/>
          <a:r>
            <a:rPr lang="es-PE" sz="2000" b="0" i="0">
              <a:solidFill>
                <a:sysClr val="windowText" lastClr="000000"/>
              </a:solidFill>
              <a:effectLst/>
              <a:latin typeface="+mn-lt"/>
              <a:ea typeface="+mn-ea"/>
              <a:cs typeface="+mn-cs"/>
            </a:rPr>
            <a:t>• En ciudades que</a:t>
          </a:r>
          <a:r>
            <a:rPr lang="es-PE" sz="2000" b="0" i="0" baseline="0">
              <a:solidFill>
                <a:sysClr val="windowText" lastClr="000000"/>
              </a:solidFill>
              <a:effectLst/>
              <a:latin typeface="+mn-lt"/>
              <a:ea typeface="+mn-ea"/>
              <a:cs typeface="+mn-cs"/>
            </a:rPr>
            <a:t> generen residuos mayores a </a:t>
          </a:r>
          <a:r>
            <a:rPr lang="es-PE" sz="2000" b="0" i="0">
              <a:solidFill>
                <a:sysClr val="windowText" lastClr="000000"/>
              </a:solidFill>
              <a:effectLst/>
              <a:latin typeface="+mn-lt"/>
              <a:ea typeface="+mn-ea"/>
              <a:cs typeface="+mn-cs"/>
            </a:rPr>
            <a:t>2 ton/día hasta 6 ton/día se realizará con empleo de un minicargador </a:t>
          </a:r>
          <a:endParaRPr lang="es-PE" sz="2000">
            <a:solidFill>
              <a:sysClr val="windowText" lastClr="000000"/>
            </a:solidFill>
            <a:effectLst/>
          </a:endParaRPr>
        </a:p>
        <a:p>
          <a:pPr rtl="0" eaLnBrk="1" fontAlgn="b" latinLnBrk="0" hangingPunct="1"/>
          <a:r>
            <a:rPr lang="es-PE" sz="2000" b="0" i="0">
              <a:solidFill>
                <a:sysClr val="windowText" lastClr="000000"/>
              </a:solidFill>
              <a:effectLst/>
              <a:latin typeface="+mn-lt"/>
              <a:ea typeface="+mn-ea"/>
              <a:cs typeface="+mn-cs"/>
            </a:rPr>
            <a:t>• El</a:t>
          </a:r>
          <a:r>
            <a:rPr lang="es-PE" sz="2000" b="0" i="0" baseline="0">
              <a:solidFill>
                <a:sysClr val="windowText" lastClr="000000"/>
              </a:solidFill>
              <a:effectLst/>
              <a:latin typeface="+mn-lt"/>
              <a:ea typeface="+mn-ea"/>
              <a:cs typeface="+mn-cs"/>
            </a:rPr>
            <a:t> </a:t>
          </a:r>
          <a:r>
            <a:rPr lang="es-PE" sz="2000" b="0" i="0">
              <a:solidFill>
                <a:sysClr val="windowText" lastClr="000000"/>
              </a:solidFill>
              <a:effectLst/>
              <a:latin typeface="+mn-lt"/>
              <a:ea typeface="+mn-ea"/>
              <a:cs typeface="+mn-cs"/>
            </a:rPr>
            <a:t>pesaje de los residuos sólidos se realizará en función de la capacidad (volumen)</a:t>
          </a:r>
          <a:r>
            <a:rPr lang="es-PE" sz="2000" b="0" i="0" baseline="0">
              <a:solidFill>
                <a:sysClr val="windowText" lastClr="000000"/>
              </a:solidFill>
              <a:effectLst/>
              <a:latin typeface="+mn-lt"/>
              <a:ea typeface="+mn-ea"/>
              <a:cs typeface="+mn-cs"/>
            </a:rPr>
            <a:t> </a:t>
          </a:r>
          <a:r>
            <a:rPr lang="es-PE" sz="2000" b="0" i="0">
              <a:solidFill>
                <a:sysClr val="windowText" lastClr="000000"/>
              </a:solidFill>
              <a:effectLst/>
              <a:latin typeface="+mn-lt"/>
              <a:ea typeface="+mn-ea"/>
              <a:cs typeface="+mn-cs"/>
            </a:rPr>
            <a:t>de los vehículos de recolección (sin balanza).</a:t>
          </a:r>
          <a:endParaRPr lang="es-PE" sz="2000">
            <a:solidFill>
              <a:sysClr val="windowText" lastClr="000000"/>
            </a:solidFill>
            <a:effectLst/>
          </a:endParaRPr>
        </a:p>
        <a:p>
          <a:pPr rtl="0" eaLnBrk="1" fontAlgn="b" latinLnBrk="0" hangingPunct="1"/>
          <a:r>
            <a:rPr lang="es-PE" sz="2000" b="0" i="0">
              <a:solidFill>
                <a:sysClr val="windowText" lastClr="000000"/>
              </a:solidFill>
              <a:effectLst/>
              <a:latin typeface="+mn-lt"/>
              <a:ea typeface="+mn-ea"/>
              <a:cs typeface="+mn-cs"/>
            </a:rPr>
            <a:t>• La inversión deberá considerar la implementación</a:t>
          </a:r>
          <a:r>
            <a:rPr lang="es-PE" sz="2000" b="0" i="0" baseline="0">
              <a:solidFill>
                <a:sysClr val="windowText" lastClr="000000"/>
              </a:solidFill>
              <a:effectLst/>
              <a:latin typeface="+mn-lt"/>
              <a:ea typeface="+mn-ea"/>
              <a:cs typeface="+mn-cs"/>
            </a:rPr>
            <a:t> de </a:t>
          </a:r>
          <a:r>
            <a:rPr lang="es-PE" sz="2000" b="0" i="0">
              <a:solidFill>
                <a:sysClr val="windowText" lastClr="000000"/>
              </a:solidFill>
              <a:effectLst/>
              <a:latin typeface="+mn-lt"/>
              <a:ea typeface="+mn-ea"/>
              <a:cs typeface="+mn-cs"/>
            </a:rPr>
            <a:t>infraestructura  de disposición  final de residuos  para los 05 primeros años ; después de ese período deberá considerarse la implementación de nuevas celdas como reinversión </a:t>
          </a:r>
          <a:r>
            <a:rPr lang="es-PE" sz="2000" b="0" i="0" baseline="0">
              <a:solidFill>
                <a:sysClr val="windowText" lastClr="000000"/>
              </a:solidFill>
              <a:effectLst/>
              <a:latin typeface="+mn-lt"/>
              <a:ea typeface="+mn-ea"/>
              <a:cs typeface="+mn-cs"/>
            </a:rPr>
            <a:t> para los </a:t>
          </a:r>
          <a:r>
            <a:rPr lang="es-PE" sz="2000" b="0" i="0">
              <a:solidFill>
                <a:sysClr val="windowText" lastClr="000000"/>
              </a:solidFill>
              <a:effectLst/>
              <a:latin typeface="+mn-lt"/>
              <a:ea typeface="+mn-ea"/>
              <a:cs typeface="+mn-cs"/>
            </a:rPr>
            <a:t>05 años restantes.</a:t>
          </a:r>
          <a:endParaRPr lang="es-PE" sz="2000">
            <a:solidFill>
              <a:sysClr val="windowText" lastClr="000000"/>
            </a:solidFill>
            <a:effectLst/>
          </a:endParaRPr>
        </a:p>
      </xdr:txBody>
    </xdr:sp>
    <xdr:clientData/>
  </xdr:twoCellAnchor>
  <xdr:twoCellAnchor>
    <xdr:from>
      <xdr:col>1</xdr:col>
      <xdr:colOff>103909</xdr:colOff>
      <xdr:row>345</xdr:row>
      <xdr:rowOff>69273</xdr:rowOff>
    </xdr:from>
    <xdr:to>
      <xdr:col>19</xdr:col>
      <xdr:colOff>294409</xdr:colOff>
      <xdr:row>364</xdr:row>
      <xdr:rowOff>173182</xdr:rowOff>
    </xdr:to>
    <xdr:sp macro="" textlink="">
      <xdr:nvSpPr>
        <xdr:cNvPr id="31" name="Rectángulo redondeado 30">
          <a:extLst>
            <a:ext uri="{FF2B5EF4-FFF2-40B4-BE49-F238E27FC236}">
              <a16:creationId xmlns:a16="http://schemas.microsoft.com/office/drawing/2014/main" id="{00000000-0008-0000-0400-00001F000000}"/>
            </a:ext>
          </a:extLst>
        </xdr:cNvPr>
        <xdr:cNvSpPr/>
      </xdr:nvSpPr>
      <xdr:spPr>
        <a:xfrm>
          <a:off x="542059" y="65972748"/>
          <a:ext cx="14239875" cy="3723409"/>
        </a:xfrm>
        <a:prstGeom prst="roundRect">
          <a:avLst/>
        </a:prstGeom>
        <a:solidFill>
          <a:schemeClr val="accent5">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PE" sz="2000" b="1" baseline="0">
              <a:solidFill>
                <a:schemeClr val="accent2">
                  <a:lumMod val="50000"/>
                </a:schemeClr>
              </a:solidFill>
              <a:latin typeface="+mn-lt"/>
              <a:ea typeface="+mn-ea"/>
              <a:cs typeface="+mn-cs"/>
            </a:rPr>
            <a:t>SEMIMECANIZADO (Para ciudades con generación de residuos mayor a 6 ton/día hasta 50 ton/día)</a:t>
          </a:r>
        </a:p>
        <a:p>
          <a:pPr rtl="0" eaLnBrk="1" fontAlgn="b" latinLnBrk="0" hangingPunct="1"/>
          <a:endParaRPr lang="es-PE" sz="2000" b="0" baseline="0">
            <a:solidFill>
              <a:sysClr val="windowText" lastClr="000000"/>
            </a:solidFill>
            <a:effectLst/>
            <a:latin typeface="+mn-lt"/>
            <a:ea typeface="+mn-ea"/>
            <a:cs typeface="+mn-cs"/>
          </a:endParaRPr>
        </a:p>
        <a:p>
          <a:pPr rtl="0" eaLnBrk="1" fontAlgn="b" latinLnBrk="0" hangingPunct="1"/>
          <a:r>
            <a:rPr lang="es-PE" sz="2000" b="0" baseline="0">
              <a:solidFill>
                <a:sysClr val="windowText" lastClr="000000"/>
              </a:solidFill>
              <a:effectLst/>
              <a:latin typeface="+mn-lt"/>
              <a:ea typeface="+mn-ea"/>
              <a:cs typeface="+mn-cs"/>
            </a:rPr>
            <a:t>• </a:t>
          </a:r>
          <a:r>
            <a:rPr lang="es-PE" sz="2000" b="0" i="0">
              <a:solidFill>
                <a:sysClr val="windowText" lastClr="000000"/>
              </a:solidFill>
              <a:effectLst/>
              <a:latin typeface="+mn-lt"/>
              <a:ea typeface="+mn-ea"/>
              <a:cs typeface="+mn-cs"/>
            </a:rPr>
            <a:t>La disposición</a:t>
          </a:r>
          <a:r>
            <a:rPr lang="es-PE" sz="2000" b="0" i="0" baseline="0">
              <a:solidFill>
                <a:sysClr val="windowText" lastClr="000000"/>
              </a:solidFill>
              <a:effectLst/>
              <a:latin typeface="+mn-lt"/>
              <a:ea typeface="+mn-ea"/>
              <a:cs typeface="+mn-cs"/>
            </a:rPr>
            <a:t> final en ciudades que generen residuos mayor a</a:t>
          </a:r>
          <a:r>
            <a:rPr lang="es-PE" sz="2000" b="0" i="0">
              <a:solidFill>
                <a:sysClr val="windowText" lastClr="000000"/>
              </a:solidFill>
              <a:effectLst/>
              <a:latin typeface="+mn-lt"/>
              <a:ea typeface="+mn-ea"/>
              <a:cs typeface="+mn-cs"/>
            </a:rPr>
            <a:t> 6 ton/día hasta 50 ton/día se realizará con empleo de un minicargador.</a:t>
          </a:r>
          <a:endParaRPr lang="es-PE" sz="2000">
            <a:solidFill>
              <a:sysClr val="windowText" lastClr="000000"/>
            </a:solidFill>
            <a:effectLst/>
          </a:endParaRPr>
        </a:p>
        <a:p>
          <a:pPr rtl="0" eaLnBrk="1" fontAlgn="b" latinLnBrk="0" hangingPunct="1"/>
          <a:r>
            <a:rPr lang="es-PE" sz="2000" b="0" i="0" baseline="0">
              <a:solidFill>
                <a:sysClr val="windowText" lastClr="000000"/>
              </a:solidFill>
              <a:effectLst/>
              <a:latin typeface="+mn-lt"/>
              <a:ea typeface="+mn-ea"/>
              <a:cs typeface="+mn-cs"/>
            </a:rPr>
            <a:t>En ciudades que generen residuos mayor a 6 tn/día hasta </a:t>
          </a:r>
          <a:r>
            <a:rPr lang="es-PE" sz="2000" b="0" i="0">
              <a:solidFill>
                <a:sysClr val="windowText" lastClr="000000"/>
              </a:solidFill>
              <a:effectLst/>
              <a:latin typeface="+mn-lt"/>
              <a:ea typeface="+mn-ea"/>
              <a:cs typeface="+mn-cs"/>
            </a:rPr>
            <a:t>20 ton/día,</a:t>
          </a:r>
          <a:r>
            <a:rPr lang="es-PE" sz="2000" b="0" i="0" baseline="0">
              <a:solidFill>
                <a:sysClr val="windowText" lastClr="000000"/>
              </a:solidFill>
              <a:effectLst/>
              <a:latin typeface="+mn-lt"/>
              <a:ea typeface="+mn-ea"/>
              <a:cs typeface="+mn-cs"/>
            </a:rPr>
            <a:t> la</a:t>
          </a:r>
          <a:r>
            <a:rPr lang="es-PE" sz="2000" b="0" i="0">
              <a:solidFill>
                <a:sysClr val="windowText" lastClr="000000"/>
              </a:solidFill>
              <a:effectLst/>
              <a:latin typeface="+mn-lt"/>
              <a:ea typeface="+mn-ea"/>
              <a:cs typeface="+mn-cs"/>
            </a:rPr>
            <a:t> estimación</a:t>
          </a:r>
          <a:r>
            <a:rPr lang="es-PE" sz="2000" b="0" i="0" baseline="0">
              <a:solidFill>
                <a:sysClr val="windowText" lastClr="000000"/>
              </a:solidFill>
              <a:effectLst/>
              <a:latin typeface="+mn-lt"/>
              <a:ea typeface="+mn-ea"/>
              <a:cs typeface="+mn-cs"/>
            </a:rPr>
            <a:t> de la cantidad de </a:t>
          </a:r>
          <a:r>
            <a:rPr lang="es-PE" sz="2000" b="0" i="0">
              <a:solidFill>
                <a:sysClr val="windowText" lastClr="000000"/>
              </a:solidFill>
              <a:effectLst/>
              <a:latin typeface="+mn-lt"/>
              <a:ea typeface="+mn-ea"/>
              <a:cs typeface="+mn-cs"/>
            </a:rPr>
            <a:t>residuos sólidos a disponer se realizará en función a la capacidad (volumen)</a:t>
          </a:r>
          <a:r>
            <a:rPr lang="es-PE" sz="2000" b="0" i="0" baseline="0">
              <a:solidFill>
                <a:sysClr val="windowText" lastClr="000000"/>
              </a:solidFill>
              <a:effectLst/>
              <a:latin typeface="+mn-lt"/>
              <a:ea typeface="+mn-ea"/>
              <a:cs typeface="+mn-cs"/>
            </a:rPr>
            <a:t> </a:t>
          </a:r>
          <a:r>
            <a:rPr lang="es-PE" sz="2000" b="0" i="0">
              <a:solidFill>
                <a:sysClr val="windowText" lastClr="000000"/>
              </a:solidFill>
              <a:effectLst/>
              <a:latin typeface="+mn-lt"/>
              <a:ea typeface="+mn-ea"/>
              <a:cs typeface="+mn-cs"/>
            </a:rPr>
            <a:t>de los vehículos de recolección (sin balanza).</a:t>
          </a:r>
          <a:endParaRPr lang="es-PE" sz="2000">
            <a:solidFill>
              <a:sysClr val="windowText" lastClr="000000"/>
            </a:solidFill>
            <a:effectLst/>
          </a:endParaRPr>
        </a:p>
        <a:p>
          <a:pPr rtl="0" eaLnBrk="1" fontAlgn="b" latinLnBrk="0" hangingPunct="1"/>
          <a:r>
            <a:rPr lang="es-PE" sz="2000" b="0" i="0">
              <a:solidFill>
                <a:sysClr val="windowText" lastClr="000000"/>
              </a:solidFill>
              <a:effectLst/>
              <a:latin typeface="+mn-lt"/>
              <a:ea typeface="+mn-ea"/>
              <a:cs typeface="+mn-cs"/>
            </a:rPr>
            <a:t>En</a:t>
          </a:r>
          <a:r>
            <a:rPr lang="es-PE" sz="2000" b="0" i="0" baseline="0">
              <a:solidFill>
                <a:sysClr val="windowText" lastClr="000000"/>
              </a:solidFill>
              <a:effectLst/>
              <a:latin typeface="+mn-lt"/>
              <a:ea typeface="+mn-ea"/>
              <a:cs typeface="+mn-cs"/>
            </a:rPr>
            <a:t> ciudades que generen residuos </a:t>
          </a:r>
          <a:r>
            <a:rPr lang="es-PE" sz="2000" b="0" i="0">
              <a:solidFill>
                <a:sysClr val="windowText" lastClr="000000"/>
              </a:solidFill>
              <a:effectLst/>
              <a:latin typeface="+mn-lt"/>
              <a:ea typeface="+mn-ea"/>
              <a:cs typeface="+mn-cs"/>
            </a:rPr>
            <a:t>mayores a 20 ton/día hasta 50 ton/día, el pesaje de los residuos sólidos se realizará a través de una balanza.</a:t>
          </a:r>
          <a:endParaRPr lang="es-PE" sz="2000">
            <a:solidFill>
              <a:sysClr val="windowText" lastClr="000000"/>
            </a:solidFill>
            <a:effectLst/>
          </a:endParaRPr>
        </a:p>
        <a:p>
          <a:pPr marL="0" marR="0" lvl="0" indent="0" defTabSz="914400" rtl="0" eaLnBrk="1" fontAlgn="b" latinLnBrk="0" hangingPunct="1">
            <a:lnSpc>
              <a:spcPct val="100000"/>
            </a:lnSpc>
            <a:spcBef>
              <a:spcPts val="0"/>
            </a:spcBef>
            <a:spcAft>
              <a:spcPts val="0"/>
            </a:spcAft>
            <a:buClrTx/>
            <a:buSzTx/>
            <a:buFontTx/>
            <a:buNone/>
            <a:tabLst/>
            <a:defRPr/>
          </a:pPr>
          <a:r>
            <a:rPr lang="es-PE" sz="2000" b="0" i="0">
              <a:solidFill>
                <a:sysClr val="windowText" lastClr="000000"/>
              </a:solidFill>
              <a:effectLst/>
              <a:latin typeface="+mn-lt"/>
              <a:ea typeface="+mn-ea"/>
              <a:cs typeface="+mn-cs"/>
            </a:rPr>
            <a:t>• </a:t>
          </a:r>
          <a:r>
            <a:rPr kumimoji="0" lang="es-PE" sz="2000" b="0" i="0" u="none" strike="noStrike" kern="0" cap="none" spc="0" normalizeH="0" baseline="0" noProof="0">
              <a:ln>
                <a:noFill/>
              </a:ln>
              <a:solidFill>
                <a:sysClr val="windowText" lastClr="000000"/>
              </a:solidFill>
              <a:effectLst/>
              <a:uLnTx/>
              <a:uFillTx/>
              <a:latin typeface="+mn-lt"/>
              <a:ea typeface="+mn-ea"/>
              <a:cs typeface="+mn-cs"/>
            </a:rPr>
            <a:t>La inversión deberá considerar la implementación de infraestructura </a:t>
          </a:r>
          <a:r>
            <a:rPr kumimoji="0" lang="es-PE" sz="2000" b="0" i="0" u="none" strike="noStrike" kern="0" cap="none" spc="0" normalizeH="0" baseline="0" noProof="0">
              <a:ln>
                <a:noFill/>
              </a:ln>
              <a:solidFill>
                <a:srgbClr val="FF0000"/>
              </a:solidFill>
              <a:effectLst/>
              <a:uLnTx/>
              <a:uFillTx/>
              <a:latin typeface="+mn-lt"/>
              <a:ea typeface="+mn-ea"/>
              <a:cs typeface="+mn-cs"/>
            </a:rPr>
            <a:t> </a:t>
          </a:r>
          <a:r>
            <a:rPr kumimoji="0" lang="es-PE" sz="2000" b="0" i="0" u="none" strike="noStrike" kern="0" cap="none" spc="0" normalizeH="0" baseline="0" noProof="0">
              <a:ln>
                <a:noFill/>
              </a:ln>
              <a:solidFill>
                <a:sysClr val="windowText" lastClr="000000"/>
              </a:solidFill>
              <a:effectLst/>
              <a:uLnTx/>
              <a:uFillTx/>
              <a:latin typeface="+mn-lt"/>
              <a:ea typeface="+mn-ea"/>
              <a:cs typeface="+mn-cs"/>
            </a:rPr>
            <a:t>de disposición  final de residuos  para los 05 primeros años ; después de ese período deberá considerarse la implementación de nuevas celdas como reinversión  para los 05 años restantes.</a:t>
          </a:r>
        </a:p>
      </xdr:txBody>
    </xdr:sp>
    <xdr:clientData/>
  </xdr:twoCellAnchor>
  <xdr:twoCellAnchor>
    <xdr:from>
      <xdr:col>1</xdr:col>
      <xdr:colOff>103909</xdr:colOff>
      <xdr:row>370</xdr:row>
      <xdr:rowOff>86593</xdr:rowOff>
    </xdr:from>
    <xdr:to>
      <xdr:col>19</xdr:col>
      <xdr:colOff>294409</xdr:colOff>
      <xdr:row>394</xdr:row>
      <xdr:rowOff>103908</xdr:rowOff>
    </xdr:to>
    <xdr:sp macro="" textlink="">
      <xdr:nvSpPr>
        <xdr:cNvPr id="32" name="Rectángulo redondeado 31">
          <a:extLst>
            <a:ext uri="{FF2B5EF4-FFF2-40B4-BE49-F238E27FC236}">
              <a16:creationId xmlns:a16="http://schemas.microsoft.com/office/drawing/2014/main" id="{00000000-0008-0000-0400-000020000000}"/>
            </a:ext>
          </a:extLst>
        </xdr:cNvPr>
        <xdr:cNvSpPr/>
      </xdr:nvSpPr>
      <xdr:spPr>
        <a:xfrm>
          <a:off x="542059" y="70752568"/>
          <a:ext cx="14239875" cy="4589315"/>
        </a:xfrm>
        <a:prstGeom prst="roundRect">
          <a:avLst/>
        </a:prstGeom>
        <a:solidFill>
          <a:schemeClr val="accent5">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PE" sz="2000" b="1" baseline="0">
              <a:solidFill>
                <a:schemeClr val="accent2">
                  <a:lumMod val="50000"/>
                </a:schemeClr>
              </a:solidFill>
              <a:latin typeface="+mn-lt"/>
              <a:ea typeface="+mn-ea"/>
              <a:cs typeface="+mn-cs"/>
            </a:rPr>
            <a:t>MECANIZADO (Para ciudades con generación de residuos mayores de 50 ton/día)</a:t>
          </a:r>
        </a:p>
        <a:p>
          <a:pPr rtl="0" eaLnBrk="1" fontAlgn="b" latinLnBrk="0" hangingPunct="1"/>
          <a:endParaRPr lang="es-PE" sz="2000" b="0" baseline="0">
            <a:solidFill>
              <a:sysClr val="windowText" lastClr="000000"/>
            </a:solidFill>
            <a:effectLst/>
            <a:latin typeface="+mn-lt"/>
            <a:ea typeface="+mn-ea"/>
            <a:cs typeface="+mn-cs"/>
          </a:endParaRPr>
        </a:p>
        <a:p>
          <a:pPr rtl="0" eaLnBrk="1" fontAlgn="b" latinLnBrk="0" hangingPunct="1"/>
          <a:r>
            <a:rPr lang="es-PE" sz="2000" b="0" baseline="0">
              <a:solidFill>
                <a:sysClr val="windowText" lastClr="000000"/>
              </a:solidFill>
              <a:effectLst/>
              <a:latin typeface="+mn-lt"/>
              <a:ea typeface="+mn-ea"/>
              <a:cs typeface="+mn-cs"/>
            </a:rPr>
            <a:t>• </a:t>
          </a:r>
          <a:r>
            <a:rPr lang="es-PE" sz="2000" b="0" i="0">
              <a:solidFill>
                <a:sysClr val="windowText" lastClr="000000"/>
              </a:solidFill>
              <a:effectLst/>
              <a:latin typeface="+mn-lt"/>
              <a:ea typeface="+mn-ea"/>
              <a:cs typeface="+mn-cs"/>
            </a:rPr>
            <a:t>El pesaje de los residuos sólidos se realizará a través de una balanza.</a:t>
          </a:r>
          <a:endParaRPr lang="es-PE" sz="2000">
            <a:solidFill>
              <a:sysClr val="windowText" lastClr="000000"/>
            </a:solidFill>
            <a:effectLst/>
          </a:endParaRPr>
        </a:p>
        <a:p>
          <a:pPr rtl="0" eaLnBrk="1" fontAlgn="b" latinLnBrk="0" hangingPunct="1"/>
          <a:r>
            <a:rPr lang="es-PE" sz="2000" b="0" i="0">
              <a:solidFill>
                <a:sysClr val="windowText" lastClr="000000"/>
              </a:solidFill>
              <a:effectLst/>
              <a:latin typeface="+mn-lt"/>
              <a:ea typeface="+mn-ea"/>
              <a:cs typeface="+mn-cs"/>
            </a:rPr>
            <a:t>• E</a:t>
          </a:r>
          <a:r>
            <a:rPr lang="es-PE" sz="2000" b="0" i="0" baseline="0">
              <a:solidFill>
                <a:sysClr val="windowText" lastClr="000000"/>
              </a:solidFill>
              <a:effectLst/>
              <a:latin typeface="+mn-lt"/>
              <a:ea typeface="+mn-ea"/>
              <a:cs typeface="+mn-cs"/>
            </a:rPr>
            <a:t>n ciudades que generen residuos mayores</a:t>
          </a:r>
          <a:r>
            <a:rPr lang="es-PE" sz="2000" b="0" i="0">
              <a:solidFill>
                <a:sysClr val="windowText" lastClr="000000"/>
              </a:solidFill>
              <a:effectLst/>
              <a:latin typeface="+mn-lt"/>
              <a:ea typeface="+mn-ea"/>
              <a:cs typeface="+mn-cs"/>
            </a:rPr>
            <a:t> de </a:t>
          </a:r>
          <a:r>
            <a:rPr lang="es-PE" sz="2000" b="0" i="0" u="sng">
              <a:solidFill>
                <a:sysClr val="windowText" lastClr="000000"/>
              </a:solidFill>
              <a:effectLst/>
              <a:latin typeface="+mn-lt"/>
              <a:ea typeface="+mn-ea"/>
              <a:cs typeface="+mn-cs"/>
            </a:rPr>
            <a:t>50 ton/día hasta 100 ton/día</a:t>
          </a:r>
          <a:r>
            <a:rPr lang="es-PE" sz="2000" b="0" i="0">
              <a:solidFill>
                <a:sysClr val="windowText" lastClr="000000"/>
              </a:solidFill>
              <a:effectLst/>
              <a:latin typeface="+mn-lt"/>
              <a:ea typeface="+mn-ea"/>
              <a:cs typeface="+mn-cs"/>
            </a:rPr>
            <a:t>, se considera 01 minicargador, 01 Compactador con ruedas de acero y patas de cabra (16-24Tn) o Tractor sobre oruga D6 y 01 Volquete de 6 m3.  </a:t>
          </a:r>
          <a:endParaRPr lang="es-PE" sz="2000">
            <a:solidFill>
              <a:sysClr val="windowText" lastClr="000000"/>
            </a:solidFill>
            <a:effectLst/>
          </a:endParaRPr>
        </a:p>
        <a:p>
          <a:pPr rtl="0" eaLnBrk="1" fontAlgn="b" latinLnBrk="0" hangingPunct="1"/>
          <a:r>
            <a:rPr lang="es-PE" sz="2000" b="0" i="0">
              <a:solidFill>
                <a:sysClr val="windowText" lastClr="000000"/>
              </a:solidFill>
              <a:effectLst/>
              <a:latin typeface="+mn-lt"/>
              <a:ea typeface="+mn-ea"/>
              <a:cs typeface="+mn-cs"/>
            </a:rPr>
            <a:t>• En ciudades que generen</a:t>
          </a:r>
          <a:r>
            <a:rPr lang="es-PE" sz="2000" b="0" i="0" baseline="0">
              <a:solidFill>
                <a:sysClr val="windowText" lastClr="000000"/>
              </a:solidFill>
              <a:effectLst/>
              <a:latin typeface="+mn-lt"/>
              <a:ea typeface="+mn-ea"/>
              <a:cs typeface="+mn-cs"/>
            </a:rPr>
            <a:t> residuos mayores d</a:t>
          </a:r>
          <a:r>
            <a:rPr lang="es-PE" sz="2000" b="0" i="0">
              <a:solidFill>
                <a:sysClr val="windowText" lastClr="000000"/>
              </a:solidFill>
              <a:effectLst/>
              <a:latin typeface="+mn-lt"/>
              <a:ea typeface="+mn-ea"/>
              <a:cs typeface="+mn-cs"/>
            </a:rPr>
            <a:t>e </a:t>
          </a:r>
          <a:r>
            <a:rPr lang="es-PE" sz="2000" b="0" i="0" u="sng">
              <a:solidFill>
                <a:sysClr val="windowText" lastClr="000000"/>
              </a:solidFill>
              <a:effectLst/>
              <a:latin typeface="+mn-lt"/>
              <a:ea typeface="+mn-ea"/>
              <a:cs typeface="+mn-cs"/>
            </a:rPr>
            <a:t>100 ton/día a 200 ton/día</a:t>
          </a:r>
          <a:r>
            <a:rPr lang="es-PE" sz="2000" b="0" i="0">
              <a:solidFill>
                <a:sysClr val="windowText" lastClr="000000"/>
              </a:solidFill>
              <a:effectLst/>
              <a:latin typeface="+mn-lt"/>
              <a:ea typeface="+mn-ea"/>
              <a:cs typeface="+mn-cs"/>
            </a:rPr>
            <a:t>, se considera 01 minicargador, 01 Compactador con ruedas de acero y patas de cabra (16-24Tn) o Tractor sobre oruga D6 y 01 Volquete de 8 m3.  </a:t>
          </a:r>
          <a:endParaRPr lang="es-PE" sz="2000">
            <a:solidFill>
              <a:sysClr val="windowText" lastClr="000000"/>
            </a:solidFill>
            <a:effectLst/>
          </a:endParaRPr>
        </a:p>
        <a:p>
          <a:pPr rtl="0" eaLnBrk="1" fontAlgn="b" latinLnBrk="0" hangingPunct="1"/>
          <a:r>
            <a:rPr lang="es-PE" sz="2000" b="0" i="0">
              <a:solidFill>
                <a:sysClr val="windowText" lastClr="000000"/>
              </a:solidFill>
              <a:effectLst/>
              <a:latin typeface="+mn-lt"/>
              <a:ea typeface="+mn-ea"/>
              <a:cs typeface="+mn-cs"/>
            </a:rPr>
            <a:t>• En ciudades que generen residuos </a:t>
          </a:r>
          <a:r>
            <a:rPr lang="es-PE" sz="2000" b="0" i="0" u="sng">
              <a:solidFill>
                <a:sysClr val="windowText" lastClr="000000"/>
              </a:solidFill>
              <a:effectLst/>
              <a:latin typeface="+mn-lt"/>
              <a:ea typeface="+mn-ea"/>
              <a:cs typeface="+mn-cs"/>
            </a:rPr>
            <a:t>Mayores a 200 ton/día</a:t>
          </a:r>
          <a:r>
            <a:rPr lang="es-PE" sz="2000" b="0" i="0">
              <a:solidFill>
                <a:sysClr val="windowText" lastClr="000000"/>
              </a:solidFill>
              <a:effectLst/>
              <a:latin typeface="+mn-lt"/>
              <a:ea typeface="+mn-ea"/>
              <a:cs typeface="+mn-cs"/>
            </a:rPr>
            <a:t>, se considera 01 minicargador, 01 Compactador con ruedas de acero y patas de cabra (25-36Tn) o Tractor sobre oruga D8 y 01 Volquete de 12 m3.  </a:t>
          </a:r>
          <a:endParaRPr lang="es-PE" sz="2000">
            <a:solidFill>
              <a:sysClr val="windowText" lastClr="000000"/>
            </a:solidFill>
            <a:effectLst/>
          </a:endParaRPr>
        </a:p>
        <a:p>
          <a:pPr rtl="0" eaLnBrk="1" fontAlgn="b" latinLnBrk="0" hangingPunct="1"/>
          <a:r>
            <a:rPr lang="es-PE" sz="2000" b="0" i="0">
              <a:solidFill>
                <a:sysClr val="windowText" lastClr="000000"/>
              </a:solidFill>
              <a:effectLst/>
              <a:latin typeface="+mn-lt"/>
              <a:ea typeface="+mn-ea"/>
              <a:cs typeface="+mn-cs"/>
            </a:rPr>
            <a:t>• La inversión deberá considerar la implementación</a:t>
          </a:r>
          <a:r>
            <a:rPr lang="es-PE" sz="2000" b="0" i="0" baseline="0">
              <a:solidFill>
                <a:sysClr val="windowText" lastClr="000000"/>
              </a:solidFill>
              <a:effectLst/>
              <a:latin typeface="+mn-lt"/>
              <a:ea typeface="+mn-ea"/>
              <a:cs typeface="+mn-cs"/>
            </a:rPr>
            <a:t> de </a:t>
          </a:r>
          <a:r>
            <a:rPr lang="es-PE" sz="2000" b="0" i="0">
              <a:solidFill>
                <a:sysClr val="windowText" lastClr="000000"/>
              </a:solidFill>
              <a:effectLst/>
              <a:latin typeface="+mn-lt"/>
              <a:ea typeface="+mn-ea"/>
              <a:cs typeface="+mn-cs"/>
            </a:rPr>
            <a:t>infraestructura de disposición  final de residuos  para los 03 primeros años; después de ese periodo para los siguientes años, deberá considerarse  la</a:t>
          </a:r>
          <a:r>
            <a:rPr lang="es-PE" sz="2000" b="0" i="0" baseline="0">
              <a:solidFill>
                <a:sysClr val="windowText" lastClr="000000"/>
              </a:solidFill>
              <a:effectLst/>
              <a:latin typeface="+mn-lt"/>
              <a:ea typeface="+mn-ea"/>
              <a:cs typeface="+mn-cs"/>
            </a:rPr>
            <a:t> implementación de nuevas celdas  cada 03 años como reinversión.</a:t>
          </a:r>
          <a:endParaRPr lang="es-PE" sz="2000">
            <a:solidFill>
              <a:sysClr val="windowText" lastClr="000000"/>
            </a:solidFill>
            <a:effectLst/>
          </a:endParaRPr>
        </a:p>
      </xdr:txBody>
    </xdr:sp>
    <xdr:clientData/>
  </xdr:twoCellAnchor>
  <xdr:twoCellAnchor>
    <xdr:from>
      <xdr:col>19</xdr:col>
      <xdr:colOff>398319</xdr:colOff>
      <xdr:row>349</xdr:row>
      <xdr:rowOff>10825</xdr:rowOff>
    </xdr:from>
    <xdr:to>
      <xdr:col>20</xdr:col>
      <xdr:colOff>173184</xdr:colOff>
      <xdr:row>352</xdr:row>
      <xdr:rowOff>34037</xdr:rowOff>
    </xdr:to>
    <xdr:sp macro="" textlink="">
      <xdr:nvSpPr>
        <xdr:cNvPr id="33" name="Flecha a la derecha con bandas 32">
          <a:extLst>
            <a:ext uri="{FF2B5EF4-FFF2-40B4-BE49-F238E27FC236}">
              <a16:creationId xmlns:a16="http://schemas.microsoft.com/office/drawing/2014/main" id="{00000000-0008-0000-0400-000021000000}"/>
            </a:ext>
          </a:extLst>
        </xdr:cNvPr>
        <xdr:cNvSpPr/>
      </xdr:nvSpPr>
      <xdr:spPr>
        <a:xfrm>
          <a:off x="14885844" y="66676300"/>
          <a:ext cx="536865" cy="594712"/>
        </a:xfrm>
        <a:prstGeom prst="stripedRightArrow">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PE"/>
        </a:p>
      </xdr:txBody>
    </xdr:sp>
    <xdr:clientData/>
  </xdr:twoCellAnchor>
  <xdr:twoCellAnchor>
    <xdr:from>
      <xdr:col>19</xdr:col>
      <xdr:colOff>277092</xdr:colOff>
      <xdr:row>379</xdr:row>
      <xdr:rowOff>51954</xdr:rowOff>
    </xdr:from>
    <xdr:to>
      <xdr:col>20</xdr:col>
      <xdr:colOff>51957</xdr:colOff>
      <xdr:row>382</xdr:row>
      <xdr:rowOff>75166</xdr:rowOff>
    </xdr:to>
    <xdr:sp macro="" textlink="">
      <xdr:nvSpPr>
        <xdr:cNvPr id="34" name="Flecha a la derecha con bandas 33">
          <a:extLst>
            <a:ext uri="{FF2B5EF4-FFF2-40B4-BE49-F238E27FC236}">
              <a16:creationId xmlns:a16="http://schemas.microsoft.com/office/drawing/2014/main" id="{00000000-0008-0000-0400-000022000000}"/>
            </a:ext>
          </a:extLst>
        </xdr:cNvPr>
        <xdr:cNvSpPr/>
      </xdr:nvSpPr>
      <xdr:spPr>
        <a:xfrm>
          <a:off x="14764617" y="72432429"/>
          <a:ext cx="536865" cy="594712"/>
        </a:xfrm>
        <a:prstGeom prst="stripedRightArrow">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PE"/>
        </a:p>
      </xdr:txBody>
    </xdr:sp>
    <xdr:clientData/>
  </xdr:twoCellAnchor>
  <xdr:twoCellAnchor editAs="oneCell">
    <xdr:from>
      <xdr:col>5</xdr:col>
      <xdr:colOff>0</xdr:colOff>
      <xdr:row>404</xdr:row>
      <xdr:rowOff>0</xdr:rowOff>
    </xdr:from>
    <xdr:to>
      <xdr:col>5</xdr:col>
      <xdr:colOff>304800</xdr:colOff>
      <xdr:row>405</xdr:row>
      <xdr:rowOff>114300</xdr:rowOff>
    </xdr:to>
    <xdr:sp macro="" textlink="">
      <xdr:nvSpPr>
        <xdr:cNvPr id="84508" name="AutoShape 2" descr="Basura Dongfeng camión compresor 4M3">
          <a:extLst>
            <a:ext uri="{FF2B5EF4-FFF2-40B4-BE49-F238E27FC236}">
              <a16:creationId xmlns:a16="http://schemas.microsoft.com/office/drawing/2014/main" id="{00000000-0008-0000-0400-00001C4A0100}"/>
            </a:ext>
          </a:extLst>
        </xdr:cNvPr>
        <xdr:cNvSpPr>
          <a:spLocks noChangeAspect="1" noChangeArrowheads="1"/>
        </xdr:cNvSpPr>
      </xdr:nvSpPr>
      <xdr:spPr bwMode="auto">
        <a:xfrm>
          <a:off x="4057650" y="785241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12</xdr:col>
      <xdr:colOff>0</xdr:colOff>
      <xdr:row>411</xdr:row>
      <xdr:rowOff>0</xdr:rowOff>
    </xdr:from>
    <xdr:to>
      <xdr:col>12</xdr:col>
      <xdr:colOff>304800</xdr:colOff>
      <xdr:row>412</xdr:row>
      <xdr:rowOff>114300</xdr:rowOff>
    </xdr:to>
    <xdr:sp macro="" textlink="">
      <xdr:nvSpPr>
        <xdr:cNvPr id="84509" name="AutoShape 6" descr=" - Imagen 1">
          <a:extLst>
            <a:ext uri="{FF2B5EF4-FFF2-40B4-BE49-F238E27FC236}">
              <a16:creationId xmlns:a16="http://schemas.microsoft.com/office/drawing/2014/main" id="{00000000-0008-0000-0400-00001D4A0100}"/>
            </a:ext>
          </a:extLst>
        </xdr:cNvPr>
        <xdr:cNvSpPr>
          <a:spLocks noChangeAspect="1" noChangeArrowheads="1"/>
        </xdr:cNvSpPr>
      </xdr:nvSpPr>
      <xdr:spPr bwMode="auto">
        <a:xfrm>
          <a:off x="9753600" y="798957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296885</xdr:colOff>
      <xdr:row>403</xdr:row>
      <xdr:rowOff>128648</xdr:rowOff>
    </xdr:from>
    <xdr:to>
      <xdr:col>4</xdr:col>
      <xdr:colOff>496044</xdr:colOff>
      <xdr:row>413</xdr:row>
      <xdr:rowOff>41562</xdr:rowOff>
    </xdr:to>
    <xdr:sp macro="" textlink="">
      <xdr:nvSpPr>
        <xdr:cNvPr id="37" name="Llamada de flecha a la derecha 36">
          <a:extLst>
            <a:ext uri="{FF2B5EF4-FFF2-40B4-BE49-F238E27FC236}">
              <a16:creationId xmlns:a16="http://schemas.microsoft.com/office/drawing/2014/main" id="{00000000-0008-0000-0400-000025000000}"/>
            </a:ext>
          </a:extLst>
        </xdr:cNvPr>
        <xdr:cNvSpPr/>
      </xdr:nvSpPr>
      <xdr:spPr>
        <a:xfrm>
          <a:off x="296885" y="77081123"/>
          <a:ext cx="3523384" cy="1856014"/>
        </a:xfrm>
        <a:prstGeom prst="rightArrowCallout">
          <a:avLst>
            <a:gd name="adj1" fmla="val 22646"/>
            <a:gd name="adj2" fmla="val 20722"/>
            <a:gd name="adj3" fmla="val 44143"/>
            <a:gd name="adj4" fmla="val 61563"/>
          </a:avLst>
        </a:prstGeom>
        <a:solidFill>
          <a:schemeClr val="tx2">
            <a:lumMod val="60000"/>
            <a:lumOff val="4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b="1" baseline="0"/>
            <a:t>GESTIÓN MUNICIPAL</a:t>
          </a:r>
        </a:p>
      </xdr:txBody>
    </xdr:sp>
    <xdr:clientData/>
  </xdr:twoCellAnchor>
  <xdr:twoCellAnchor>
    <xdr:from>
      <xdr:col>5</xdr:col>
      <xdr:colOff>43919</xdr:colOff>
      <xdr:row>402</xdr:row>
      <xdr:rowOff>34637</xdr:rowOff>
    </xdr:from>
    <xdr:to>
      <xdr:col>26</xdr:col>
      <xdr:colOff>381000</xdr:colOff>
      <xdr:row>412</xdr:row>
      <xdr:rowOff>34637</xdr:rowOff>
    </xdr:to>
    <xdr:sp macro="" textlink="">
      <xdr:nvSpPr>
        <xdr:cNvPr id="38" name="Rectángulo redondeado 37">
          <a:extLst>
            <a:ext uri="{FF2B5EF4-FFF2-40B4-BE49-F238E27FC236}">
              <a16:creationId xmlns:a16="http://schemas.microsoft.com/office/drawing/2014/main" id="{00000000-0008-0000-0400-000026000000}"/>
            </a:ext>
          </a:extLst>
        </xdr:cNvPr>
        <xdr:cNvSpPr/>
      </xdr:nvSpPr>
      <xdr:spPr>
        <a:xfrm>
          <a:off x="4101569" y="76796612"/>
          <a:ext cx="15891406" cy="1943100"/>
        </a:xfrm>
        <a:prstGeom prst="round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PE" sz="2000" b="1" u="sng" baseline="0">
              <a:solidFill>
                <a:schemeClr val="accent2">
                  <a:lumMod val="50000"/>
                </a:schemeClr>
              </a:solidFill>
              <a:latin typeface="+mn-lt"/>
              <a:ea typeface="+mn-ea"/>
              <a:cs typeface="+mn-cs"/>
            </a:rPr>
            <a:t>CRITERIOS GENERALES</a:t>
          </a:r>
        </a:p>
        <a:p>
          <a:pPr algn="l"/>
          <a:endParaRPr lang="es-PE" sz="2000" b="0" baseline="0">
            <a:solidFill>
              <a:sysClr val="windowText" lastClr="000000"/>
            </a:solidFill>
          </a:endParaRPr>
        </a:p>
        <a:p>
          <a:pPr rtl="0" eaLnBrk="1" latinLnBrk="0" hangingPunct="1"/>
          <a:r>
            <a:rPr lang="es-PE" sz="2000" b="0" baseline="0">
              <a:solidFill>
                <a:sysClr val="windowText" lastClr="000000"/>
              </a:solidFill>
              <a:effectLst/>
              <a:latin typeface="+mn-lt"/>
              <a:ea typeface="+mn-ea"/>
              <a:cs typeface="+mn-cs"/>
            </a:rPr>
            <a:t>• </a:t>
          </a:r>
          <a:r>
            <a:rPr lang="es-VE" sz="2000" u="sng">
              <a:solidFill>
                <a:sysClr val="windowText" lastClr="000000"/>
              </a:solidFill>
              <a:effectLst/>
              <a:latin typeface="+mn-lt"/>
              <a:ea typeface="+mn-ea"/>
              <a:cs typeface="+mn-cs"/>
            </a:rPr>
            <a:t>Se debe fortalecer las capacidades de gestión de la dependencia de la Entidad</a:t>
          </a:r>
          <a:r>
            <a:rPr lang="es-VE" sz="2000">
              <a:solidFill>
                <a:sysClr val="windowText" lastClr="000000"/>
              </a:solidFill>
              <a:effectLst/>
              <a:latin typeface="+mn-lt"/>
              <a:ea typeface="+mn-ea"/>
              <a:cs typeface="+mn-cs"/>
            </a:rPr>
            <a:t> responsable del Servicio de Limpieza Publica, a fin de que cuente con la </a:t>
          </a:r>
          <a:r>
            <a:rPr lang="es-VE" sz="2000" b="1">
              <a:solidFill>
                <a:sysClr val="windowText" lastClr="000000"/>
              </a:solidFill>
              <a:effectLst/>
              <a:latin typeface="+mn-lt"/>
              <a:ea typeface="+mn-ea"/>
              <a:cs typeface="+mn-cs"/>
            </a:rPr>
            <a:t>capacidad de planificar, supervisar y fiscalizar el manejo de los residuos solidos. El fortalecimiento </a:t>
          </a:r>
          <a:r>
            <a:rPr lang="es-VE" sz="2000">
              <a:solidFill>
                <a:sysClr val="windowText" lastClr="000000"/>
              </a:solidFill>
              <a:effectLst/>
              <a:latin typeface="+mn-lt"/>
              <a:ea typeface="+mn-ea"/>
              <a:cs typeface="+mn-cs"/>
            </a:rPr>
            <a:t>deberá también considerar si la prestación del servicio será desarrollada en forma directa por el gobierno local o tercerizado a través de una EO-RS (Empresa Operadora de Residuos Sólidos). </a:t>
          </a:r>
          <a:endParaRPr lang="es-PE" sz="2000">
            <a:solidFill>
              <a:sysClr val="windowText" lastClr="000000"/>
            </a:solidFill>
            <a:effectLst/>
          </a:endParaRPr>
        </a:p>
        <a:p>
          <a:endParaRPr lang="es-PE" sz="2000" b="0" baseline="0">
            <a:solidFill>
              <a:sysClr val="windowText" lastClr="000000"/>
            </a:solidFill>
            <a:effectLst/>
            <a:latin typeface="+mn-lt"/>
            <a:ea typeface="+mn-ea"/>
            <a:cs typeface="+mn-cs"/>
          </a:endParaRPr>
        </a:p>
      </xdr:txBody>
    </xdr:sp>
    <xdr:clientData/>
  </xdr:twoCellAnchor>
  <xdr:twoCellAnchor editAs="oneCell">
    <xdr:from>
      <xdr:col>5</xdr:col>
      <xdr:colOff>0</xdr:colOff>
      <xdr:row>478</xdr:row>
      <xdr:rowOff>0</xdr:rowOff>
    </xdr:from>
    <xdr:to>
      <xdr:col>5</xdr:col>
      <xdr:colOff>304800</xdr:colOff>
      <xdr:row>479</xdr:row>
      <xdr:rowOff>114300</xdr:rowOff>
    </xdr:to>
    <xdr:sp macro="" textlink="">
      <xdr:nvSpPr>
        <xdr:cNvPr id="84512" name="AutoShape 2" descr="Basura Dongfeng camión compresor 4M3">
          <a:extLst>
            <a:ext uri="{FF2B5EF4-FFF2-40B4-BE49-F238E27FC236}">
              <a16:creationId xmlns:a16="http://schemas.microsoft.com/office/drawing/2014/main" id="{00000000-0008-0000-0400-0000204A0100}"/>
            </a:ext>
          </a:extLst>
        </xdr:cNvPr>
        <xdr:cNvSpPr>
          <a:spLocks noChangeAspect="1" noChangeArrowheads="1"/>
        </xdr:cNvSpPr>
      </xdr:nvSpPr>
      <xdr:spPr bwMode="auto">
        <a:xfrm>
          <a:off x="4057650" y="92840175"/>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12</xdr:col>
      <xdr:colOff>0</xdr:colOff>
      <xdr:row>484</xdr:row>
      <xdr:rowOff>0</xdr:rowOff>
    </xdr:from>
    <xdr:to>
      <xdr:col>12</xdr:col>
      <xdr:colOff>304800</xdr:colOff>
      <xdr:row>485</xdr:row>
      <xdr:rowOff>114300</xdr:rowOff>
    </xdr:to>
    <xdr:sp macro="" textlink="">
      <xdr:nvSpPr>
        <xdr:cNvPr id="84513" name="AutoShape 6" descr=" - Imagen 1">
          <a:extLst>
            <a:ext uri="{FF2B5EF4-FFF2-40B4-BE49-F238E27FC236}">
              <a16:creationId xmlns:a16="http://schemas.microsoft.com/office/drawing/2014/main" id="{00000000-0008-0000-0400-0000214A0100}"/>
            </a:ext>
          </a:extLst>
        </xdr:cNvPr>
        <xdr:cNvSpPr>
          <a:spLocks noChangeAspect="1" noChangeArrowheads="1"/>
        </xdr:cNvSpPr>
      </xdr:nvSpPr>
      <xdr:spPr bwMode="auto">
        <a:xfrm>
          <a:off x="9753600" y="940498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xdr:col>
      <xdr:colOff>2475</xdr:colOff>
      <xdr:row>479</xdr:row>
      <xdr:rowOff>145966</xdr:rowOff>
    </xdr:from>
    <xdr:to>
      <xdr:col>4</xdr:col>
      <xdr:colOff>634589</xdr:colOff>
      <xdr:row>488</xdr:row>
      <xdr:rowOff>58880</xdr:rowOff>
    </xdr:to>
    <xdr:sp macro="" textlink="">
      <xdr:nvSpPr>
        <xdr:cNvPr id="42" name="Llamada de flecha a la derecha 41">
          <a:extLst>
            <a:ext uri="{FF2B5EF4-FFF2-40B4-BE49-F238E27FC236}">
              <a16:creationId xmlns:a16="http://schemas.microsoft.com/office/drawing/2014/main" id="{00000000-0008-0000-0400-00002A000000}"/>
            </a:ext>
          </a:extLst>
        </xdr:cNvPr>
        <xdr:cNvSpPr/>
      </xdr:nvSpPr>
      <xdr:spPr>
        <a:xfrm>
          <a:off x="440625" y="91614541"/>
          <a:ext cx="3518189" cy="1694089"/>
        </a:xfrm>
        <a:prstGeom prst="rightArrowCallout">
          <a:avLst>
            <a:gd name="adj1" fmla="val 22646"/>
            <a:gd name="adj2" fmla="val 20722"/>
            <a:gd name="adj3" fmla="val 44143"/>
            <a:gd name="adj4" fmla="val 61563"/>
          </a:avLst>
        </a:prstGeom>
        <a:solidFill>
          <a:schemeClr val="tx2">
            <a:lumMod val="60000"/>
            <a:lumOff val="4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b="1" baseline="0"/>
            <a:t>EDUCACIÓN Y CULTURA AMBIENTAL </a:t>
          </a:r>
        </a:p>
      </xdr:txBody>
    </xdr:sp>
    <xdr:clientData/>
  </xdr:twoCellAnchor>
  <xdr:twoCellAnchor>
    <xdr:from>
      <xdr:col>5</xdr:col>
      <xdr:colOff>43919</xdr:colOff>
      <xdr:row>476</xdr:row>
      <xdr:rowOff>34636</xdr:rowOff>
    </xdr:from>
    <xdr:to>
      <xdr:col>26</xdr:col>
      <xdr:colOff>381000</xdr:colOff>
      <xdr:row>493</xdr:row>
      <xdr:rowOff>51953</xdr:rowOff>
    </xdr:to>
    <xdr:sp macro="" textlink="">
      <xdr:nvSpPr>
        <xdr:cNvPr id="43" name="Rectángulo redondeado 42">
          <a:extLst>
            <a:ext uri="{FF2B5EF4-FFF2-40B4-BE49-F238E27FC236}">
              <a16:creationId xmlns:a16="http://schemas.microsoft.com/office/drawing/2014/main" id="{00000000-0008-0000-0400-00002B000000}"/>
            </a:ext>
          </a:extLst>
        </xdr:cNvPr>
        <xdr:cNvSpPr/>
      </xdr:nvSpPr>
      <xdr:spPr>
        <a:xfrm>
          <a:off x="4101569" y="90931711"/>
          <a:ext cx="15891406" cy="3322492"/>
        </a:xfrm>
        <a:prstGeom prst="round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PE" sz="2000" b="1" u="sng" baseline="0">
              <a:solidFill>
                <a:schemeClr val="accent2">
                  <a:lumMod val="50000"/>
                </a:schemeClr>
              </a:solidFill>
              <a:latin typeface="+mn-lt"/>
              <a:ea typeface="+mn-ea"/>
              <a:cs typeface="+mn-cs"/>
            </a:rPr>
            <a:t>CRITERIOS GENERALES</a:t>
          </a:r>
        </a:p>
        <a:p>
          <a:pPr algn="l"/>
          <a:endParaRPr lang="es-PE" sz="2000" b="0" baseline="0">
            <a:solidFill>
              <a:sysClr val="windowText" lastClr="000000"/>
            </a:solidFill>
          </a:endParaRPr>
        </a:p>
        <a:p>
          <a:r>
            <a:rPr lang="es-PE" sz="2000" b="0" baseline="0">
              <a:solidFill>
                <a:sysClr val="windowText" lastClr="000000"/>
              </a:solidFill>
              <a:effectLst/>
              <a:latin typeface="+mn-lt"/>
              <a:ea typeface="+mn-ea"/>
              <a:cs typeface="+mn-cs"/>
            </a:rPr>
            <a:t>• La Educación y Cultura Ambiental debe ser liderada por la Municipalidad competente y debe incluir acciones de educación e información para el adecuado manejo de los residuos sólidos.</a:t>
          </a:r>
        </a:p>
        <a:p>
          <a:r>
            <a:rPr lang="es-PE" sz="2000" b="0" baseline="0">
              <a:solidFill>
                <a:sysClr val="windowText" lastClr="000000"/>
              </a:solidFill>
              <a:effectLst/>
              <a:latin typeface="+mn-lt"/>
              <a:ea typeface="+mn-ea"/>
              <a:cs typeface="+mn-cs"/>
            </a:rPr>
            <a:t>Se deberá elaborar un Programa Municipal de Educación, Cultura y Ciudadanía Ambiental (Programa Municipal EDUCCA) dirigido a la población, el cual incorpore la estrategia para la mejora de las prácticas de manejo de los residuos sólidos con participación activa e informada de la población priorizando los principales temas: minimización, segregación en fuente, manejo adecuado de los residuos sólidos, pago de arbitrios, valorización de residuos.  Para ello, se realizarán coordinaciones con la UGEL, Instituciones Educativas, Universidades e Institutos Superiores y población en general con la finalidad de involucrarlos en las acciones de educación, cultura y ciudadanía ambiental a través de los lineamientos e instrumentos brindados por el MINAM.</a:t>
          </a:r>
        </a:p>
        <a:p>
          <a:endParaRPr lang="es-PE" sz="2000" b="0" baseline="0">
            <a:solidFill>
              <a:sysClr val="windowText" lastClr="000000"/>
            </a:solidFill>
            <a:effectLst/>
            <a:latin typeface="+mn-lt"/>
            <a:ea typeface="+mn-ea"/>
            <a:cs typeface="+mn-cs"/>
          </a:endParaRPr>
        </a:p>
      </xdr:txBody>
    </xdr:sp>
    <xdr:clientData/>
  </xdr:twoCellAnchor>
  <xdr:twoCellAnchor>
    <xdr:from>
      <xdr:col>12</xdr:col>
      <xdr:colOff>718241</xdr:colOff>
      <xdr:row>493</xdr:row>
      <xdr:rowOff>46252</xdr:rowOff>
    </xdr:from>
    <xdr:to>
      <xdr:col>13</xdr:col>
      <xdr:colOff>464362</xdr:colOff>
      <xdr:row>496</xdr:row>
      <xdr:rowOff>11617</xdr:rowOff>
    </xdr:to>
    <xdr:sp macro="" textlink="">
      <xdr:nvSpPr>
        <xdr:cNvPr id="44" name="Flecha a la derecha con bandas 43">
          <a:extLst>
            <a:ext uri="{FF2B5EF4-FFF2-40B4-BE49-F238E27FC236}">
              <a16:creationId xmlns:a16="http://schemas.microsoft.com/office/drawing/2014/main" id="{00000000-0008-0000-0400-00002C000000}"/>
            </a:ext>
          </a:extLst>
        </xdr:cNvPr>
        <xdr:cNvSpPr/>
      </xdr:nvSpPr>
      <xdr:spPr>
        <a:xfrm rot="5400000">
          <a:off x="10500331" y="94220012"/>
          <a:ext cx="536865" cy="593846"/>
        </a:xfrm>
        <a:prstGeom prst="stripedRightArrow">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PE"/>
        </a:p>
      </xdr:txBody>
    </xdr:sp>
    <xdr:clientData/>
  </xdr:twoCellAnchor>
  <xdr:twoCellAnchor>
    <xdr:from>
      <xdr:col>1</xdr:col>
      <xdr:colOff>502227</xdr:colOff>
      <xdr:row>496</xdr:row>
      <xdr:rowOff>65560</xdr:rowOff>
    </xdr:from>
    <xdr:to>
      <xdr:col>26</xdr:col>
      <xdr:colOff>363681</xdr:colOff>
      <xdr:row>515</xdr:row>
      <xdr:rowOff>86589</xdr:rowOff>
    </xdr:to>
    <xdr:sp macro="" textlink="">
      <xdr:nvSpPr>
        <xdr:cNvPr id="45" name="Rectángulo redondeado 44">
          <a:extLst>
            <a:ext uri="{FF2B5EF4-FFF2-40B4-BE49-F238E27FC236}">
              <a16:creationId xmlns:a16="http://schemas.microsoft.com/office/drawing/2014/main" id="{00000000-0008-0000-0400-00002D000000}"/>
            </a:ext>
          </a:extLst>
        </xdr:cNvPr>
        <xdr:cNvSpPr/>
      </xdr:nvSpPr>
      <xdr:spPr>
        <a:xfrm>
          <a:off x="940377" y="94839310"/>
          <a:ext cx="19035279" cy="3640529"/>
        </a:xfrm>
        <a:prstGeom prst="roundRect">
          <a:avLst/>
        </a:prstGeom>
        <a:solidFill>
          <a:schemeClr val="accent5">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PE" sz="2000" b="1" u="sng" baseline="0">
              <a:solidFill>
                <a:schemeClr val="accent2">
                  <a:lumMod val="50000"/>
                </a:schemeClr>
              </a:solidFill>
              <a:latin typeface="+mn-lt"/>
              <a:ea typeface="+mn-ea"/>
              <a:cs typeface="+mn-cs"/>
            </a:rPr>
            <a:t>Se  debe considerar:</a:t>
          </a:r>
          <a:br>
            <a:rPr lang="es-PE" sz="2000" b="1" u="sng" baseline="0">
              <a:solidFill>
                <a:schemeClr val="accent2">
                  <a:lumMod val="50000"/>
                </a:schemeClr>
              </a:solidFill>
              <a:latin typeface="+mn-lt"/>
              <a:ea typeface="+mn-ea"/>
              <a:cs typeface="+mn-cs"/>
            </a:rPr>
          </a:br>
          <a:endParaRPr lang="es-PE" sz="2000" b="1" u="sng" baseline="0">
            <a:solidFill>
              <a:schemeClr val="accent2">
                <a:lumMod val="50000"/>
              </a:schemeClr>
            </a:solidFill>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s-PE" sz="1800" b="1" u="sng" baseline="0">
              <a:solidFill>
                <a:schemeClr val="accent2">
                  <a:lumMod val="50000"/>
                </a:schemeClr>
              </a:solidFill>
              <a:latin typeface="+mn-lt"/>
              <a:ea typeface="+mn-ea"/>
              <a:cs typeface="+mn-cs"/>
            </a:rPr>
            <a:t>Difusión y sensibilización</a:t>
          </a:r>
        </a:p>
        <a:p>
          <a:pPr rtl="0" eaLnBrk="1" fontAlgn="b" latinLnBrk="0" hangingPunct="1"/>
          <a:r>
            <a:rPr lang="es-PE" sz="1800" b="0" baseline="0">
              <a:solidFill>
                <a:sysClr val="windowText" lastClr="000000"/>
              </a:solidFill>
              <a:effectLst/>
              <a:latin typeface="+mn-lt"/>
              <a:ea typeface="+mn-ea"/>
              <a:cs typeface="+mn-cs"/>
            </a:rPr>
            <a:t>• Desarrollo  de KIT educativo (juegos didácticos y rotafolio), con fines de información y educación ambiental dirigidos a la población para la mejora de las prácticas del manejo de los residuos sólidos. </a:t>
          </a:r>
        </a:p>
        <a:p>
          <a:pPr rtl="0" eaLnBrk="1" fontAlgn="b" latinLnBrk="0" hangingPunct="1"/>
          <a:r>
            <a:rPr lang="es-PE" sz="1800" b="0" i="0">
              <a:solidFill>
                <a:sysClr val="windowText" lastClr="000000"/>
              </a:solidFill>
              <a:effectLst/>
              <a:latin typeface="+mn-lt"/>
              <a:ea typeface="+mn-ea"/>
              <a:cs typeface="+mn-cs"/>
            </a:rPr>
            <a:t>• Elaboración de carteles educativos y difusión en medios locales de mensajes orientados a afianzar los horarios de recolección, la prevención de puntos críticos, el consumo responsable y la cultura de pago, considerando el contexto local y las campañas nacionales del Ministerio del Ambiente. </a:t>
          </a:r>
        </a:p>
        <a:p>
          <a:pPr rtl="0" eaLnBrk="1" fontAlgn="b" latinLnBrk="0" hangingPunct="1"/>
          <a:r>
            <a:rPr lang="es-PE" sz="1800" b="1" u="sng" baseline="0">
              <a:solidFill>
                <a:schemeClr val="accent2">
                  <a:lumMod val="50000"/>
                </a:schemeClr>
              </a:solidFill>
              <a:latin typeface="+mn-lt"/>
              <a:ea typeface="+mn-ea"/>
              <a:cs typeface="+mn-cs"/>
            </a:rPr>
            <a:t>Participación de la ciudadana</a:t>
          </a:r>
        </a:p>
        <a:p>
          <a:pPr rtl="0" eaLnBrk="1" fontAlgn="b" latinLnBrk="0" hangingPunct="1"/>
          <a:r>
            <a:rPr lang="es-PE" sz="1800">
              <a:solidFill>
                <a:sysClr val="windowText" lastClr="000000"/>
              </a:solidFill>
              <a:effectLst/>
            </a:rPr>
            <a:t>• Formación de promotores ambientales comunitarios para la prevención de la generación de puntos críticos y el aprovechamiento de residuos sólidos. </a:t>
          </a:r>
        </a:p>
        <a:p>
          <a:pPr rtl="0" eaLnBrk="1" fontAlgn="b" latinLnBrk="0" hangingPunct="1"/>
          <a:r>
            <a:rPr lang="es-PE" sz="1800">
              <a:solidFill>
                <a:sysClr val="windowText" lastClr="000000"/>
              </a:solidFill>
              <a:effectLst/>
            </a:rPr>
            <a:t>• Asistencia técnica para la implementación de proyectos escolares ambientales integrados para el manejo de residuos sólidos considerando la estrategia pedagógica MARES (Manejo de residuos sólidos).</a:t>
          </a:r>
        </a:p>
        <a:p>
          <a:pPr rtl="0" eaLnBrk="1" fontAlgn="b" latinLnBrk="0" hangingPunct="1"/>
          <a:r>
            <a:rPr lang="es-PE" sz="1800">
              <a:solidFill>
                <a:sysClr val="windowText" lastClr="000000"/>
              </a:solidFill>
              <a:effectLst/>
            </a:rPr>
            <a:t>• Feria de Intercambio de experiencias demostrativas para el manejo de residuos sólidos en instituciones educativas.</a:t>
          </a:r>
        </a:p>
      </xdr:txBody>
    </xdr:sp>
    <xdr:clientData/>
  </xdr:twoCellAnchor>
  <xdr:twoCellAnchor>
    <xdr:from>
      <xdr:col>10</xdr:col>
      <xdr:colOff>618345</xdr:colOff>
      <xdr:row>325</xdr:row>
      <xdr:rowOff>37586</xdr:rowOff>
    </xdr:from>
    <xdr:to>
      <xdr:col>11</xdr:col>
      <xdr:colOff>312511</xdr:colOff>
      <xdr:row>328</xdr:row>
      <xdr:rowOff>2951</xdr:rowOff>
    </xdr:to>
    <xdr:sp macro="" textlink="">
      <xdr:nvSpPr>
        <xdr:cNvPr id="46" name="Flecha a la derecha con bandas 45">
          <a:extLst>
            <a:ext uri="{FF2B5EF4-FFF2-40B4-BE49-F238E27FC236}">
              <a16:creationId xmlns:a16="http://schemas.microsoft.com/office/drawing/2014/main" id="{00000000-0008-0000-0400-00002E000000}"/>
            </a:ext>
          </a:extLst>
        </xdr:cNvPr>
        <xdr:cNvSpPr/>
      </xdr:nvSpPr>
      <xdr:spPr>
        <a:xfrm rot="5400000">
          <a:off x="8596855" y="63484670"/>
          <a:ext cx="536865" cy="587135"/>
        </a:xfrm>
        <a:prstGeom prst="stripedRightArrow">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PE"/>
        </a:p>
      </xdr:txBody>
    </xdr:sp>
    <xdr:clientData/>
  </xdr:twoCellAnchor>
  <xdr:twoCellAnchor>
    <xdr:from>
      <xdr:col>1</xdr:col>
      <xdr:colOff>173182</xdr:colOff>
      <xdr:row>114</xdr:row>
      <xdr:rowOff>173182</xdr:rowOff>
    </xdr:from>
    <xdr:to>
      <xdr:col>18</xdr:col>
      <xdr:colOff>363683</xdr:colOff>
      <xdr:row>139</xdr:row>
      <xdr:rowOff>69273</xdr:rowOff>
    </xdr:to>
    <xdr:sp macro="" textlink="">
      <xdr:nvSpPr>
        <xdr:cNvPr id="47" name="Rectángulo redondeado 46">
          <a:extLst>
            <a:ext uri="{FF2B5EF4-FFF2-40B4-BE49-F238E27FC236}">
              <a16:creationId xmlns:a16="http://schemas.microsoft.com/office/drawing/2014/main" id="{00000000-0008-0000-0400-00002F000000}"/>
            </a:ext>
          </a:extLst>
        </xdr:cNvPr>
        <xdr:cNvSpPr/>
      </xdr:nvSpPr>
      <xdr:spPr>
        <a:xfrm>
          <a:off x="611332" y="21690157"/>
          <a:ext cx="13477876" cy="4658591"/>
        </a:xfrm>
        <a:prstGeom prst="roundRect">
          <a:avLst/>
        </a:prstGeom>
        <a:solidFill>
          <a:schemeClr val="accent5">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PE" sz="2000" b="1" u="sng" baseline="0">
              <a:solidFill>
                <a:schemeClr val="accent2">
                  <a:lumMod val="50000"/>
                </a:schemeClr>
              </a:solidFill>
              <a:effectLst/>
              <a:latin typeface="+mn-lt"/>
              <a:ea typeface="+mn-ea"/>
              <a:cs typeface="+mn-cs"/>
            </a:rPr>
            <a:t>Ciudades con poblaciones mayores a 10,000 habitantes</a:t>
          </a:r>
          <a:br>
            <a:rPr lang="es-PE" sz="2000" b="1" baseline="0">
              <a:solidFill>
                <a:schemeClr val="accent2">
                  <a:lumMod val="50000"/>
                </a:schemeClr>
              </a:solidFill>
              <a:effectLst/>
              <a:latin typeface="+mn-lt"/>
              <a:ea typeface="+mn-ea"/>
              <a:cs typeface="+mn-cs"/>
            </a:rPr>
          </a:br>
          <a:r>
            <a:rPr lang="es-PE" sz="1700" b="0" baseline="0">
              <a:solidFill>
                <a:sysClr val="windowText" lastClr="000000"/>
              </a:solidFill>
              <a:effectLst/>
              <a:latin typeface="+mn-lt"/>
              <a:ea typeface="+mn-ea"/>
              <a:cs typeface="+mn-cs"/>
            </a:rPr>
            <a:t> </a:t>
          </a:r>
        </a:p>
        <a:p>
          <a:r>
            <a:rPr lang="es-PE" sz="1700" b="0" baseline="0">
              <a:solidFill>
                <a:sysClr val="windowText" lastClr="000000"/>
              </a:solidFill>
              <a:effectLst/>
              <a:latin typeface="+mn-lt"/>
              <a:ea typeface="+mn-ea"/>
              <a:cs typeface="+mn-cs"/>
            </a:rPr>
            <a:t>•  Se considerará barrido manual</a:t>
          </a:r>
        </a:p>
        <a:p>
          <a:r>
            <a:rPr lang="es-PE" sz="1800" b="0" baseline="0">
              <a:solidFill>
                <a:sysClr val="windowText" lastClr="000000"/>
              </a:solidFill>
              <a:effectLst/>
              <a:latin typeface="+mn-lt"/>
              <a:ea typeface="+mn-ea"/>
              <a:cs typeface="+mn-cs"/>
            </a:rPr>
            <a:t>•  </a:t>
          </a:r>
          <a:r>
            <a:rPr lang="es-PE" sz="1700" b="0" baseline="0">
              <a:solidFill>
                <a:sysClr val="windowText" lastClr="000000"/>
              </a:solidFill>
              <a:effectLst/>
              <a:latin typeface="+mn-lt"/>
              <a:ea typeface="+mn-ea"/>
              <a:cs typeface="+mn-cs"/>
            </a:rPr>
            <a:t>Se podrá considerar barrido mecanizado  sólo en caso se tengan vías expresas, vías de evitamiento o vías de características similares (no se incluye jirones, ni calles) que se encuentren pavimentadas y que tengan una longitud de barrido mayor a 10 Km de ruta continua (sumatoria de vías)</a:t>
          </a:r>
          <a:r>
            <a:rPr lang="es-PE" sz="1100" b="0" baseline="0">
              <a:solidFill>
                <a:schemeClr val="lt1"/>
              </a:solidFill>
              <a:effectLst/>
              <a:latin typeface="+mn-lt"/>
              <a:ea typeface="+mn-ea"/>
              <a:cs typeface="+mn-cs"/>
            </a:rPr>
            <a:t> </a:t>
          </a:r>
          <a:r>
            <a:rPr lang="es-PE" sz="1700" b="0" baseline="0">
              <a:solidFill>
                <a:sysClr val="windowText" lastClr="000000"/>
              </a:solidFill>
              <a:effectLst/>
              <a:latin typeface="+mn-lt"/>
              <a:ea typeface="+mn-ea"/>
              <a:cs typeface="+mn-cs"/>
            </a:rPr>
            <a:t>.</a:t>
          </a:r>
        </a:p>
        <a:p>
          <a:r>
            <a:rPr lang="es-PE" sz="1700" b="0" baseline="0">
              <a:solidFill>
                <a:sysClr val="windowText" lastClr="000000"/>
              </a:solidFill>
              <a:effectLst/>
              <a:latin typeface="+mn-lt"/>
              <a:ea typeface="+mn-ea"/>
              <a:cs typeface="+mn-cs"/>
            </a:rPr>
            <a:t>• El rendimiento promedio del barrido mecanizado estará en función al equipo (barredora mecánica), según detalle siguiente:</a:t>
          </a:r>
        </a:p>
        <a:p>
          <a:r>
            <a:rPr lang="es-PE" sz="1700" b="0" baseline="0">
              <a:solidFill>
                <a:sysClr val="windowText" lastClr="000000"/>
              </a:solidFill>
              <a:effectLst/>
              <a:latin typeface="+mn-lt"/>
              <a:ea typeface="+mn-ea"/>
              <a:cs typeface="+mn-cs"/>
            </a:rPr>
            <a:t>                            Barredora mecánica Grande: 25-35 Km/día</a:t>
          </a:r>
        </a:p>
        <a:p>
          <a:r>
            <a:rPr lang="es-PE" sz="1700" b="0" baseline="0">
              <a:solidFill>
                <a:sysClr val="windowText" lastClr="000000"/>
              </a:solidFill>
              <a:effectLst/>
              <a:latin typeface="+mn-lt"/>
              <a:ea typeface="+mn-ea"/>
              <a:cs typeface="+mn-cs"/>
            </a:rPr>
            <a:t>                            Barredora mecánica Mediana: 20 -25 Km/día</a:t>
          </a:r>
        </a:p>
        <a:p>
          <a:r>
            <a:rPr lang="es-PE" sz="1700" b="0" baseline="0">
              <a:solidFill>
                <a:sysClr val="windowText" lastClr="000000"/>
              </a:solidFill>
              <a:effectLst/>
              <a:latin typeface="+mn-lt"/>
              <a:ea typeface="+mn-ea"/>
              <a:cs typeface="+mn-cs"/>
            </a:rPr>
            <a:t>                            Barredora mecánica Pequeña: 15-20 Km/día</a:t>
          </a:r>
        </a:p>
        <a:p>
          <a:r>
            <a:rPr lang="es-PE" sz="1700" b="0" baseline="0">
              <a:solidFill>
                <a:sysClr val="windowText" lastClr="000000"/>
              </a:solidFill>
              <a:effectLst/>
              <a:latin typeface="+mn-lt"/>
              <a:ea typeface="+mn-ea"/>
              <a:cs typeface="+mn-cs"/>
            </a:rPr>
            <a:t>• De considerarse barrido mecanizado, deberá tener en cuenta los costos de operación y mantenimiento , que incluye  personal capacitado ,    materiales, insumos, combustible y lubricantes, remuneraciones, servicios, entre otros.</a:t>
          </a:r>
        </a:p>
        <a:p>
          <a:r>
            <a:rPr lang="es-PE" sz="1700" b="0" baseline="0">
              <a:solidFill>
                <a:sysClr val="windowText" lastClr="000000"/>
              </a:solidFill>
              <a:effectLst/>
              <a:latin typeface="+mn-lt"/>
              <a:ea typeface="+mn-ea"/>
              <a:cs typeface="+mn-cs"/>
            </a:rPr>
            <a:t>• La indumentaria y equipos de protección para el personal considerará como mínimo: camisa/polo, pantalón, gorro, calzado, guantes y mascarilla.</a:t>
          </a:r>
        </a:p>
      </xdr:txBody>
    </xdr:sp>
    <xdr:clientData/>
  </xdr:twoCellAnchor>
  <xdr:twoCellAnchor>
    <xdr:from>
      <xdr:col>18</xdr:col>
      <xdr:colOff>635059</xdr:colOff>
      <xdr:row>106</xdr:row>
      <xdr:rowOff>74986</xdr:rowOff>
    </xdr:from>
    <xdr:to>
      <xdr:col>19</xdr:col>
      <xdr:colOff>409924</xdr:colOff>
      <xdr:row>109</xdr:row>
      <xdr:rowOff>98198</xdr:rowOff>
    </xdr:to>
    <xdr:sp macro="" textlink="">
      <xdr:nvSpPr>
        <xdr:cNvPr id="48" name="Flecha a la derecha con bandas 47">
          <a:extLst>
            <a:ext uri="{FF2B5EF4-FFF2-40B4-BE49-F238E27FC236}">
              <a16:creationId xmlns:a16="http://schemas.microsoft.com/office/drawing/2014/main" id="{00000000-0008-0000-0400-000030000000}"/>
            </a:ext>
          </a:extLst>
        </xdr:cNvPr>
        <xdr:cNvSpPr/>
      </xdr:nvSpPr>
      <xdr:spPr>
        <a:xfrm>
          <a:off x="14360584" y="20067961"/>
          <a:ext cx="536865" cy="594712"/>
        </a:xfrm>
        <a:prstGeom prst="stripedRightArrow">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PE"/>
        </a:p>
      </xdr:txBody>
    </xdr:sp>
    <xdr:clientData/>
  </xdr:twoCellAnchor>
  <xdr:twoCellAnchor>
    <xdr:from>
      <xdr:col>18</xdr:col>
      <xdr:colOff>635059</xdr:colOff>
      <xdr:row>123</xdr:row>
      <xdr:rowOff>126942</xdr:rowOff>
    </xdr:from>
    <xdr:to>
      <xdr:col>19</xdr:col>
      <xdr:colOff>409924</xdr:colOff>
      <xdr:row>126</xdr:row>
      <xdr:rowOff>150154</xdr:rowOff>
    </xdr:to>
    <xdr:sp macro="" textlink="">
      <xdr:nvSpPr>
        <xdr:cNvPr id="49" name="Flecha a la derecha con bandas 48">
          <a:extLst>
            <a:ext uri="{FF2B5EF4-FFF2-40B4-BE49-F238E27FC236}">
              <a16:creationId xmlns:a16="http://schemas.microsoft.com/office/drawing/2014/main" id="{00000000-0008-0000-0400-000031000000}"/>
            </a:ext>
          </a:extLst>
        </xdr:cNvPr>
        <xdr:cNvSpPr/>
      </xdr:nvSpPr>
      <xdr:spPr>
        <a:xfrm>
          <a:off x="14360584" y="23358417"/>
          <a:ext cx="536865" cy="594712"/>
        </a:xfrm>
        <a:prstGeom prst="stripedRightArrow">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PE"/>
        </a:p>
      </xdr:txBody>
    </xdr:sp>
    <xdr:clientData/>
  </xdr:twoCellAnchor>
  <xdr:twoCellAnchor>
    <xdr:from>
      <xdr:col>6</xdr:col>
      <xdr:colOff>121227</xdr:colOff>
      <xdr:row>6</xdr:row>
      <xdr:rowOff>17318</xdr:rowOff>
    </xdr:from>
    <xdr:to>
      <xdr:col>26</xdr:col>
      <xdr:colOff>311728</xdr:colOff>
      <xdr:row>21</xdr:row>
      <xdr:rowOff>69273</xdr:rowOff>
    </xdr:to>
    <xdr:sp macro="" textlink="">
      <xdr:nvSpPr>
        <xdr:cNvPr id="50" name="Rectángulo redondeado 49">
          <a:extLst>
            <a:ext uri="{FF2B5EF4-FFF2-40B4-BE49-F238E27FC236}">
              <a16:creationId xmlns:a16="http://schemas.microsoft.com/office/drawing/2014/main" id="{00000000-0008-0000-0400-000032000000}"/>
            </a:ext>
          </a:extLst>
        </xdr:cNvPr>
        <xdr:cNvSpPr/>
      </xdr:nvSpPr>
      <xdr:spPr>
        <a:xfrm>
          <a:off x="4779818" y="1402773"/>
          <a:ext cx="15118774" cy="2909455"/>
        </a:xfrm>
        <a:prstGeom prst="round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PE" sz="2000" b="1" u="sng" baseline="0">
              <a:solidFill>
                <a:schemeClr val="accent2">
                  <a:lumMod val="50000"/>
                </a:schemeClr>
              </a:solidFill>
              <a:latin typeface="+mn-lt"/>
              <a:ea typeface="+mn-ea"/>
              <a:cs typeface="+mn-cs"/>
            </a:rPr>
            <a:t>CRITERIOS GENERALES</a:t>
          </a:r>
        </a:p>
        <a:p>
          <a:pPr algn="l"/>
          <a:endParaRPr lang="es-PE" sz="2000" b="0" baseline="0">
            <a:solidFill>
              <a:sysClr val="windowText" lastClr="000000"/>
            </a:solidFill>
          </a:endParaRPr>
        </a:p>
        <a:p>
          <a:r>
            <a:rPr lang="es-PE" sz="2000" b="0" baseline="0">
              <a:solidFill>
                <a:sysClr val="windowText" lastClr="000000"/>
              </a:solidFill>
              <a:effectLst/>
              <a:latin typeface="+mn-lt"/>
              <a:ea typeface="+mn-ea"/>
              <a:cs typeface="+mn-cs"/>
            </a:rPr>
            <a:t>• El almacenamiento de los residuos sólidos generados por los  transeúntes en zonas públicas, se realizará en vías urbanas de alto tránsito peatonal (jirones, avenidas, calles) y en espacios públicos con alta afluencia de personas (parques , plazas, alamedas, entre otros). Se utilizarán papeleras. </a:t>
          </a:r>
        </a:p>
        <a:p>
          <a:r>
            <a:rPr lang="es-PE" sz="2000" b="0" baseline="0">
              <a:solidFill>
                <a:sysClr val="windowText" lastClr="000000"/>
              </a:solidFill>
              <a:effectLst/>
              <a:latin typeface="+mn-lt"/>
              <a:ea typeface="+mn-ea"/>
              <a:cs typeface="+mn-cs"/>
            </a:rPr>
            <a:t>• En zonas en donde exista alta acumulación de residuos generados por actividades comerciales, mercados, viviendas multifamiliares  o  zonas de difícil acceso para la recolección, se debe evaluar la utilización de equipamiento a través de contenedores para el almacenamiento de los residuos sólidos. </a:t>
          </a:r>
        </a:p>
      </xdr:txBody>
    </xdr:sp>
    <xdr:clientData/>
  </xdr:twoCellAnchor>
  <xdr:twoCellAnchor>
    <xdr:from>
      <xdr:col>0</xdr:col>
      <xdr:colOff>381001</xdr:colOff>
      <xdr:row>51</xdr:row>
      <xdr:rowOff>34638</xdr:rowOff>
    </xdr:from>
    <xdr:to>
      <xdr:col>19</xdr:col>
      <xdr:colOff>225136</xdr:colOff>
      <xdr:row>71</xdr:row>
      <xdr:rowOff>155866</xdr:rowOff>
    </xdr:to>
    <xdr:sp macro="" textlink="">
      <xdr:nvSpPr>
        <xdr:cNvPr id="51" name="Rectángulo redondeado 50">
          <a:extLst>
            <a:ext uri="{FF2B5EF4-FFF2-40B4-BE49-F238E27FC236}">
              <a16:creationId xmlns:a16="http://schemas.microsoft.com/office/drawing/2014/main" id="{00000000-0008-0000-0400-000033000000}"/>
            </a:ext>
          </a:extLst>
        </xdr:cNvPr>
        <xdr:cNvSpPr/>
      </xdr:nvSpPr>
      <xdr:spPr>
        <a:xfrm>
          <a:off x="381001" y="9607263"/>
          <a:ext cx="14331660" cy="3874078"/>
        </a:xfrm>
        <a:prstGeom prst="roundRect">
          <a:avLst/>
        </a:prstGeom>
        <a:solidFill>
          <a:schemeClr val="accent5">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PE" sz="2000" b="1" baseline="0">
              <a:solidFill>
                <a:srgbClr val="993300"/>
              </a:solidFill>
              <a:effectLst/>
              <a:latin typeface="+mn-lt"/>
              <a:ea typeface="+mn-ea"/>
              <a:cs typeface="+mn-cs"/>
            </a:rPr>
            <a:t>CONTENEDORES</a:t>
          </a:r>
          <a:endParaRPr lang="es-PE" sz="2000" b="1" baseline="0">
            <a:solidFill>
              <a:srgbClr val="993300"/>
            </a:solidFill>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s-PE" sz="2000" baseline="0">
              <a:solidFill>
                <a:sysClr val="windowText" lastClr="000000"/>
              </a:solidFill>
              <a:effectLst/>
              <a:latin typeface="+mn-lt"/>
              <a:ea typeface="+mn-ea"/>
              <a:cs typeface="+mn-cs"/>
            </a:rPr>
            <a:t>• En zonas de alta acumulación de residuos generados por actividades comerciales , mercados, viviendas multifamiliares , condominios o zonas de difícil acceso para la recolección, se podrán considerar contenedores de tipo superficial y/o soterrados, según el criterio siguiente:</a:t>
          </a:r>
        </a:p>
        <a:p>
          <a:pPr marL="0" marR="0" lvl="0" indent="0" algn="l" defTabSz="914400" eaLnBrk="1" fontAlgn="auto" latinLnBrk="0" hangingPunct="1">
            <a:lnSpc>
              <a:spcPct val="100000"/>
            </a:lnSpc>
            <a:spcBef>
              <a:spcPts val="0"/>
            </a:spcBef>
            <a:spcAft>
              <a:spcPts val="0"/>
            </a:spcAft>
            <a:buClrTx/>
            <a:buSzTx/>
            <a:buFontTx/>
            <a:buNone/>
            <a:tabLst/>
            <a:defRPr/>
          </a:pPr>
          <a:br>
            <a:rPr lang="es-PE" sz="2000" baseline="0">
              <a:solidFill>
                <a:sysClr val="windowText" lastClr="000000"/>
              </a:solidFill>
              <a:effectLst/>
              <a:latin typeface="+mn-lt"/>
              <a:ea typeface="+mn-ea"/>
              <a:cs typeface="+mn-cs"/>
            </a:rPr>
          </a:br>
          <a:r>
            <a:rPr lang="es-PE" sz="2000" baseline="0">
              <a:solidFill>
                <a:sysClr val="windowText" lastClr="000000"/>
              </a:solidFill>
              <a:effectLst/>
              <a:latin typeface="+mn-lt"/>
              <a:ea typeface="+mn-ea"/>
              <a:cs typeface="+mn-cs"/>
            </a:rPr>
            <a:t>Ciudades hasta 10,000 habitantes: Serán del tipo superficial. </a:t>
          </a:r>
          <a:br>
            <a:rPr lang="es-PE" sz="2000" baseline="0">
              <a:solidFill>
                <a:sysClr val="windowText" lastClr="000000"/>
              </a:solidFill>
              <a:effectLst/>
              <a:latin typeface="+mn-lt"/>
              <a:ea typeface="+mn-ea"/>
              <a:cs typeface="+mn-cs"/>
            </a:rPr>
          </a:br>
          <a:r>
            <a:rPr lang="es-PE" sz="2000" baseline="0">
              <a:solidFill>
                <a:sysClr val="windowText" lastClr="000000"/>
              </a:solidFill>
              <a:effectLst/>
              <a:latin typeface="+mn-lt"/>
              <a:ea typeface="+mn-ea"/>
              <a:cs typeface="+mn-cs"/>
            </a:rPr>
            <a:t>Ciudades mayores a 10,000 habitantes: Serán del tipo soterrado y/o superficial. </a:t>
          </a:r>
        </a:p>
        <a:p>
          <a:pPr marL="0" marR="0" lvl="0" indent="0" algn="l" defTabSz="914400" eaLnBrk="1" fontAlgn="auto" latinLnBrk="0" hangingPunct="1">
            <a:lnSpc>
              <a:spcPct val="100000"/>
            </a:lnSpc>
            <a:spcBef>
              <a:spcPts val="0"/>
            </a:spcBef>
            <a:spcAft>
              <a:spcPts val="0"/>
            </a:spcAft>
            <a:buClrTx/>
            <a:buSzTx/>
            <a:buFontTx/>
            <a:buNone/>
            <a:tabLst/>
            <a:defRPr/>
          </a:pPr>
          <a:endParaRPr lang="es-PE" sz="2000" baseline="0">
            <a:solidFill>
              <a:sysClr val="windowText" lastClr="000000"/>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s-PE" sz="2000" baseline="0">
              <a:solidFill>
                <a:sysClr val="windowText" lastClr="000000"/>
              </a:solidFill>
              <a:effectLst/>
              <a:latin typeface="+mn-lt"/>
              <a:ea typeface="+mn-ea"/>
              <a:cs typeface="+mn-cs"/>
            </a:rPr>
            <a:t>• Para los contenedores soterrados, debe incluirse el equipamiento necesario en la inversión, así como el personal capacitado e insumos y/o servicios para su operación y mantenimiento, debiendo considerarse los costos que correspondan.</a:t>
          </a:r>
        </a:p>
        <a:p>
          <a:pPr marL="0" marR="0" lvl="0" indent="0" algn="l" defTabSz="914400" eaLnBrk="1" fontAlgn="auto" latinLnBrk="0" hangingPunct="1">
            <a:lnSpc>
              <a:spcPct val="100000"/>
            </a:lnSpc>
            <a:spcBef>
              <a:spcPts val="0"/>
            </a:spcBef>
            <a:spcAft>
              <a:spcPts val="0"/>
            </a:spcAft>
            <a:buClrTx/>
            <a:buSzTx/>
            <a:buFontTx/>
            <a:buNone/>
            <a:tabLst/>
            <a:defRPr/>
          </a:pPr>
          <a:endParaRPr lang="es-PE" sz="2000" baseline="0">
            <a:solidFill>
              <a:sysClr val="windowText" lastClr="000000"/>
            </a:solidFill>
            <a:effectLst/>
            <a:latin typeface="+mn-lt"/>
            <a:ea typeface="+mn-ea"/>
            <a:cs typeface="+mn-cs"/>
          </a:endParaRPr>
        </a:p>
      </xdr:txBody>
    </xdr:sp>
    <xdr:clientData/>
  </xdr:twoCellAnchor>
  <xdr:twoCellAnchor>
    <xdr:from>
      <xdr:col>19</xdr:col>
      <xdr:colOff>355270</xdr:colOff>
      <xdr:row>60</xdr:row>
      <xdr:rowOff>50965</xdr:rowOff>
    </xdr:from>
    <xdr:to>
      <xdr:col>20</xdr:col>
      <xdr:colOff>123949</xdr:colOff>
      <xdr:row>63</xdr:row>
      <xdr:rowOff>74177</xdr:rowOff>
    </xdr:to>
    <xdr:sp macro="" textlink="">
      <xdr:nvSpPr>
        <xdr:cNvPr id="52" name="Flecha a la derecha con bandas 51">
          <a:extLst>
            <a:ext uri="{FF2B5EF4-FFF2-40B4-BE49-F238E27FC236}">
              <a16:creationId xmlns:a16="http://schemas.microsoft.com/office/drawing/2014/main" id="{00000000-0008-0000-0400-000034000000}"/>
            </a:ext>
          </a:extLst>
        </xdr:cNvPr>
        <xdr:cNvSpPr/>
      </xdr:nvSpPr>
      <xdr:spPr>
        <a:xfrm>
          <a:off x="14842795" y="11338090"/>
          <a:ext cx="530679" cy="594712"/>
        </a:xfrm>
        <a:prstGeom prst="stripedRightArrow">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PE"/>
        </a:p>
      </xdr:txBody>
    </xdr:sp>
    <xdr:clientData/>
  </xdr:twoCellAnchor>
  <xdr:twoCellAnchor>
    <xdr:from>
      <xdr:col>13</xdr:col>
      <xdr:colOff>340650</xdr:colOff>
      <xdr:row>175</xdr:row>
      <xdr:rowOff>92304</xdr:rowOff>
    </xdr:from>
    <xdr:to>
      <xdr:col>14</xdr:col>
      <xdr:colOff>236742</xdr:colOff>
      <xdr:row>178</xdr:row>
      <xdr:rowOff>115516</xdr:rowOff>
    </xdr:to>
    <xdr:sp macro="" textlink="">
      <xdr:nvSpPr>
        <xdr:cNvPr id="53" name="Flecha a la derecha con bandas 52">
          <a:extLst>
            <a:ext uri="{FF2B5EF4-FFF2-40B4-BE49-F238E27FC236}">
              <a16:creationId xmlns:a16="http://schemas.microsoft.com/office/drawing/2014/main" id="{00000000-0008-0000-0400-000035000000}"/>
            </a:ext>
          </a:extLst>
        </xdr:cNvPr>
        <xdr:cNvSpPr/>
      </xdr:nvSpPr>
      <xdr:spPr>
        <a:xfrm>
          <a:off x="10941975" y="33420279"/>
          <a:ext cx="543792" cy="594712"/>
        </a:xfrm>
        <a:prstGeom prst="stripedRightArrow">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PE"/>
        </a:p>
      </xdr:txBody>
    </xdr:sp>
    <xdr:clientData/>
  </xdr:twoCellAnchor>
  <xdr:twoCellAnchor>
    <xdr:from>
      <xdr:col>13</xdr:col>
      <xdr:colOff>219423</xdr:colOff>
      <xdr:row>192</xdr:row>
      <xdr:rowOff>161577</xdr:rowOff>
    </xdr:from>
    <xdr:to>
      <xdr:col>14</xdr:col>
      <xdr:colOff>115515</xdr:colOff>
      <xdr:row>195</xdr:row>
      <xdr:rowOff>184789</xdr:rowOff>
    </xdr:to>
    <xdr:sp macro="" textlink="">
      <xdr:nvSpPr>
        <xdr:cNvPr id="54" name="Flecha a la derecha con bandas 53">
          <a:extLst>
            <a:ext uri="{FF2B5EF4-FFF2-40B4-BE49-F238E27FC236}">
              <a16:creationId xmlns:a16="http://schemas.microsoft.com/office/drawing/2014/main" id="{00000000-0008-0000-0400-000036000000}"/>
            </a:ext>
          </a:extLst>
        </xdr:cNvPr>
        <xdr:cNvSpPr/>
      </xdr:nvSpPr>
      <xdr:spPr>
        <a:xfrm>
          <a:off x="10820748" y="36728052"/>
          <a:ext cx="543792" cy="594712"/>
        </a:xfrm>
        <a:prstGeom prst="stripedRightArrow">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PE"/>
        </a:p>
      </xdr:txBody>
    </xdr:sp>
    <xdr:clientData/>
  </xdr:twoCellAnchor>
  <xdr:twoCellAnchor>
    <xdr:from>
      <xdr:col>14</xdr:col>
      <xdr:colOff>354558</xdr:colOff>
      <xdr:row>412</xdr:row>
      <xdr:rowOff>156346</xdr:rowOff>
    </xdr:from>
    <xdr:to>
      <xdr:col>15</xdr:col>
      <xdr:colOff>308497</xdr:colOff>
      <xdr:row>415</xdr:row>
      <xdr:rowOff>121711</xdr:rowOff>
    </xdr:to>
    <xdr:sp macro="" textlink="">
      <xdr:nvSpPr>
        <xdr:cNvPr id="55" name="Flecha a la derecha con bandas 54">
          <a:extLst>
            <a:ext uri="{FF2B5EF4-FFF2-40B4-BE49-F238E27FC236}">
              <a16:creationId xmlns:a16="http://schemas.microsoft.com/office/drawing/2014/main" id="{00000000-0008-0000-0400-000037000000}"/>
            </a:ext>
          </a:extLst>
        </xdr:cNvPr>
        <xdr:cNvSpPr/>
      </xdr:nvSpPr>
      <xdr:spPr>
        <a:xfrm rot="5400000">
          <a:off x="11642773" y="80226488"/>
          <a:ext cx="536865" cy="607082"/>
        </a:xfrm>
        <a:prstGeom prst="stripedRightArrow">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PE"/>
        </a:p>
      </xdr:txBody>
    </xdr:sp>
    <xdr:clientData/>
  </xdr:twoCellAnchor>
  <xdr:twoCellAnchor editAs="oneCell">
    <xdr:from>
      <xdr:col>20</xdr:col>
      <xdr:colOff>209550</xdr:colOff>
      <xdr:row>22</xdr:row>
      <xdr:rowOff>19050</xdr:rowOff>
    </xdr:from>
    <xdr:to>
      <xdr:col>25</xdr:col>
      <xdr:colOff>514350</xdr:colOff>
      <xdr:row>33</xdr:row>
      <xdr:rowOff>9525</xdr:rowOff>
    </xdr:to>
    <xdr:pic>
      <xdr:nvPicPr>
        <xdr:cNvPr id="84528" name="Imagen 55">
          <a:extLst>
            <a:ext uri="{FF2B5EF4-FFF2-40B4-BE49-F238E27FC236}">
              <a16:creationId xmlns:a16="http://schemas.microsoft.com/office/drawing/2014/main" id="{00000000-0008-0000-0400-0000304A01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4924425"/>
          <a:ext cx="3867150" cy="2085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257175</xdr:colOff>
      <xdr:row>33</xdr:row>
      <xdr:rowOff>66675</xdr:rowOff>
    </xdr:from>
    <xdr:to>
      <xdr:col>25</xdr:col>
      <xdr:colOff>581025</xdr:colOff>
      <xdr:row>45</xdr:row>
      <xdr:rowOff>180975</xdr:rowOff>
    </xdr:to>
    <xdr:pic>
      <xdr:nvPicPr>
        <xdr:cNvPr id="84529" name="Imagen 56">
          <a:extLst>
            <a:ext uri="{FF2B5EF4-FFF2-40B4-BE49-F238E27FC236}">
              <a16:creationId xmlns:a16="http://schemas.microsoft.com/office/drawing/2014/main" id="{00000000-0008-0000-0400-0000314A01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06700" y="7067550"/>
          <a:ext cx="3886200" cy="2400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295275</xdr:colOff>
      <xdr:row>47</xdr:row>
      <xdr:rowOff>47625</xdr:rowOff>
    </xdr:from>
    <xdr:to>
      <xdr:col>25</xdr:col>
      <xdr:colOff>638175</xdr:colOff>
      <xdr:row>61</xdr:row>
      <xdr:rowOff>19050</xdr:rowOff>
    </xdr:to>
    <xdr:pic>
      <xdr:nvPicPr>
        <xdr:cNvPr id="84530" name="Imagen 57">
          <a:extLst>
            <a:ext uri="{FF2B5EF4-FFF2-40B4-BE49-F238E27FC236}">
              <a16:creationId xmlns:a16="http://schemas.microsoft.com/office/drawing/2014/main" id="{00000000-0008-0000-0400-0000324A01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544800" y="9715500"/>
          <a:ext cx="3905250" cy="2638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342900</xdr:colOff>
      <xdr:row>61</xdr:row>
      <xdr:rowOff>85725</xdr:rowOff>
    </xdr:from>
    <xdr:to>
      <xdr:col>25</xdr:col>
      <xdr:colOff>676275</xdr:colOff>
      <xdr:row>75</xdr:row>
      <xdr:rowOff>57150</xdr:rowOff>
    </xdr:to>
    <xdr:pic>
      <xdr:nvPicPr>
        <xdr:cNvPr id="84531" name="Imagen 58">
          <a:extLst>
            <a:ext uri="{FF2B5EF4-FFF2-40B4-BE49-F238E27FC236}">
              <a16:creationId xmlns:a16="http://schemas.microsoft.com/office/drawing/2014/main" id="{00000000-0008-0000-0400-0000334A01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5592425" y="12420600"/>
          <a:ext cx="3895725" cy="2581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638175</xdr:colOff>
      <xdr:row>119</xdr:row>
      <xdr:rowOff>104775</xdr:rowOff>
    </xdr:from>
    <xdr:to>
      <xdr:col>26</xdr:col>
      <xdr:colOff>361950</xdr:colOff>
      <xdr:row>136</xdr:row>
      <xdr:rowOff>142875</xdr:rowOff>
    </xdr:to>
    <xdr:pic>
      <xdr:nvPicPr>
        <xdr:cNvPr id="84532" name="Imagen 59">
          <a:extLst>
            <a:ext uri="{FF2B5EF4-FFF2-40B4-BE49-F238E27FC236}">
              <a16:creationId xmlns:a16="http://schemas.microsoft.com/office/drawing/2014/main" id="{00000000-0008-0000-0400-0000344A01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5125700" y="23431500"/>
          <a:ext cx="4848225" cy="3276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14</xdr:col>
      <xdr:colOff>295275</xdr:colOff>
      <xdr:row>168</xdr:row>
      <xdr:rowOff>66675</xdr:rowOff>
    </xdr:from>
    <xdr:to>
      <xdr:col>26</xdr:col>
      <xdr:colOff>752475</xdr:colOff>
      <xdr:row>183</xdr:row>
      <xdr:rowOff>123825</xdr:rowOff>
    </xdr:to>
    <xdr:grpSp>
      <xdr:nvGrpSpPr>
        <xdr:cNvPr id="84533" name="Grupo 60">
          <a:extLst>
            <a:ext uri="{FF2B5EF4-FFF2-40B4-BE49-F238E27FC236}">
              <a16:creationId xmlns:a16="http://schemas.microsoft.com/office/drawing/2014/main" id="{00000000-0008-0000-0400-0000354A0100}"/>
            </a:ext>
          </a:extLst>
        </xdr:cNvPr>
        <xdr:cNvGrpSpPr>
          <a:grpSpLocks/>
        </xdr:cNvGrpSpPr>
      </xdr:nvGrpSpPr>
      <xdr:grpSpPr bwMode="auto">
        <a:xfrm>
          <a:off x="11534775" y="32694130"/>
          <a:ext cx="8804564" cy="2914650"/>
          <a:chOff x="11533909" y="41113364"/>
          <a:chExt cx="8810105" cy="2909455"/>
        </a:xfrm>
      </xdr:grpSpPr>
      <xdr:pic>
        <xdr:nvPicPr>
          <xdr:cNvPr id="84568" name="Imagen 61">
            <a:extLst>
              <a:ext uri="{FF2B5EF4-FFF2-40B4-BE49-F238E27FC236}">
                <a16:creationId xmlns:a16="http://schemas.microsoft.com/office/drawing/2014/main" id="{00000000-0008-0000-0400-0000584A01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533909" y="41165319"/>
            <a:ext cx="4274820" cy="2857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84569" name="Imagen 62">
            <a:extLst>
              <a:ext uri="{FF2B5EF4-FFF2-40B4-BE49-F238E27FC236}">
                <a16:creationId xmlns:a16="http://schemas.microsoft.com/office/drawing/2014/main" id="{00000000-0008-0000-0400-0000594A01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6053954" y="41113364"/>
            <a:ext cx="4290060" cy="2903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14</xdr:col>
      <xdr:colOff>257175</xdr:colOff>
      <xdr:row>186</xdr:row>
      <xdr:rowOff>152400</xdr:rowOff>
    </xdr:from>
    <xdr:to>
      <xdr:col>26</xdr:col>
      <xdr:colOff>666750</xdr:colOff>
      <xdr:row>202</xdr:row>
      <xdr:rowOff>95250</xdr:rowOff>
    </xdr:to>
    <xdr:grpSp>
      <xdr:nvGrpSpPr>
        <xdr:cNvPr id="84534" name="Grupo 63">
          <a:extLst>
            <a:ext uri="{FF2B5EF4-FFF2-40B4-BE49-F238E27FC236}">
              <a16:creationId xmlns:a16="http://schemas.microsoft.com/office/drawing/2014/main" id="{00000000-0008-0000-0400-0000364A0100}"/>
            </a:ext>
          </a:extLst>
        </xdr:cNvPr>
        <xdr:cNvGrpSpPr>
          <a:grpSpLocks/>
        </xdr:cNvGrpSpPr>
      </xdr:nvGrpSpPr>
      <xdr:grpSpPr bwMode="auto">
        <a:xfrm>
          <a:off x="11496675" y="36208855"/>
          <a:ext cx="8756939" cy="2990850"/>
          <a:chOff x="11499272" y="44628954"/>
          <a:chExt cx="8758844" cy="2991197"/>
        </a:xfrm>
      </xdr:grpSpPr>
      <xdr:pic>
        <xdr:nvPicPr>
          <xdr:cNvPr id="84566" name="Imagen 64">
            <a:extLst>
              <a:ext uri="{FF2B5EF4-FFF2-40B4-BE49-F238E27FC236}">
                <a16:creationId xmlns:a16="http://schemas.microsoft.com/office/drawing/2014/main" id="{00000000-0008-0000-0400-0000564A01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499272" y="44663591"/>
            <a:ext cx="4290060" cy="2956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84567" name="Imagen 65">
            <a:extLst>
              <a:ext uri="{FF2B5EF4-FFF2-40B4-BE49-F238E27FC236}">
                <a16:creationId xmlns:a16="http://schemas.microsoft.com/office/drawing/2014/main" id="{00000000-0008-0000-0400-0000574A01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6036636" y="44628954"/>
            <a:ext cx="4221480" cy="2941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20</xdr:col>
      <xdr:colOff>647700</xdr:colOff>
      <xdr:row>218</xdr:row>
      <xdr:rowOff>104775</xdr:rowOff>
    </xdr:from>
    <xdr:to>
      <xdr:col>25</xdr:col>
      <xdr:colOff>523875</xdr:colOff>
      <xdr:row>233</xdr:row>
      <xdr:rowOff>9525</xdr:rowOff>
    </xdr:to>
    <xdr:pic>
      <xdr:nvPicPr>
        <xdr:cNvPr id="84535" name="Imagen 66">
          <a:extLst>
            <a:ext uri="{FF2B5EF4-FFF2-40B4-BE49-F238E27FC236}">
              <a16:creationId xmlns:a16="http://schemas.microsoft.com/office/drawing/2014/main" id="{00000000-0008-0000-0400-0000374A01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5897225" y="43195875"/>
          <a:ext cx="3438525" cy="2762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723900</xdr:colOff>
      <xdr:row>234</xdr:row>
      <xdr:rowOff>85725</xdr:rowOff>
    </xdr:from>
    <xdr:to>
      <xdr:col>25</xdr:col>
      <xdr:colOff>571500</xdr:colOff>
      <xdr:row>248</xdr:row>
      <xdr:rowOff>28575</xdr:rowOff>
    </xdr:to>
    <xdr:pic>
      <xdr:nvPicPr>
        <xdr:cNvPr id="84536" name="Imagen 67">
          <a:extLst>
            <a:ext uri="{FF2B5EF4-FFF2-40B4-BE49-F238E27FC236}">
              <a16:creationId xmlns:a16="http://schemas.microsoft.com/office/drawing/2014/main" id="{00000000-0008-0000-0400-0000384A01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973425" y="46224825"/>
          <a:ext cx="3409950" cy="2609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685800</xdr:colOff>
      <xdr:row>252</xdr:row>
      <xdr:rowOff>85725</xdr:rowOff>
    </xdr:from>
    <xdr:to>
      <xdr:col>26</xdr:col>
      <xdr:colOff>66675</xdr:colOff>
      <xdr:row>263</xdr:row>
      <xdr:rowOff>28575</xdr:rowOff>
    </xdr:to>
    <xdr:pic>
      <xdr:nvPicPr>
        <xdr:cNvPr id="84537" name="Imagen 68">
          <a:extLst>
            <a:ext uri="{FF2B5EF4-FFF2-40B4-BE49-F238E27FC236}">
              <a16:creationId xmlns:a16="http://schemas.microsoft.com/office/drawing/2014/main" id="{00000000-0008-0000-0400-0000394A01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935325" y="49653825"/>
          <a:ext cx="3743325" cy="2038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21</xdr:col>
      <xdr:colOff>323850</xdr:colOff>
      <xdr:row>263</xdr:row>
      <xdr:rowOff>180975</xdr:rowOff>
    </xdr:from>
    <xdr:to>
      <xdr:col>25</xdr:col>
      <xdr:colOff>314325</xdr:colOff>
      <xdr:row>279</xdr:row>
      <xdr:rowOff>85725</xdr:rowOff>
    </xdr:to>
    <xdr:pic>
      <xdr:nvPicPr>
        <xdr:cNvPr id="84538" name="Imagen 69">
          <a:extLst>
            <a:ext uri="{FF2B5EF4-FFF2-40B4-BE49-F238E27FC236}">
              <a16:creationId xmlns:a16="http://schemas.microsoft.com/office/drawing/2014/main" id="{00000000-0008-0000-0400-00003A4A01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6335375" y="51844575"/>
          <a:ext cx="2790825" cy="2952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752475</xdr:colOff>
      <xdr:row>280</xdr:row>
      <xdr:rowOff>95250</xdr:rowOff>
    </xdr:from>
    <xdr:to>
      <xdr:col>25</xdr:col>
      <xdr:colOff>609600</xdr:colOff>
      <xdr:row>293</xdr:row>
      <xdr:rowOff>142875</xdr:rowOff>
    </xdr:to>
    <xdr:pic>
      <xdr:nvPicPr>
        <xdr:cNvPr id="84539" name="Imagen 70">
          <a:extLst>
            <a:ext uri="{FF2B5EF4-FFF2-40B4-BE49-F238E27FC236}">
              <a16:creationId xmlns:a16="http://schemas.microsoft.com/office/drawing/2014/main" id="{00000000-0008-0000-0400-00003B4A01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6002000" y="54997350"/>
          <a:ext cx="3419475" cy="2524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342900</xdr:colOff>
      <xdr:row>300</xdr:row>
      <xdr:rowOff>123825</xdr:rowOff>
    </xdr:from>
    <xdr:to>
      <xdr:col>26</xdr:col>
      <xdr:colOff>190500</xdr:colOff>
      <xdr:row>318</xdr:row>
      <xdr:rowOff>57150</xdr:rowOff>
    </xdr:to>
    <xdr:pic>
      <xdr:nvPicPr>
        <xdr:cNvPr id="84540" name="Imagen 71">
          <a:extLst>
            <a:ext uri="{FF2B5EF4-FFF2-40B4-BE49-F238E27FC236}">
              <a16:creationId xmlns:a16="http://schemas.microsoft.com/office/drawing/2014/main" id="{00000000-0008-0000-0400-00003C4A01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5592425" y="58835925"/>
          <a:ext cx="4210050" cy="3362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447675</xdr:colOff>
      <xdr:row>321</xdr:row>
      <xdr:rowOff>85725</xdr:rowOff>
    </xdr:from>
    <xdr:to>
      <xdr:col>26</xdr:col>
      <xdr:colOff>123825</xdr:colOff>
      <xdr:row>337</xdr:row>
      <xdr:rowOff>95250</xdr:rowOff>
    </xdr:to>
    <xdr:pic>
      <xdr:nvPicPr>
        <xdr:cNvPr id="84541" name="Imagen 72">
          <a:extLst>
            <a:ext uri="{FF2B5EF4-FFF2-40B4-BE49-F238E27FC236}">
              <a16:creationId xmlns:a16="http://schemas.microsoft.com/office/drawing/2014/main" id="{00000000-0008-0000-0400-00003D4A01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5697200" y="62798325"/>
          <a:ext cx="4038600" cy="3057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314325</xdr:colOff>
      <xdr:row>338</xdr:row>
      <xdr:rowOff>152400</xdr:rowOff>
    </xdr:from>
    <xdr:to>
      <xdr:col>26</xdr:col>
      <xdr:colOff>114300</xdr:colOff>
      <xdr:row>350</xdr:row>
      <xdr:rowOff>38100</xdr:rowOff>
    </xdr:to>
    <xdr:pic>
      <xdr:nvPicPr>
        <xdr:cNvPr id="84542" name="Imagen 73">
          <a:extLst>
            <a:ext uri="{FF2B5EF4-FFF2-40B4-BE49-F238E27FC236}">
              <a16:creationId xmlns:a16="http://schemas.microsoft.com/office/drawing/2014/main" id="{00000000-0008-0000-0400-00003E4A01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563850" y="66103500"/>
          <a:ext cx="4162425" cy="217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400050</xdr:colOff>
      <xdr:row>351</xdr:row>
      <xdr:rowOff>142875</xdr:rowOff>
    </xdr:from>
    <xdr:to>
      <xdr:col>26</xdr:col>
      <xdr:colOff>276225</xdr:colOff>
      <xdr:row>366</xdr:row>
      <xdr:rowOff>104775</xdr:rowOff>
    </xdr:to>
    <xdr:pic>
      <xdr:nvPicPr>
        <xdr:cNvPr id="84543" name="Imagen 74">
          <a:extLst>
            <a:ext uri="{FF2B5EF4-FFF2-40B4-BE49-F238E27FC236}">
              <a16:creationId xmlns:a16="http://schemas.microsoft.com/office/drawing/2014/main" id="{00000000-0008-0000-0400-00003F4A01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5649575" y="68570475"/>
          <a:ext cx="4238625" cy="2819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152400</xdr:colOff>
      <xdr:row>367</xdr:row>
      <xdr:rowOff>171450</xdr:rowOff>
    </xdr:from>
    <xdr:to>
      <xdr:col>26</xdr:col>
      <xdr:colOff>304800</xdr:colOff>
      <xdr:row>380</xdr:row>
      <xdr:rowOff>47625</xdr:rowOff>
    </xdr:to>
    <xdr:pic>
      <xdr:nvPicPr>
        <xdr:cNvPr id="84544" name="Imagen 75">
          <a:extLst>
            <a:ext uri="{FF2B5EF4-FFF2-40B4-BE49-F238E27FC236}">
              <a16:creationId xmlns:a16="http://schemas.microsoft.com/office/drawing/2014/main" id="{00000000-0008-0000-0400-0000404A01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5401925" y="71647050"/>
          <a:ext cx="4514850" cy="2352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200025</xdr:colOff>
      <xdr:row>433</xdr:row>
      <xdr:rowOff>152400</xdr:rowOff>
    </xdr:from>
    <xdr:to>
      <xdr:col>4</xdr:col>
      <xdr:colOff>600075</xdr:colOff>
      <xdr:row>446</xdr:row>
      <xdr:rowOff>152400</xdr:rowOff>
    </xdr:to>
    <xdr:pic>
      <xdr:nvPicPr>
        <xdr:cNvPr id="84545" name="Imagen 76">
          <a:extLst>
            <a:ext uri="{FF2B5EF4-FFF2-40B4-BE49-F238E27FC236}">
              <a16:creationId xmlns:a16="http://schemas.microsoft.com/office/drawing/2014/main" id="{00000000-0008-0000-0400-0000414A01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00025" y="84420075"/>
          <a:ext cx="3724275" cy="247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123825</xdr:colOff>
      <xdr:row>451</xdr:row>
      <xdr:rowOff>38100</xdr:rowOff>
    </xdr:from>
    <xdr:to>
      <xdr:col>5</xdr:col>
      <xdr:colOff>152400</xdr:colOff>
      <xdr:row>467</xdr:row>
      <xdr:rowOff>66675</xdr:rowOff>
    </xdr:to>
    <xdr:pic>
      <xdr:nvPicPr>
        <xdr:cNvPr id="84546" name="Imagen 77">
          <a:extLst>
            <a:ext uri="{FF2B5EF4-FFF2-40B4-BE49-F238E27FC236}">
              <a16:creationId xmlns:a16="http://schemas.microsoft.com/office/drawing/2014/main" id="{00000000-0008-0000-0400-0000424A01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23825" y="87734775"/>
          <a:ext cx="4086225" cy="3076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466725</xdr:colOff>
      <xdr:row>452</xdr:row>
      <xdr:rowOff>76200</xdr:rowOff>
    </xdr:from>
    <xdr:to>
      <xdr:col>13</xdr:col>
      <xdr:colOff>295275</xdr:colOff>
      <xdr:row>469</xdr:row>
      <xdr:rowOff>38100</xdr:rowOff>
    </xdr:to>
    <xdr:pic>
      <xdr:nvPicPr>
        <xdr:cNvPr id="84547" name="Imagen 78">
          <a:extLst>
            <a:ext uri="{FF2B5EF4-FFF2-40B4-BE49-F238E27FC236}">
              <a16:creationId xmlns:a16="http://schemas.microsoft.com/office/drawing/2014/main" id="{00000000-0008-0000-0400-0000434A01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4524375" y="87963375"/>
          <a:ext cx="6372225" cy="3200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571500</xdr:colOff>
      <xdr:row>449</xdr:row>
      <xdr:rowOff>57150</xdr:rowOff>
    </xdr:from>
    <xdr:to>
      <xdr:col>19</xdr:col>
      <xdr:colOff>542925</xdr:colOff>
      <xdr:row>471</xdr:row>
      <xdr:rowOff>28575</xdr:rowOff>
    </xdr:to>
    <xdr:pic>
      <xdr:nvPicPr>
        <xdr:cNvPr id="84548" name="Imagen 79">
          <a:extLst>
            <a:ext uri="{FF2B5EF4-FFF2-40B4-BE49-F238E27FC236}">
              <a16:creationId xmlns:a16="http://schemas.microsoft.com/office/drawing/2014/main" id="{00000000-0008-0000-0400-0000444A01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11172825" y="87372825"/>
          <a:ext cx="3857625" cy="416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628650</xdr:colOff>
      <xdr:row>460</xdr:row>
      <xdr:rowOff>161925</xdr:rowOff>
    </xdr:from>
    <xdr:to>
      <xdr:col>23</xdr:col>
      <xdr:colOff>657225</xdr:colOff>
      <xdr:row>471</xdr:row>
      <xdr:rowOff>28575</xdr:rowOff>
    </xdr:to>
    <xdr:pic>
      <xdr:nvPicPr>
        <xdr:cNvPr id="84549" name="Imagen 80">
          <a:extLst>
            <a:ext uri="{FF2B5EF4-FFF2-40B4-BE49-F238E27FC236}">
              <a16:creationId xmlns:a16="http://schemas.microsoft.com/office/drawing/2014/main" id="{00000000-0008-0000-0400-0000454A01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5116175" y="89573100"/>
          <a:ext cx="2524125" cy="1962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114300</xdr:colOff>
      <xdr:row>449</xdr:row>
      <xdr:rowOff>161925</xdr:rowOff>
    </xdr:from>
    <xdr:to>
      <xdr:col>26</xdr:col>
      <xdr:colOff>723900</xdr:colOff>
      <xdr:row>461</xdr:row>
      <xdr:rowOff>152400</xdr:rowOff>
    </xdr:to>
    <xdr:pic>
      <xdr:nvPicPr>
        <xdr:cNvPr id="84550" name="Imagen 81">
          <a:extLst>
            <a:ext uri="{FF2B5EF4-FFF2-40B4-BE49-F238E27FC236}">
              <a16:creationId xmlns:a16="http://schemas.microsoft.com/office/drawing/2014/main" id="{00000000-0008-0000-0400-0000464A01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6706850" y="87477600"/>
          <a:ext cx="3629025" cy="2276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276225</xdr:colOff>
      <xdr:row>516</xdr:row>
      <xdr:rowOff>85725</xdr:rowOff>
    </xdr:from>
    <xdr:to>
      <xdr:col>3</xdr:col>
      <xdr:colOff>1123950</xdr:colOff>
      <xdr:row>539</xdr:row>
      <xdr:rowOff>9525</xdr:rowOff>
    </xdr:to>
    <xdr:pic>
      <xdr:nvPicPr>
        <xdr:cNvPr id="84551" name="Imagen 82">
          <a:extLst>
            <a:ext uri="{FF2B5EF4-FFF2-40B4-BE49-F238E27FC236}">
              <a16:creationId xmlns:a16="http://schemas.microsoft.com/office/drawing/2014/main" id="{00000000-0008-0000-0400-0000474A01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276225" y="100231575"/>
          <a:ext cx="3000375" cy="430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333375</xdr:colOff>
      <xdr:row>518</xdr:row>
      <xdr:rowOff>171450</xdr:rowOff>
    </xdr:from>
    <xdr:to>
      <xdr:col>10</xdr:col>
      <xdr:colOff>523875</xdr:colOff>
      <xdr:row>535</xdr:row>
      <xdr:rowOff>123825</xdr:rowOff>
    </xdr:to>
    <xdr:pic>
      <xdr:nvPicPr>
        <xdr:cNvPr id="84552" name="Imagen 83">
          <a:extLst>
            <a:ext uri="{FF2B5EF4-FFF2-40B4-BE49-F238E27FC236}">
              <a16:creationId xmlns:a16="http://schemas.microsoft.com/office/drawing/2014/main" id="{00000000-0008-0000-0400-0000484A01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657600" y="100698300"/>
          <a:ext cx="4810125" cy="3190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866775</xdr:colOff>
      <xdr:row>519</xdr:row>
      <xdr:rowOff>19050</xdr:rowOff>
    </xdr:from>
    <xdr:to>
      <xdr:col>17</xdr:col>
      <xdr:colOff>371475</xdr:colOff>
      <xdr:row>535</xdr:row>
      <xdr:rowOff>104775</xdr:rowOff>
    </xdr:to>
    <xdr:pic>
      <xdr:nvPicPr>
        <xdr:cNvPr id="84553" name="Imagen 84">
          <a:extLst>
            <a:ext uri="{FF2B5EF4-FFF2-40B4-BE49-F238E27FC236}">
              <a16:creationId xmlns:a16="http://schemas.microsoft.com/office/drawing/2014/main" id="{00000000-0008-0000-0400-0000494A01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0625" y="100736400"/>
          <a:ext cx="4752975" cy="3133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142875</xdr:colOff>
      <xdr:row>519</xdr:row>
      <xdr:rowOff>152400</xdr:rowOff>
    </xdr:from>
    <xdr:to>
      <xdr:col>26</xdr:col>
      <xdr:colOff>238125</xdr:colOff>
      <xdr:row>535</xdr:row>
      <xdr:rowOff>104775</xdr:rowOff>
    </xdr:to>
    <xdr:pic>
      <xdr:nvPicPr>
        <xdr:cNvPr id="84554" name="Imagen 85">
          <a:extLst>
            <a:ext uri="{FF2B5EF4-FFF2-40B4-BE49-F238E27FC236}">
              <a16:creationId xmlns:a16="http://schemas.microsoft.com/office/drawing/2014/main" id="{00000000-0008-0000-0400-00004A4A01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13868400" y="100869750"/>
          <a:ext cx="5981700" cy="3000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228600</xdr:colOff>
      <xdr:row>381</xdr:row>
      <xdr:rowOff>123825</xdr:rowOff>
    </xdr:from>
    <xdr:to>
      <xdr:col>26</xdr:col>
      <xdr:colOff>342900</xdr:colOff>
      <xdr:row>397</xdr:row>
      <xdr:rowOff>85725</xdr:rowOff>
    </xdr:to>
    <xdr:pic>
      <xdr:nvPicPr>
        <xdr:cNvPr id="84555" name="Imagen 86">
          <a:extLst>
            <a:ext uri="{FF2B5EF4-FFF2-40B4-BE49-F238E27FC236}">
              <a16:creationId xmlns:a16="http://schemas.microsoft.com/office/drawing/2014/main" id="{00000000-0008-0000-0400-00004B4A01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5478125" y="74266425"/>
          <a:ext cx="4476750" cy="3009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657225</xdr:colOff>
      <xdr:row>99</xdr:row>
      <xdr:rowOff>161925</xdr:rowOff>
    </xdr:from>
    <xdr:to>
      <xdr:col>25</xdr:col>
      <xdr:colOff>723900</xdr:colOff>
      <xdr:row>117</xdr:row>
      <xdr:rowOff>171450</xdr:rowOff>
    </xdr:to>
    <xdr:pic>
      <xdr:nvPicPr>
        <xdr:cNvPr id="84556" name="Imagen 87">
          <a:extLst>
            <a:ext uri="{FF2B5EF4-FFF2-40B4-BE49-F238E27FC236}">
              <a16:creationId xmlns:a16="http://schemas.microsoft.com/office/drawing/2014/main" id="{00000000-0008-0000-0400-00004C4A01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15144750" y="19678650"/>
          <a:ext cx="4391025" cy="3438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47625</xdr:colOff>
          <xdr:row>5</xdr:row>
          <xdr:rowOff>47625</xdr:rowOff>
        </xdr:from>
        <xdr:to>
          <xdr:col>2</xdr:col>
          <xdr:colOff>304800</xdr:colOff>
          <xdr:row>6</xdr:row>
          <xdr:rowOff>171450</xdr:rowOff>
        </xdr:to>
        <xdr:sp macro="" textlink="">
          <xdr:nvSpPr>
            <xdr:cNvPr id="83969" name="CommandButton1" hidden="1">
              <a:extLst>
                <a:ext uri="{63B3BB69-23CF-44E3-9099-C40C66FF867C}">
                  <a14:compatExt spid="_x0000_s83969"/>
                </a:ext>
                <a:ext uri="{FF2B5EF4-FFF2-40B4-BE49-F238E27FC236}">
                  <a16:creationId xmlns:a16="http://schemas.microsoft.com/office/drawing/2014/main" id="{00000000-0008-0000-0400-000001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85725</xdr:rowOff>
        </xdr:from>
        <xdr:to>
          <xdr:col>2</xdr:col>
          <xdr:colOff>638175</xdr:colOff>
          <xdr:row>76</xdr:row>
          <xdr:rowOff>19050</xdr:rowOff>
        </xdr:to>
        <xdr:sp macro="" textlink="">
          <xdr:nvSpPr>
            <xdr:cNvPr id="83972" name="CommandButton2" hidden="1">
              <a:extLst>
                <a:ext uri="{63B3BB69-23CF-44E3-9099-C40C66FF867C}">
                  <a14:compatExt spid="_x0000_s83972"/>
                </a:ext>
                <a:ext uri="{FF2B5EF4-FFF2-40B4-BE49-F238E27FC236}">
                  <a16:creationId xmlns:a16="http://schemas.microsoft.com/office/drawing/2014/main" id="{00000000-0008-0000-0400-000004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78</xdr:row>
          <xdr:rowOff>19050</xdr:rowOff>
        </xdr:from>
        <xdr:to>
          <xdr:col>2</xdr:col>
          <xdr:colOff>657225</xdr:colOff>
          <xdr:row>79</xdr:row>
          <xdr:rowOff>142875</xdr:rowOff>
        </xdr:to>
        <xdr:sp macro="" textlink="">
          <xdr:nvSpPr>
            <xdr:cNvPr id="83973" name="CommandButton3" hidden="1">
              <a:extLst>
                <a:ext uri="{63B3BB69-23CF-44E3-9099-C40C66FF867C}">
                  <a14:compatExt spid="_x0000_s83973"/>
                </a:ext>
                <a:ext uri="{FF2B5EF4-FFF2-40B4-BE49-F238E27FC236}">
                  <a16:creationId xmlns:a16="http://schemas.microsoft.com/office/drawing/2014/main" id="{00000000-0008-0000-0400-000005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139</xdr:row>
          <xdr:rowOff>142875</xdr:rowOff>
        </xdr:from>
        <xdr:to>
          <xdr:col>2</xdr:col>
          <xdr:colOff>647700</xdr:colOff>
          <xdr:row>140</xdr:row>
          <xdr:rowOff>28575</xdr:rowOff>
        </xdr:to>
        <xdr:sp macro="" textlink="">
          <xdr:nvSpPr>
            <xdr:cNvPr id="83974" name="CommandButton4" hidden="1">
              <a:extLst>
                <a:ext uri="{63B3BB69-23CF-44E3-9099-C40C66FF867C}">
                  <a14:compatExt spid="_x0000_s83974"/>
                </a:ext>
                <a:ext uri="{FF2B5EF4-FFF2-40B4-BE49-F238E27FC236}">
                  <a16:creationId xmlns:a16="http://schemas.microsoft.com/office/drawing/2014/main" id="{00000000-0008-0000-0400-000006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142</xdr:row>
          <xdr:rowOff>28575</xdr:rowOff>
        </xdr:from>
        <xdr:to>
          <xdr:col>2</xdr:col>
          <xdr:colOff>647700</xdr:colOff>
          <xdr:row>143</xdr:row>
          <xdr:rowOff>152400</xdr:rowOff>
        </xdr:to>
        <xdr:sp macro="" textlink="">
          <xdr:nvSpPr>
            <xdr:cNvPr id="83975" name="CommandButton5" hidden="1">
              <a:extLst>
                <a:ext uri="{63B3BB69-23CF-44E3-9099-C40C66FF867C}">
                  <a14:compatExt spid="_x0000_s83975"/>
                </a:ext>
                <a:ext uri="{FF2B5EF4-FFF2-40B4-BE49-F238E27FC236}">
                  <a16:creationId xmlns:a16="http://schemas.microsoft.com/office/drawing/2014/main" id="{00000000-0008-0000-0400-000007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203</xdr:row>
          <xdr:rowOff>76200</xdr:rowOff>
        </xdr:from>
        <xdr:to>
          <xdr:col>2</xdr:col>
          <xdr:colOff>657225</xdr:colOff>
          <xdr:row>205</xdr:row>
          <xdr:rowOff>9525</xdr:rowOff>
        </xdr:to>
        <xdr:sp macro="" textlink="">
          <xdr:nvSpPr>
            <xdr:cNvPr id="83976" name="CommandButton6" hidden="1">
              <a:extLst>
                <a:ext uri="{63B3BB69-23CF-44E3-9099-C40C66FF867C}">
                  <a14:compatExt spid="_x0000_s83976"/>
                </a:ext>
                <a:ext uri="{FF2B5EF4-FFF2-40B4-BE49-F238E27FC236}">
                  <a16:creationId xmlns:a16="http://schemas.microsoft.com/office/drawing/2014/main" id="{00000000-0008-0000-0400-000008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207</xdr:row>
          <xdr:rowOff>28575</xdr:rowOff>
        </xdr:from>
        <xdr:to>
          <xdr:col>2</xdr:col>
          <xdr:colOff>647700</xdr:colOff>
          <xdr:row>207</xdr:row>
          <xdr:rowOff>342900</xdr:rowOff>
        </xdr:to>
        <xdr:sp macro="" textlink="">
          <xdr:nvSpPr>
            <xdr:cNvPr id="83978" name="CommandButton7" hidden="1">
              <a:extLst>
                <a:ext uri="{63B3BB69-23CF-44E3-9099-C40C66FF867C}">
                  <a14:compatExt spid="_x0000_s83978"/>
                </a:ext>
                <a:ext uri="{FF2B5EF4-FFF2-40B4-BE49-F238E27FC236}">
                  <a16:creationId xmlns:a16="http://schemas.microsoft.com/office/drawing/2014/main" id="{00000000-0008-0000-0400-00000A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47625</xdr:colOff>
          <xdr:row>293</xdr:row>
          <xdr:rowOff>85725</xdr:rowOff>
        </xdr:from>
        <xdr:to>
          <xdr:col>2</xdr:col>
          <xdr:colOff>666750</xdr:colOff>
          <xdr:row>295</xdr:row>
          <xdr:rowOff>19050</xdr:rowOff>
        </xdr:to>
        <xdr:sp macro="" textlink="">
          <xdr:nvSpPr>
            <xdr:cNvPr id="83979" name="CommandButton8" hidden="1">
              <a:extLst>
                <a:ext uri="{63B3BB69-23CF-44E3-9099-C40C66FF867C}">
                  <a14:compatExt spid="_x0000_s83979"/>
                </a:ext>
                <a:ext uri="{FF2B5EF4-FFF2-40B4-BE49-F238E27FC236}">
                  <a16:creationId xmlns:a16="http://schemas.microsoft.com/office/drawing/2014/main" id="{00000000-0008-0000-0400-00000B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297</xdr:row>
          <xdr:rowOff>28575</xdr:rowOff>
        </xdr:from>
        <xdr:to>
          <xdr:col>2</xdr:col>
          <xdr:colOff>685800</xdr:colOff>
          <xdr:row>298</xdr:row>
          <xdr:rowOff>152400</xdr:rowOff>
        </xdr:to>
        <xdr:sp macro="" textlink="">
          <xdr:nvSpPr>
            <xdr:cNvPr id="83980" name="CommandButton9" hidden="1">
              <a:extLst>
                <a:ext uri="{63B3BB69-23CF-44E3-9099-C40C66FF867C}">
                  <a14:compatExt spid="_x0000_s83980"/>
                </a:ext>
                <a:ext uri="{FF2B5EF4-FFF2-40B4-BE49-F238E27FC236}">
                  <a16:creationId xmlns:a16="http://schemas.microsoft.com/office/drawing/2014/main" id="{00000000-0008-0000-0400-00000C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397</xdr:row>
          <xdr:rowOff>66675</xdr:rowOff>
        </xdr:from>
        <xdr:to>
          <xdr:col>2</xdr:col>
          <xdr:colOff>638175</xdr:colOff>
          <xdr:row>399</xdr:row>
          <xdr:rowOff>0</xdr:rowOff>
        </xdr:to>
        <xdr:sp macro="" textlink="">
          <xdr:nvSpPr>
            <xdr:cNvPr id="83981" name="CommandButton10" hidden="1">
              <a:extLst>
                <a:ext uri="{63B3BB69-23CF-44E3-9099-C40C66FF867C}">
                  <a14:compatExt spid="_x0000_s83981"/>
                </a:ext>
                <a:ext uri="{FF2B5EF4-FFF2-40B4-BE49-F238E27FC236}">
                  <a16:creationId xmlns:a16="http://schemas.microsoft.com/office/drawing/2014/main" id="{00000000-0008-0000-0400-00000D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401</xdr:row>
          <xdr:rowOff>28575</xdr:rowOff>
        </xdr:from>
        <xdr:to>
          <xdr:col>2</xdr:col>
          <xdr:colOff>657225</xdr:colOff>
          <xdr:row>402</xdr:row>
          <xdr:rowOff>152400</xdr:rowOff>
        </xdr:to>
        <xdr:sp macro="" textlink="">
          <xdr:nvSpPr>
            <xdr:cNvPr id="83982" name="CommandButton11" hidden="1">
              <a:extLst>
                <a:ext uri="{63B3BB69-23CF-44E3-9099-C40C66FF867C}">
                  <a14:compatExt spid="_x0000_s83982"/>
                </a:ext>
                <a:ext uri="{FF2B5EF4-FFF2-40B4-BE49-F238E27FC236}">
                  <a16:creationId xmlns:a16="http://schemas.microsoft.com/office/drawing/2014/main" id="{00000000-0008-0000-0400-00000E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47625</xdr:colOff>
          <xdr:row>471</xdr:row>
          <xdr:rowOff>57150</xdr:rowOff>
        </xdr:from>
        <xdr:to>
          <xdr:col>2</xdr:col>
          <xdr:colOff>666750</xdr:colOff>
          <xdr:row>472</xdr:row>
          <xdr:rowOff>180975</xdr:rowOff>
        </xdr:to>
        <xdr:sp macro="" textlink="">
          <xdr:nvSpPr>
            <xdr:cNvPr id="83983" name="CommandButton12" hidden="1">
              <a:extLst>
                <a:ext uri="{63B3BB69-23CF-44E3-9099-C40C66FF867C}">
                  <a14:compatExt spid="_x0000_s83983"/>
                </a:ext>
                <a:ext uri="{FF2B5EF4-FFF2-40B4-BE49-F238E27FC236}">
                  <a16:creationId xmlns:a16="http://schemas.microsoft.com/office/drawing/2014/main" id="{00000000-0008-0000-0400-00000F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475</xdr:row>
          <xdr:rowOff>38100</xdr:rowOff>
        </xdr:from>
        <xdr:to>
          <xdr:col>2</xdr:col>
          <xdr:colOff>647700</xdr:colOff>
          <xdr:row>476</xdr:row>
          <xdr:rowOff>161925</xdr:rowOff>
        </xdr:to>
        <xdr:sp macro="" textlink="">
          <xdr:nvSpPr>
            <xdr:cNvPr id="83984" name="CommandButton13" hidden="1">
              <a:extLst>
                <a:ext uri="{63B3BB69-23CF-44E3-9099-C40C66FF867C}">
                  <a14:compatExt spid="_x0000_s83984"/>
                </a:ext>
                <a:ext uri="{FF2B5EF4-FFF2-40B4-BE49-F238E27FC236}">
                  <a16:creationId xmlns:a16="http://schemas.microsoft.com/office/drawing/2014/main" id="{00000000-0008-0000-0400-000010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543</xdr:row>
          <xdr:rowOff>66675</xdr:rowOff>
        </xdr:from>
        <xdr:to>
          <xdr:col>2</xdr:col>
          <xdr:colOff>657225</xdr:colOff>
          <xdr:row>545</xdr:row>
          <xdr:rowOff>0</xdr:rowOff>
        </xdr:to>
        <xdr:sp macro="" textlink="">
          <xdr:nvSpPr>
            <xdr:cNvPr id="83985" name="CommandButton14" hidden="1">
              <a:extLst>
                <a:ext uri="{63B3BB69-23CF-44E3-9099-C40C66FF867C}">
                  <a14:compatExt spid="_x0000_s83985"/>
                </a:ext>
                <a:ext uri="{FF2B5EF4-FFF2-40B4-BE49-F238E27FC236}">
                  <a16:creationId xmlns:a16="http://schemas.microsoft.com/office/drawing/2014/main" id="{00000000-0008-0000-0400-000011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590550</xdr:colOff>
          <xdr:row>5</xdr:row>
          <xdr:rowOff>47625</xdr:rowOff>
        </xdr:from>
        <xdr:to>
          <xdr:col>4</xdr:col>
          <xdr:colOff>95250</xdr:colOff>
          <xdr:row>6</xdr:row>
          <xdr:rowOff>171450</xdr:rowOff>
        </xdr:to>
        <xdr:sp macro="" textlink="">
          <xdr:nvSpPr>
            <xdr:cNvPr id="83986" name="btnCTAlmacenamiento" hidden="1">
              <a:extLst>
                <a:ext uri="{63B3BB69-23CF-44E3-9099-C40C66FF867C}">
                  <a14:compatExt spid="_x0000_s83986"/>
                </a:ext>
                <a:ext uri="{FF2B5EF4-FFF2-40B4-BE49-F238E27FC236}">
                  <a16:creationId xmlns:a16="http://schemas.microsoft.com/office/drawing/2014/main" id="{00000000-0008-0000-0400-000012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657225</xdr:colOff>
          <xdr:row>74</xdr:row>
          <xdr:rowOff>76200</xdr:rowOff>
        </xdr:from>
        <xdr:to>
          <xdr:col>4</xdr:col>
          <xdr:colOff>523875</xdr:colOff>
          <xdr:row>76</xdr:row>
          <xdr:rowOff>9525</xdr:rowOff>
        </xdr:to>
        <xdr:sp macro="" textlink="">
          <xdr:nvSpPr>
            <xdr:cNvPr id="83987" name="btnCTAlmacenamiento02" hidden="1">
              <a:extLst>
                <a:ext uri="{63B3BB69-23CF-44E3-9099-C40C66FF867C}">
                  <a14:compatExt spid="_x0000_s83987"/>
                </a:ext>
                <a:ext uri="{FF2B5EF4-FFF2-40B4-BE49-F238E27FC236}">
                  <a16:creationId xmlns:a16="http://schemas.microsoft.com/office/drawing/2014/main" id="{00000000-0008-0000-0400-000013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666750</xdr:colOff>
          <xdr:row>78</xdr:row>
          <xdr:rowOff>38100</xdr:rowOff>
        </xdr:from>
        <xdr:to>
          <xdr:col>4</xdr:col>
          <xdr:colOff>533400</xdr:colOff>
          <xdr:row>79</xdr:row>
          <xdr:rowOff>161925</xdr:rowOff>
        </xdr:to>
        <xdr:sp macro="" textlink="">
          <xdr:nvSpPr>
            <xdr:cNvPr id="83988" name="btnBarrido1" hidden="1">
              <a:extLst>
                <a:ext uri="{63B3BB69-23CF-44E3-9099-C40C66FF867C}">
                  <a14:compatExt spid="_x0000_s83988"/>
                </a:ext>
                <a:ext uri="{FF2B5EF4-FFF2-40B4-BE49-F238E27FC236}">
                  <a16:creationId xmlns:a16="http://schemas.microsoft.com/office/drawing/2014/main" id="{00000000-0008-0000-0400-000014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676275</xdr:colOff>
          <xdr:row>139</xdr:row>
          <xdr:rowOff>133350</xdr:rowOff>
        </xdr:from>
        <xdr:to>
          <xdr:col>4</xdr:col>
          <xdr:colOff>542925</xdr:colOff>
          <xdr:row>140</xdr:row>
          <xdr:rowOff>19050</xdr:rowOff>
        </xdr:to>
        <xdr:sp macro="" textlink="">
          <xdr:nvSpPr>
            <xdr:cNvPr id="83989" name="btnBarrido2" hidden="1">
              <a:extLst>
                <a:ext uri="{63B3BB69-23CF-44E3-9099-C40C66FF867C}">
                  <a14:compatExt spid="_x0000_s83989"/>
                </a:ext>
                <a:ext uri="{FF2B5EF4-FFF2-40B4-BE49-F238E27FC236}">
                  <a16:creationId xmlns:a16="http://schemas.microsoft.com/office/drawing/2014/main" id="{00000000-0008-0000-0400-000015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666750</xdr:colOff>
          <xdr:row>142</xdr:row>
          <xdr:rowOff>28575</xdr:rowOff>
        </xdr:from>
        <xdr:to>
          <xdr:col>4</xdr:col>
          <xdr:colOff>533400</xdr:colOff>
          <xdr:row>143</xdr:row>
          <xdr:rowOff>152400</xdr:rowOff>
        </xdr:to>
        <xdr:sp macro="" textlink="">
          <xdr:nvSpPr>
            <xdr:cNvPr id="83990" name="btnRecoleccion1" hidden="1">
              <a:extLst>
                <a:ext uri="{63B3BB69-23CF-44E3-9099-C40C66FF867C}">
                  <a14:compatExt spid="_x0000_s83990"/>
                </a:ext>
                <a:ext uri="{FF2B5EF4-FFF2-40B4-BE49-F238E27FC236}">
                  <a16:creationId xmlns:a16="http://schemas.microsoft.com/office/drawing/2014/main" id="{00000000-0008-0000-0400-000016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695325</xdr:colOff>
          <xdr:row>203</xdr:row>
          <xdr:rowOff>66675</xdr:rowOff>
        </xdr:from>
        <xdr:to>
          <xdr:col>4</xdr:col>
          <xdr:colOff>561975</xdr:colOff>
          <xdr:row>205</xdr:row>
          <xdr:rowOff>0</xdr:rowOff>
        </xdr:to>
        <xdr:sp macro="" textlink="">
          <xdr:nvSpPr>
            <xdr:cNvPr id="83991" name="btnRecoleccion2" hidden="1">
              <a:extLst>
                <a:ext uri="{63B3BB69-23CF-44E3-9099-C40C66FF867C}">
                  <a14:compatExt spid="_x0000_s83991"/>
                </a:ext>
                <a:ext uri="{FF2B5EF4-FFF2-40B4-BE49-F238E27FC236}">
                  <a16:creationId xmlns:a16="http://schemas.microsoft.com/office/drawing/2014/main" id="{00000000-0008-0000-0400-000017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666750</xdr:colOff>
          <xdr:row>207</xdr:row>
          <xdr:rowOff>28575</xdr:rowOff>
        </xdr:from>
        <xdr:to>
          <xdr:col>4</xdr:col>
          <xdr:colOff>533400</xdr:colOff>
          <xdr:row>207</xdr:row>
          <xdr:rowOff>342900</xdr:rowOff>
        </xdr:to>
        <xdr:sp macro="" textlink="">
          <xdr:nvSpPr>
            <xdr:cNvPr id="83992" name="btnValorizacion1" hidden="1">
              <a:extLst>
                <a:ext uri="{63B3BB69-23CF-44E3-9099-C40C66FF867C}">
                  <a14:compatExt spid="_x0000_s83992"/>
                </a:ext>
                <a:ext uri="{FF2B5EF4-FFF2-40B4-BE49-F238E27FC236}">
                  <a16:creationId xmlns:a16="http://schemas.microsoft.com/office/drawing/2014/main" id="{00000000-0008-0000-0400-000018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704850</xdr:colOff>
          <xdr:row>293</xdr:row>
          <xdr:rowOff>85725</xdr:rowOff>
        </xdr:from>
        <xdr:to>
          <xdr:col>4</xdr:col>
          <xdr:colOff>571500</xdr:colOff>
          <xdr:row>295</xdr:row>
          <xdr:rowOff>19050</xdr:rowOff>
        </xdr:to>
        <xdr:sp macro="" textlink="">
          <xdr:nvSpPr>
            <xdr:cNvPr id="83993" name="btnValorizacion2" hidden="1">
              <a:extLst>
                <a:ext uri="{63B3BB69-23CF-44E3-9099-C40C66FF867C}">
                  <a14:compatExt spid="_x0000_s83993"/>
                </a:ext>
                <a:ext uri="{FF2B5EF4-FFF2-40B4-BE49-F238E27FC236}">
                  <a16:creationId xmlns:a16="http://schemas.microsoft.com/office/drawing/2014/main" id="{00000000-0008-0000-0400-000019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704850</xdr:colOff>
          <xdr:row>297</xdr:row>
          <xdr:rowOff>28575</xdr:rowOff>
        </xdr:from>
        <xdr:to>
          <xdr:col>4</xdr:col>
          <xdr:colOff>571500</xdr:colOff>
          <xdr:row>298</xdr:row>
          <xdr:rowOff>152400</xdr:rowOff>
        </xdr:to>
        <xdr:sp macro="" textlink="">
          <xdr:nvSpPr>
            <xdr:cNvPr id="83994" name="btnDisposicion1" hidden="1">
              <a:extLst>
                <a:ext uri="{63B3BB69-23CF-44E3-9099-C40C66FF867C}">
                  <a14:compatExt spid="_x0000_s83994"/>
                </a:ext>
                <a:ext uri="{FF2B5EF4-FFF2-40B4-BE49-F238E27FC236}">
                  <a16:creationId xmlns:a16="http://schemas.microsoft.com/office/drawing/2014/main" id="{00000000-0008-0000-0400-00001A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695325</xdr:colOff>
          <xdr:row>397</xdr:row>
          <xdr:rowOff>66675</xdr:rowOff>
        </xdr:from>
        <xdr:to>
          <xdr:col>4</xdr:col>
          <xdr:colOff>561975</xdr:colOff>
          <xdr:row>399</xdr:row>
          <xdr:rowOff>0</xdr:rowOff>
        </xdr:to>
        <xdr:sp macro="" textlink="">
          <xdr:nvSpPr>
            <xdr:cNvPr id="83995" name="btnDisposicion2" hidden="1">
              <a:extLst>
                <a:ext uri="{63B3BB69-23CF-44E3-9099-C40C66FF867C}">
                  <a14:compatExt spid="_x0000_s83995"/>
                </a:ext>
                <a:ext uri="{FF2B5EF4-FFF2-40B4-BE49-F238E27FC236}">
                  <a16:creationId xmlns:a16="http://schemas.microsoft.com/office/drawing/2014/main" id="{00000000-0008-0000-0400-00001B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695325</xdr:colOff>
          <xdr:row>401</xdr:row>
          <xdr:rowOff>28575</xdr:rowOff>
        </xdr:from>
        <xdr:to>
          <xdr:col>4</xdr:col>
          <xdr:colOff>561975</xdr:colOff>
          <xdr:row>402</xdr:row>
          <xdr:rowOff>152400</xdr:rowOff>
        </xdr:to>
        <xdr:sp macro="" textlink="">
          <xdr:nvSpPr>
            <xdr:cNvPr id="83996" name="btnGestion1" hidden="1">
              <a:extLst>
                <a:ext uri="{63B3BB69-23CF-44E3-9099-C40C66FF867C}">
                  <a14:compatExt spid="_x0000_s83996"/>
                </a:ext>
                <a:ext uri="{FF2B5EF4-FFF2-40B4-BE49-F238E27FC236}">
                  <a16:creationId xmlns:a16="http://schemas.microsoft.com/office/drawing/2014/main" id="{00000000-0008-0000-0400-00001C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733425</xdr:colOff>
          <xdr:row>471</xdr:row>
          <xdr:rowOff>57150</xdr:rowOff>
        </xdr:from>
        <xdr:to>
          <xdr:col>4</xdr:col>
          <xdr:colOff>600075</xdr:colOff>
          <xdr:row>472</xdr:row>
          <xdr:rowOff>180975</xdr:rowOff>
        </xdr:to>
        <xdr:sp macro="" textlink="">
          <xdr:nvSpPr>
            <xdr:cNvPr id="83997" name="btnGestion2" hidden="1">
              <a:extLst>
                <a:ext uri="{63B3BB69-23CF-44E3-9099-C40C66FF867C}">
                  <a14:compatExt spid="_x0000_s83997"/>
                </a:ext>
                <a:ext uri="{FF2B5EF4-FFF2-40B4-BE49-F238E27FC236}">
                  <a16:creationId xmlns:a16="http://schemas.microsoft.com/office/drawing/2014/main" id="{00000000-0008-0000-0400-00001D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685800</xdr:colOff>
          <xdr:row>475</xdr:row>
          <xdr:rowOff>38100</xdr:rowOff>
        </xdr:from>
        <xdr:to>
          <xdr:col>4</xdr:col>
          <xdr:colOff>552450</xdr:colOff>
          <xdr:row>476</xdr:row>
          <xdr:rowOff>161925</xdr:rowOff>
        </xdr:to>
        <xdr:sp macro="" textlink="">
          <xdr:nvSpPr>
            <xdr:cNvPr id="83998" name="btnEducacion1" hidden="1">
              <a:extLst>
                <a:ext uri="{63B3BB69-23CF-44E3-9099-C40C66FF867C}">
                  <a14:compatExt spid="_x0000_s83998"/>
                </a:ext>
                <a:ext uri="{FF2B5EF4-FFF2-40B4-BE49-F238E27FC236}">
                  <a16:creationId xmlns:a16="http://schemas.microsoft.com/office/drawing/2014/main" id="{00000000-0008-0000-0400-00001E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723900</xdr:colOff>
          <xdr:row>543</xdr:row>
          <xdr:rowOff>66675</xdr:rowOff>
        </xdr:from>
        <xdr:to>
          <xdr:col>4</xdr:col>
          <xdr:colOff>590550</xdr:colOff>
          <xdr:row>545</xdr:row>
          <xdr:rowOff>0</xdr:rowOff>
        </xdr:to>
        <xdr:sp macro="" textlink="">
          <xdr:nvSpPr>
            <xdr:cNvPr id="83999" name="btnEducacion2" hidden="1">
              <a:extLst>
                <a:ext uri="{63B3BB69-23CF-44E3-9099-C40C66FF867C}">
                  <a14:compatExt spid="_x0000_s83999"/>
                </a:ext>
                <a:ext uri="{FF2B5EF4-FFF2-40B4-BE49-F238E27FC236}">
                  <a16:creationId xmlns:a16="http://schemas.microsoft.com/office/drawing/2014/main" id="{00000000-0008-0000-0400-00001F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563923</xdr:colOff>
      <xdr:row>98</xdr:row>
      <xdr:rowOff>7576</xdr:rowOff>
    </xdr:from>
    <xdr:to>
      <xdr:col>4</xdr:col>
      <xdr:colOff>557429</xdr:colOff>
      <xdr:row>99</xdr:row>
      <xdr:rowOff>163440</xdr:rowOff>
    </xdr:to>
    <xdr:sp macro="" textlink="">
      <xdr:nvSpPr>
        <xdr:cNvPr id="89" name="CuadroTexto 88">
          <a:extLst>
            <a:ext uri="{FF2B5EF4-FFF2-40B4-BE49-F238E27FC236}">
              <a16:creationId xmlns:a16="http://schemas.microsoft.com/office/drawing/2014/main" id="{00000000-0008-0000-0400-000059000000}"/>
            </a:ext>
          </a:extLst>
        </xdr:cNvPr>
        <xdr:cNvSpPr txBox="1"/>
      </xdr:nvSpPr>
      <xdr:spPr>
        <a:xfrm>
          <a:off x="1004454" y="19331420"/>
          <a:ext cx="2874819" cy="346364"/>
        </a:xfrm>
        <a:prstGeom prst="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r>
            <a:rPr lang="es-PE" sz="2000" b="1" u="sng" baseline="0">
              <a:solidFill>
                <a:schemeClr val="accent2">
                  <a:lumMod val="50000"/>
                </a:schemeClr>
              </a:solidFill>
              <a:latin typeface="+mn-lt"/>
              <a:ea typeface="+mn-ea"/>
              <a:cs typeface="+mn-cs"/>
            </a:rPr>
            <a:t>CRITERIOS ESPECÍFICOS</a:t>
          </a:r>
        </a:p>
      </xdr:txBody>
    </xdr:sp>
    <xdr:clientData/>
  </xdr:twoCellAnchor>
  <xdr:twoCellAnchor>
    <xdr:from>
      <xdr:col>1</xdr:col>
      <xdr:colOff>277091</xdr:colOff>
      <xdr:row>23</xdr:row>
      <xdr:rowOff>75767</xdr:rowOff>
    </xdr:from>
    <xdr:to>
      <xdr:col>4</xdr:col>
      <xdr:colOff>269515</xdr:colOff>
      <xdr:row>25</xdr:row>
      <xdr:rowOff>41131</xdr:rowOff>
    </xdr:to>
    <xdr:sp macro="" textlink="">
      <xdr:nvSpPr>
        <xdr:cNvPr id="118" name="CuadroTexto 117">
          <a:extLst>
            <a:ext uri="{FF2B5EF4-FFF2-40B4-BE49-F238E27FC236}">
              <a16:creationId xmlns:a16="http://schemas.microsoft.com/office/drawing/2014/main" id="{00000000-0008-0000-0400-000076000000}"/>
            </a:ext>
          </a:extLst>
        </xdr:cNvPr>
        <xdr:cNvSpPr txBox="1"/>
      </xdr:nvSpPr>
      <xdr:spPr>
        <a:xfrm>
          <a:off x="717622" y="5171642"/>
          <a:ext cx="2873737" cy="346364"/>
        </a:xfrm>
        <a:prstGeom prst="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r>
            <a:rPr lang="es-PE" sz="2000" b="1" u="sng" baseline="0">
              <a:solidFill>
                <a:schemeClr val="accent2">
                  <a:lumMod val="50000"/>
                </a:schemeClr>
              </a:solidFill>
              <a:latin typeface="+mn-lt"/>
              <a:ea typeface="+mn-ea"/>
              <a:cs typeface="+mn-cs"/>
            </a:rPr>
            <a:t>CRITERIOS ESPECÍFICOS</a:t>
          </a:r>
        </a:p>
      </xdr:txBody>
    </xdr:sp>
    <xdr:clientData/>
  </xdr:twoCellAnchor>
  <xdr:twoCellAnchor>
    <xdr:from>
      <xdr:col>12</xdr:col>
      <xdr:colOff>845343</xdr:colOff>
      <xdr:row>21</xdr:row>
      <xdr:rowOff>23812</xdr:rowOff>
    </xdr:from>
    <xdr:to>
      <xdr:col>13</xdr:col>
      <xdr:colOff>602288</xdr:colOff>
      <xdr:row>25</xdr:row>
      <xdr:rowOff>155865</xdr:rowOff>
    </xdr:to>
    <xdr:sp macro="" textlink="">
      <xdr:nvSpPr>
        <xdr:cNvPr id="119" name="Flecha a la derecha con bandas 118">
          <a:extLst>
            <a:ext uri="{FF2B5EF4-FFF2-40B4-BE49-F238E27FC236}">
              <a16:creationId xmlns:a16="http://schemas.microsoft.com/office/drawing/2014/main" id="{00000000-0008-0000-0400-000077000000}"/>
            </a:ext>
          </a:extLst>
        </xdr:cNvPr>
        <xdr:cNvSpPr/>
      </xdr:nvSpPr>
      <xdr:spPr>
        <a:xfrm rot="5400000">
          <a:off x="10462586" y="4884569"/>
          <a:ext cx="894053" cy="602289"/>
        </a:xfrm>
        <a:prstGeom prst="stripedRightArrow">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PE"/>
        </a:p>
      </xdr:txBody>
    </xdr:sp>
    <xdr:clientData/>
  </xdr:twoCellAnchor>
  <xdr:twoCellAnchor>
    <xdr:from>
      <xdr:col>3</xdr:col>
      <xdr:colOff>0</xdr:colOff>
      <xdr:row>167</xdr:row>
      <xdr:rowOff>0</xdr:rowOff>
    </xdr:from>
    <xdr:to>
      <xdr:col>6</xdr:col>
      <xdr:colOff>361518</xdr:colOff>
      <xdr:row>168</xdr:row>
      <xdr:rowOff>155864</xdr:rowOff>
    </xdr:to>
    <xdr:sp macro="" textlink="">
      <xdr:nvSpPr>
        <xdr:cNvPr id="120" name="CuadroTexto 119">
          <a:extLst>
            <a:ext uri="{FF2B5EF4-FFF2-40B4-BE49-F238E27FC236}">
              <a16:creationId xmlns:a16="http://schemas.microsoft.com/office/drawing/2014/main" id="{00000000-0008-0000-0400-000078000000}"/>
            </a:ext>
          </a:extLst>
        </xdr:cNvPr>
        <xdr:cNvSpPr txBox="1"/>
      </xdr:nvSpPr>
      <xdr:spPr>
        <a:xfrm>
          <a:off x="2155031" y="32896969"/>
          <a:ext cx="2873737" cy="346364"/>
        </a:xfrm>
        <a:prstGeom prst="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r>
            <a:rPr lang="es-PE" sz="2000" b="1" u="sng" baseline="0">
              <a:solidFill>
                <a:schemeClr val="accent2">
                  <a:lumMod val="50000"/>
                </a:schemeClr>
              </a:solidFill>
              <a:latin typeface="+mn-lt"/>
              <a:ea typeface="+mn-ea"/>
              <a:cs typeface="+mn-cs"/>
            </a:rPr>
            <a:t>CRITERIOS ESPECÍFICOS</a:t>
          </a:r>
        </a:p>
      </xdr:txBody>
    </xdr:sp>
    <xdr:clientData/>
  </xdr:twoCellAnchor>
  <xdr:twoCellAnchor>
    <xdr:from>
      <xdr:col>1</xdr:col>
      <xdr:colOff>535781</xdr:colOff>
      <xdr:row>218</xdr:row>
      <xdr:rowOff>142875</xdr:rowOff>
    </xdr:from>
    <xdr:to>
      <xdr:col>4</xdr:col>
      <xdr:colOff>528205</xdr:colOff>
      <xdr:row>220</xdr:row>
      <xdr:rowOff>108239</xdr:rowOff>
    </xdr:to>
    <xdr:sp macro="" textlink="">
      <xdr:nvSpPr>
        <xdr:cNvPr id="121" name="CuadroTexto 120">
          <a:extLst>
            <a:ext uri="{FF2B5EF4-FFF2-40B4-BE49-F238E27FC236}">
              <a16:creationId xmlns:a16="http://schemas.microsoft.com/office/drawing/2014/main" id="{00000000-0008-0000-0400-000079000000}"/>
            </a:ext>
          </a:extLst>
        </xdr:cNvPr>
        <xdr:cNvSpPr txBox="1"/>
      </xdr:nvSpPr>
      <xdr:spPr>
        <a:xfrm>
          <a:off x="976312" y="43231594"/>
          <a:ext cx="2873737" cy="346364"/>
        </a:xfrm>
        <a:prstGeom prst="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r>
            <a:rPr lang="es-PE" sz="2000" b="1" u="sng" baseline="0">
              <a:solidFill>
                <a:schemeClr val="accent2">
                  <a:lumMod val="50000"/>
                </a:schemeClr>
              </a:solidFill>
              <a:latin typeface="+mn-lt"/>
              <a:ea typeface="+mn-ea"/>
              <a:cs typeface="+mn-cs"/>
            </a:rPr>
            <a:t>CRITERIOS ESPECÍFICOS</a:t>
          </a:r>
        </a:p>
      </xdr:txBody>
    </xdr:sp>
    <xdr:clientData/>
  </xdr:twoCellAnchor>
  <xdr:twoCellAnchor>
    <xdr:from>
      <xdr:col>1</xdr:col>
      <xdr:colOff>130969</xdr:colOff>
      <xdr:row>326</xdr:row>
      <xdr:rowOff>47625</xdr:rowOff>
    </xdr:from>
    <xdr:to>
      <xdr:col>4</xdr:col>
      <xdr:colOff>123393</xdr:colOff>
      <xdr:row>328</xdr:row>
      <xdr:rowOff>12989</xdr:rowOff>
    </xdr:to>
    <xdr:sp macro="" textlink="">
      <xdr:nvSpPr>
        <xdr:cNvPr id="122" name="CuadroTexto 121">
          <a:extLst>
            <a:ext uri="{FF2B5EF4-FFF2-40B4-BE49-F238E27FC236}">
              <a16:creationId xmlns:a16="http://schemas.microsoft.com/office/drawing/2014/main" id="{00000000-0008-0000-0400-00007A000000}"/>
            </a:ext>
          </a:extLst>
        </xdr:cNvPr>
        <xdr:cNvSpPr txBox="1"/>
      </xdr:nvSpPr>
      <xdr:spPr>
        <a:xfrm>
          <a:off x="571500" y="63710344"/>
          <a:ext cx="2873737" cy="346364"/>
        </a:xfrm>
        <a:prstGeom prst="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r>
            <a:rPr lang="es-PE" sz="2000" b="1" u="sng" baseline="0">
              <a:solidFill>
                <a:schemeClr val="accent2">
                  <a:lumMod val="50000"/>
                </a:schemeClr>
              </a:solidFill>
              <a:latin typeface="+mn-lt"/>
              <a:ea typeface="+mn-ea"/>
              <a:cs typeface="+mn-cs"/>
            </a:rPr>
            <a:t>CRITERIOS ESPECÍFICOS</a:t>
          </a:r>
        </a:p>
      </xdr:txBody>
    </xdr:sp>
    <xdr:clientData/>
  </xdr:twoCellAnchor>
  <xdr:twoCellAnchor>
    <xdr:from>
      <xdr:col>5</xdr:col>
      <xdr:colOff>13607</xdr:colOff>
      <xdr:row>414</xdr:row>
      <xdr:rowOff>13607</xdr:rowOff>
    </xdr:from>
    <xdr:to>
      <xdr:col>9</xdr:col>
      <xdr:colOff>6031</xdr:colOff>
      <xdr:row>415</xdr:row>
      <xdr:rowOff>169471</xdr:rowOff>
    </xdr:to>
    <xdr:sp macro="" textlink="">
      <xdr:nvSpPr>
        <xdr:cNvPr id="123" name="CuadroTexto 122">
          <a:extLst>
            <a:ext uri="{FF2B5EF4-FFF2-40B4-BE49-F238E27FC236}">
              <a16:creationId xmlns:a16="http://schemas.microsoft.com/office/drawing/2014/main" id="{00000000-0008-0000-0400-00007B000000}"/>
            </a:ext>
          </a:extLst>
        </xdr:cNvPr>
        <xdr:cNvSpPr txBox="1"/>
      </xdr:nvSpPr>
      <xdr:spPr>
        <a:xfrm>
          <a:off x="4068536" y="80499857"/>
          <a:ext cx="2877138" cy="346364"/>
        </a:xfrm>
        <a:prstGeom prst="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r>
            <a:rPr lang="es-PE" sz="2000" b="1" u="sng" baseline="0">
              <a:solidFill>
                <a:schemeClr val="accent2">
                  <a:lumMod val="50000"/>
                </a:schemeClr>
              </a:solidFill>
              <a:latin typeface="+mn-lt"/>
              <a:ea typeface="+mn-ea"/>
              <a:cs typeface="+mn-cs"/>
            </a:rPr>
            <a:t>CRITERIOS ESPECÍFICOS</a:t>
          </a:r>
        </a:p>
      </xdr:txBody>
    </xdr:sp>
    <xdr:clientData/>
  </xdr:twoCellAnchor>
  <xdr:twoCellAnchor>
    <xdr:from>
      <xdr:col>4</xdr:col>
      <xdr:colOff>623457</xdr:colOff>
      <xdr:row>416</xdr:row>
      <xdr:rowOff>121226</xdr:rowOff>
    </xdr:from>
    <xdr:to>
      <xdr:col>26</xdr:col>
      <xdr:colOff>299278</xdr:colOff>
      <xdr:row>450</xdr:row>
      <xdr:rowOff>59532</xdr:rowOff>
    </xdr:to>
    <xdr:sp macro="" textlink="">
      <xdr:nvSpPr>
        <xdr:cNvPr id="39" name="Rectángulo redondeado 38">
          <a:extLst>
            <a:ext uri="{FF2B5EF4-FFF2-40B4-BE49-F238E27FC236}">
              <a16:creationId xmlns:a16="http://schemas.microsoft.com/office/drawing/2014/main" id="{00000000-0008-0000-0400-000027000000}"/>
            </a:ext>
          </a:extLst>
        </xdr:cNvPr>
        <xdr:cNvSpPr/>
      </xdr:nvSpPr>
      <xdr:spPr>
        <a:xfrm>
          <a:off x="3945301" y="80976570"/>
          <a:ext cx="15951665" cy="6593900"/>
        </a:xfrm>
        <a:prstGeom prst="roundRect">
          <a:avLst/>
        </a:prstGeom>
        <a:solidFill>
          <a:schemeClr val="accent5">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PE" sz="2000" b="1" i="0" u="sng" strike="noStrike" kern="0" cap="none" spc="0" normalizeH="0" baseline="0" noProof="0">
              <a:ln>
                <a:noFill/>
              </a:ln>
              <a:solidFill>
                <a:srgbClr val="C0504D">
                  <a:lumMod val="50000"/>
                </a:srgbClr>
              </a:solidFill>
              <a:effectLst/>
              <a:uLnTx/>
              <a:uFillTx/>
              <a:latin typeface="+mn-lt"/>
              <a:ea typeface="+mn-ea"/>
              <a:cs typeface="+mn-cs"/>
            </a:rPr>
            <a:t>Se  debe considerar:</a:t>
          </a:r>
          <a:endParaRPr kumimoji="0" lang="es-PE" sz="1800" b="1" i="0" u="sng" strike="noStrike" kern="0" cap="none" spc="0" normalizeH="0" baseline="0" noProof="0">
            <a:ln>
              <a:noFill/>
            </a:ln>
            <a:solidFill>
              <a:srgbClr val="C0504D">
                <a:lumMod val="50000"/>
              </a:srgbClr>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s-PE" sz="2000" b="1" u="sng" baseline="0">
              <a:solidFill>
                <a:schemeClr val="accent2">
                  <a:lumMod val="50000"/>
                </a:schemeClr>
              </a:solidFill>
              <a:latin typeface="+mn-lt"/>
              <a:ea typeface="+mn-ea"/>
              <a:cs typeface="+mn-cs"/>
            </a:rPr>
            <a:t>Gestión Institucional</a:t>
          </a:r>
        </a:p>
        <a:p>
          <a:pPr marL="0" marR="0" lvl="0" indent="0" algn="l" defTabSz="914400" eaLnBrk="1" fontAlgn="auto" latinLnBrk="0" hangingPunct="1">
            <a:lnSpc>
              <a:spcPct val="100000"/>
            </a:lnSpc>
            <a:spcBef>
              <a:spcPts val="0"/>
            </a:spcBef>
            <a:spcAft>
              <a:spcPts val="0"/>
            </a:spcAft>
            <a:buClrTx/>
            <a:buSzTx/>
            <a:buFontTx/>
            <a:buNone/>
            <a:tabLst/>
            <a:defRPr/>
          </a:pPr>
          <a:r>
            <a:rPr lang="es-PE" sz="1800" b="1" u="none" baseline="0">
              <a:solidFill>
                <a:sysClr val="windowText" lastClr="000000"/>
              </a:solidFill>
              <a:latin typeface="+mn-lt"/>
              <a:ea typeface="+mn-ea"/>
              <a:cs typeface="+mn-cs"/>
            </a:rPr>
            <a:t>• </a:t>
          </a:r>
          <a:r>
            <a:rPr lang="es-PE" sz="1800" b="0" u="none" baseline="0">
              <a:solidFill>
                <a:sysClr val="windowText" lastClr="000000"/>
              </a:solidFill>
              <a:latin typeface="+mn-lt"/>
              <a:ea typeface="+mn-ea"/>
              <a:cs typeface="+mn-cs"/>
            </a:rPr>
            <a:t>Diseño de la organización o modelo de gestión institucional del servicio de limpieza pública :  administración directa municipal,  Órgano Público Desconcentrado, Órgano Público Descentralizado u otro modelo que asegure la eficiencia del servicio.</a:t>
          </a:r>
        </a:p>
        <a:p>
          <a:pPr marL="0" marR="0" lvl="0" indent="0" algn="l" defTabSz="914400" eaLnBrk="1" fontAlgn="auto" latinLnBrk="0" hangingPunct="1">
            <a:lnSpc>
              <a:spcPct val="100000"/>
            </a:lnSpc>
            <a:spcBef>
              <a:spcPts val="0"/>
            </a:spcBef>
            <a:spcAft>
              <a:spcPts val="0"/>
            </a:spcAft>
            <a:buClrTx/>
            <a:buSzTx/>
            <a:buFontTx/>
            <a:buNone/>
            <a:tabLst/>
            <a:defRPr/>
          </a:pPr>
          <a:r>
            <a:rPr lang="es-PE" sz="1800" b="0" u="none" baseline="0">
              <a:solidFill>
                <a:sysClr val="windowText" lastClr="000000"/>
              </a:solidFill>
              <a:latin typeface="+mn-lt"/>
              <a:ea typeface="+mn-ea"/>
              <a:cs typeface="+mn-cs"/>
            </a:rPr>
            <a:t>•  Elaboración y/o actualización de instrumentos de gestión administrativa  (ROF, estatutos, ordenanzas, acuerdos y otros que coadyuven el  proceso).</a:t>
          </a:r>
        </a:p>
        <a:p>
          <a:pPr marL="0" marR="0" lvl="0" indent="0" algn="l" defTabSz="914400" eaLnBrk="1" fontAlgn="auto" latinLnBrk="0" hangingPunct="1">
            <a:lnSpc>
              <a:spcPct val="100000"/>
            </a:lnSpc>
            <a:spcBef>
              <a:spcPts val="0"/>
            </a:spcBef>
            <a:spcAft>
              <a:spcPts val="0"/>
            </a:spcAft>
            <a:buClrTx/>
            <a:buSzTx/>
            <a:buFontTx/>
            <a:buNone/>
            <a:tabLst/>
            <a:defRPr/>
          </a:pPr>
          <a:endParaRPr lang="es-PE" sz="2000" b="1" u="sng" baseline="0">
            <a:solidFill>
              <a:schemeClr val="accent2">
                <a:lumMod val="50000"/>
              </a:schemeClr>
            </a:solidFill>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s-PE" sz="2000" b="1" u="sng" baseline="0">
              <a:solidFill>
                <a:schemeClr val="accent2">
                  <a:lumMod val="50000"/>
                </a:schemeClr>
              </a:solidFill>
              <a:latin typeface="+mn-lt"/>
              <a:ea typeface="+mn-ea"/>
              <a:cs typeface="+mn-cs"/>
            </a:rPr>
            <a:t>Desarrollo de Capacidades</a:t>
          </a:r>
          <a:br>
            <a:rPr lang="es-PE" sz="2000" b="1" u="sng" baseline="0">
              <a:solidFill>
                <a:schemeClr val="accent2">
                  <a:lumMod val="50000"/>
                </a:schemeClr>
              </a:solidFill>
              <a:latin typeface="+mn-lt"/>
              <a:ea typeface="+mn-ea"/>
              <a:cs typeface="+mn-cs"/>
            </a:rPr>
          </a:br>
          <a:r>
            <a:rPr lang="es-PE" sz="1800" b="0" baseline="0">
              <a:solidFill>
                <a:sysClr val="windowText" lastClr="000000"/>
              </a:solidFill>
              <a:effectLst/>
              <a:latin typeface="+mn-lt"/>
              <a:ea typeface="+mn-ea"/>
              <a:cs typeface="+mn-cs"/>
            </a:rPr>
            <a:t>• Formulación</a:t>
          </a:r>
          <a:r>
            <a:rPr lang="es-PE" sz="1800" b="0" i="0">
              <a:solidFill>
                <a:sysClr val="windowText" lastClr="000000"/>
              </a:solidFill>
              <a:effectLst/>
              <a:latin typeface="+mn-lt"/>
              <a:ea typeface="+mn-ea"/>
              <a:cs typeface="+mn-cs"/>
            </a:rPr>
            <a:t> e implementación de planes y manuales operativos de los procesos de barrido, recolección, aprovechamiento, valorización  y disposición final de residuos solidos. </a:t>
          </a:r>
          <a:endParaRPr lang="es-PE" sz="1800">
            <a:solidFill>
              <a:sysClr val="windowText" lastClr="000000"/>
            </a:solidFill>
            <a:effectLst/>
          </a:endParaRPr>
        </a:p>
        <a:p>
          <a:pPr rtl="0" eaLnBrk="1" fontAlgn="b" latinLnBrk="0" hangingPunct="1"/>
          <a:r>
            <a:rPr lang="es-PE" sz="1800" b="0" i="0">
              <a:solidFill>
                <a:sysClr val="windowText" lastClr="000000"/>
              </a:solidFill>
              <a:effectLst/>
              <a:latin typeface="+mn-lt"/>
              <a:ea typeface="+mn-ea"/>
              <a:cs typeface="+mn-cs"/>
            </a:rPr>
            <a:t>• Implementación de un programa de capacitación y asistencia técnica al personal administrativo, técnico y operativo vinculado al servicio de</a:t>
          </a:r>
          <a:r>
            <a:rPr lang="es-PE" sz="1800" b="0" i="0" baseline="0">
              <a:solidFill>
                <a:sysClr val="windowText" lastClr="000000"/>
              </a:solidFill>
              <a:effectLst/>
              <a:latin typeface="+mn-lt"/>
              <a:ea typeface="+mn-ea"/>
              <a:cs typeface="+mn-cs"/>
            </a:rPr>
            <a:t> l</a:t>
          </a:r>
          <a:r>
            <a:rPr lang="es-PE" sz="1800" b="0" i="0">
              <a:solidFill>
                <a:sysClr val="windowText" lastClr="000000"/>
              </a:solidFill>
              <a:effectLst/>
              <a:latin typeface="+mn-lt"/>
              <a:ea typeface="+mn-ea"/>
              <a:cs typeface="+mn-cs"/>
            </a:rPr>
            <a:t>impieza pública</a:t>
          </a:r>
        </a:p>
        <a:p>
          <a:pPr rtl="0" eaLnBrk="1" fontAlgn="b" latinLnBrk="0" hangingPunct="1"/>
          <a:r>
            <a:rPr lang="es-PE" sz="1800" b="0" i="0">
              <a:solidFill>
                <a:sysClr val="windowText" lastClr="000000"/>
              </a:solidFill>
              <a:effectLst/>
              <a:latin typeface="+mn-lt"/>
              <a:ea typeface="+mn-ea"/>
              <a:cs typeface="+mn-cs"/>
            </a:rPr>
            <a:t>• Implementación de un programa de costeo del servicio (incluye estructura de costos, base de datos de contribuyentes y determinación de arbitrios y cobranza).</a:t>
          </a:r>
        </a:p>
        <a:p>
          <a:pPr rtl="0" eaLnBrk="1" fontAlgn="b" latinLnBrk="0" hangingPunct="1"/>
          <a:r>
            <a:rPr lang="es-PE" sz="1800" b="0" i="0">
              <a:solidFill>
                <a:sysClr val="windowText" lastClr="000000"/>
              </a:solidFill>
              <a:effectLst/>
              <a:latin typeface="+mn-lt"/>
              <a:ea typeface="+mn-ea"/>
              <a:cs typeface="+mn-cs"/>
            </a:rPr>
            <a:t>• Implementación de un sistema contable por centros de costos para control de presupuestos  y actividades del  servicio de  limpieza  pública.</a:t>
          </a:r>
        </a:p>
        <a:p>
          <a:pPr rtl="0" eaLnBrk="1" fontAlgn="b" latinLnBrk="0" hangingPunct="1"/>
          <a:endParaRPr lang="es-PE" sz="1800">
            <a:solidFill>
              <a:sysClr val="windowText" lastClr="000000"/>
            </a:solidFill>
            <a:effectLst/>
          </a:endParaRPr>
        </a:p>
        <a:p>
          <a:pPr rtl="0" eaLnBrk="1" fontAlgn="b" latinLnBrk="0" hangingPunct="1"/>
          <a:r>
            <a:rPr kumimoji="0" lang="es-PE" sz="2000" b="1" i="0" u="sng" strike="noStrike" kern="0" cap="none" spc="0" normalizeH="0" baseline="0" noProof="0">
              <a:ln>
                <a:noFill/>
              </a:ln>
              <a:solidFill>
                <a:srgbClr val="C0504D">
                  <a:lumMod val="50000"/>
                </a:srgbClr>
              </a:solidFill>
              <a:effectLst/>
              <a:uLnTx/>
              <a:uFillTx/>
              <a:latin typeface="+mn-lt"/>
              <a:ea typeface="+mn-ea"/>
              <a:cs typeface="+mn-cs"/>
            </a:rPr>
            <a:t>Supervisión del Servicio</a:t>
          </a:r>
          <a:endParaRPr lang="es-PE" sz="1800">
            <a:solidFill>
              <a:sysClr val="windowText" lastClr="000000"/>
            </a:solidFill>
            <a:effectLst/>
          </a:endParaRPr>
        </a:p>
        <a:p>
          <a:pPr rtl="0" eaLnBrk="1" fontAlgn="b" latinLnBrk="0" hangingPunct="1"/>
          <a:r>
            <a:rPr lang="es-PE" sz="1800">
              <a:solidFill>
                <a:sysClr val="windowText" lastClr="000000"/>
              </a:solidFill>
              <a:effectLst/>
            </a:rPr>
            <a:t>• Adquisición de equipos de computo (incluye mueble), equipos y software para la supervisión y monitoreo del servicio de limpieza publica. </a:t>
          </a:r>
        </a:p>
        <a:p>
          <a:pPr rtl="0" eaLnBrk="1" fontAlgn="b" latinLnBrk="0" hangingPunct="1"/>
          <a:r>
            <a:rPr lang="es-PE" sz="1800">
              <a:solidFill>
                <a:sysClr val="windowText" lastClr="000000"/>
              </a:solidFill>
              <a:effectLst/>
            </a:rPr>
            <a:t>• Adquisición de vehículo para la supervisión y monitoreo del servicio de limpieza Pública</a:t>
          </a:r>
          <a:r>
            <a:rPr lang="es-PE" sz="1800" baseline="0">
              <a:solidFill>
                <a:sysClr val="windowText" lastClr="000000"/>
              </a:solidFill>
              <a:effectLst/>
            </a:rPr>
            <a:t> .  Podrá seleccionar 01 camioneta o 01 moto lineal, dependiendo de las condiciones de las vías de acceso, distancia hacia las infraestructuras, debiendo garantizar los gastos de operación y mantenimiento (chofer, combustible, repuestos, etc.)</a:t>
          </a:r>
          <a:endParaRPr lang="es-PE" sz="1800">
            <a:solidFill>
              <a:sysClr val="windowText" lastClr="000000"/>
            </a:solidFill>
            <a:effectLst/>
          </a:endParaRPr>
        </a:p>
        <a:p>
          <a:pPr rtl="0" eaLnBrk="1" fontAlgn="b" latinLnBrk="0" hangingPunct="1"/>
          <a:r>
            <a:rPr lang="es-PE" sz="1800">
              <a:solidFill>
                <a:sysClr val="windowText" lastClr="000000"/>
              </a:solidFill>
              <a:effectLst/>
            </a:rPr>
            <a:t>• Formulación de normas y sanciones asociadas al servicio de limpieza</a:t>
          </a:r>
          <a:r>
            <a:rPr lang="es-PE" sz="1800" baseline="0">
              <a:solidFill>
                <a:sysClr val="windowText" lastClr="000000"/>
              </a:solidFill>
              <a:effectLst/>
            </a:rPr>
            <a:t> p</a:t>
          </a:r>
          <a:r>
            <a:rPr lang="es-PE" sz="1800">
              <a:solidFill>
                <a:sysClr val="windowText" lastClr="000000"/>
              </a:solidFill>
              <a:effectLst/>
            </a:rPr>
            <a:t>ública.</a:t>
          </a:r>
        </a:p>
        <a:p>
          <a:pPr rtl="0" eaLnBrk="1" fontAlgn="b" latinLnBrk="0" hangingPunct="1"/>
          <a:r>
            <a:rPr lang="es-PE" sz="1800">
              <a:solidFill>
                <a:sysClr val="windowText" lastClr="000000"/>
              </a:solidFill>
              <a:effectLst/>
            </a:rPr>
            <a:t>• Formulación de Indicadores y diseño de registros del servicio para cada uno de sus procesos.</a:t>
          </a:r>
        </a:p>
      </xdr:txBody>
    </xdr:sp>
    <xdr:clientData/>
  </xdr:twoCellAnchor>
  <xdr:twoCellAnchor>
    <xdr:from>
      <xdr:col>1</xdr:col>
      <xdr:colOff>588818</xdr:colOff>
      <xdr:row>494</xdr:row>
      <xdr:rowOff>0</xdr:rowOff>
    </xdr:from>
    <xdr:to>
      <xdr:col>4</xdr:col>
      <xdr:colOff>563924</xdr:colOff>
      <xdr:row>495</xdr:row>
      <xdr:rowOff>155864</xdr:rowOff>
    </xdr:to>
    <xdr:sp macro="" textlink="">
      <xdr:nvSpPr>
        <xdr:cNvPr id="124" name="CuadroTexto 123">
          <a:extLst>
            <a:ext uri="{FF2B5EF4-FFF2-40B4-BE49-F238E27FC236}">
              <a16:creationId xmlns:a16="http://schemas.microsoft.com/office/drawing/2014/main" id="{00000000-0008-0000-0400-00007C000000}"/>
            </a:ext>
          </a:extLst>
        </xdr:cNvPr>
        <xdr:cNvSpPr txBox="1"/>
      </xdr:nvSpPr>
      <xdr:spPr>
        <a:xfrm>
          <a:off x="1021773" y="95977364"/>
          <a:ext cx="2867242" cy="346364"/>
        </a:xfrm>
        <a:prstGeom prst="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r>
            <a:rPr lang="es-PE" sz="2000" b="1" u="sng" baseline="0">
              <a:solidFill>
                <a:schemeClr val="accent2">
                  <a:lumMod val="50000"/>
                </a:schemeClr>
              </a:solidFill>
              <a:latin typeface="+mn-lt"/>
              <a:ea typeface="+mn-ea"/>
              <a:cs typeface="+mn-cs"/>
            </a:rPr>
            <a:t>CRITERIOS ESPECÍFICOS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243691</xdr:colOff>
      <xdr:row>11</xdr:row>
      <xdr:rowOff>82879</xdr:rowOff>
    </xdr:from>
    <xdr:to>
      <xdr:col>5</xdr:col>
      <xdr:colOff>733548</xdr:colOff>
      <xdr:row>20</xdr:row>
      <xdr:rowOff>186293</xdr:rowOff>
    </xdr:to>
    <xdr:sp macro="" textlink="">
      <xdr:nvSpPr>
        <xdr:cNvPr id="2" name="Llamada de flecha a la derecha 1">
          <a:extLst>
            <a:ext uri="{FF2B5EF4-FFF2-40B4-BE49-F238E27FC236}">
              <a16:creationId xmlns:a16="http://schemas.microsoft.com/office/drawing/2014/main" id="{00000000-0008-0000-0500-000002000000}"/>
            </a:ext>
          </a:extLst>
        </xdr:cNvPr>
        <xdr:cNvSpPr/>
      </xdr:nvSpPr>
      <xdr:spPr>
        <a:xfrm>
          <a:off x="853291" y="2035504"/>
          <a:ext cx="3414032" cy="1817914"/>
        </a:xfrm>
        <a:prstGeom prst="rightArrowCallout">
          <a:avLst>
            <a:gd name="adj1" fmla="val 22646"/>
            <a:gd name="adj2" fmla="val 20722"/>
            <a:gd name="adj3" fmla="val 44143"/>
            <a:gd name="adj4" fmla="val 61563"/>
          </a:avLst>
        </a:prstGeom>
        <a:solidFill>
          <a:schemeClr val="tx2">
            <a:lumMod val="60000"/>
            <a:lumOff val="4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PE" sz="2000" b="1" baseline="0">
              <a:solidFill>
                <a:schemeClr val="lt1"/>
              </a:solidFill>
              <a:latin typeface="+mn-lt"/>
              <a:ea typeface="+mn-ea"/>
              <a:cs typeface="+mn-cs"/>
            </a:rPr>
            <a:t>ESTUDIO DE SELECCIÓN DE ÁREAS</a:t>
          </a:r>
        </a:p>
      </xdr:txBody>
    </xdr:sp>
    <xdr:clientData/>
  </xdr:twoCellAnchor>
  <xdr:twoCellAnchor>
    <xdr:from>
      <xdr:col>1</xdr:col>
      <xdr:colOff>157103</xdr:colOff>
      <xdr:row>50</xdr:row>
      <xdr:rowOff>117515</xdr:rowOff>
    </xdr:from>
    <xdr:to>
      <xdr:col>6</xdr:col>
      <xdr:colOff>103909</xdr:colOff>
      <xdr:row>60</xdr:row>
      <xdr:rowOff>76694</xdr:rowOff>
    </xdr:to>
    <xdr:sp macro="" textlink="">
      <xdr:nvSpPr>
        <xdr:cNvPr id="3" name="Llamada de flecha a la derecha 2">
          <a:extLst>
            <a:ext uri="{FF2B5EF4-FFF2-40B4-BE49-F238E27FC236}">
              <a16:creationId xmlns:a16="http://schemas.microsoft.com/office/drawing/2014/main" id="{00000000-0008-0000-0500-000003000000}"/>
            </a:ext>
          </a:extLst>
        </xdr:cNvPr>
        <xdr:cNvSpPr/>
      </xdr:nvSpPr>
      <xdr:spPr>
        <a:xfrm>
          <a:off x="766703" y="9642515"/>
          <a:ext cx="3632981" cy="1864179"/>
        </a:xfrm>
        <a:prstGeom prst="rightArrowCallout">
          <a:avLst>
            <a:gd name="adj1" fmla="val 21112"/>
            <a:gd name="adj2" fmla="val 20722"/>
            <a:gd name="adj3" fmla="val 45306"/>
            <a:gd name="adj4" fmla="val 62241"/>
          </a:avLst>
        </a:prstGeom>
        <a:solidFill>
          <a:schemeClr val="tx2">
            <a:lumMod val="60000"/>
            <a:lumOff val="4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PE" sz="2000" b="1" baseline="0">
              <a:solidFill>
                <a:schemeClr val="lt1"/>
              </a:solidFill>
              <a:latin typeface="+mn-lt"/>
              <a:ea typeface="+mn-ea"/>
              <a:cs typeface="+mn-cs"/>
            </a:rPr>
            <a:t>ESTUDIO DE CARACTERIZACIÓN DE RESIDUOS SÓLIDOS MUNICIPALES</a:t>
          </a:r>
        </a:p>
      </xdr:txBody>
    </xdr:sp>
    <xdr:clientData/>
  </xdr:twoCellAnchor>
  <xdr:twoCellAnchor>
    <xdr:from>
      <xdr:col>6</xdr:col>
      <xdr:colOff>42058</xdr:colOff>
      <xdr:row>6</xdr:row>
      <xdr:rowOff>1</xdr:rowOff>
    </xdr:from>
    <xdr:to>
      <xdr:col>26</xdr:col>
      <xdr:colOff>710046</xdr:colOff>
      <xdr:row>26</xdr:row>
      <xdr:rowOff>51954</xdr:rowOff>
    </xdr:to>
    <xdr:sp macro="" textlink="">
      <xdr:nvSpPr>
        <xdr:cNvPr id="4" name="Rectángulo redondeado 3">
          <a:extLst>
            <a:ext uri="{FF2B5EF4-FFF2-40B4-BE49-F238E27FC236}">
              <a16:creationId xmlns:a16="http://schemas.microsoft.com/office/drawing/2014/main" id="{00000000-0008-0000-0500-000004000000}"/>
            </a:ext>
          </a:extLst>
        </xdr:cNvPr>
        <xdr:cNvSpPr/>
      </xdr:nvSpPr>
      <xdr:spPr>
        <a:xfrm>
          <a:off x="4337833" y="1000126"/>
          <a:ext cx="15907988" cy="3861953"/>
        </a:xfrm>
        <a:prstGeom prst="round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s-PE" sz="2000" b="1" baseline="0">
              <a:solidFill>
                <a:schemeClr val="accent2">
                  <a:lumMod val="50000"/>
                </a:schemeClr>
              </a:solidFill>
            </a:rPr>
            <a:t>CRITERIOS PARA LA ELABORACIÓN DEL ESTUDIO DE SELECCIÓN DE ÁREAS</a:t>
          </a:r>
        </a:p>
        <a:p>
          <a:pPr marL="0" marR="0" indent="0" algn="ctr" defTabSz="914400" eaLnBrk="1" fontAlgn="auto" latinLnBrk="0" hangingPunct="1">
            <a:lnSpc>
              <a:spcPct val="100000"/>
            </a:lnSpc>
            <a:spcBef>
              <a:spcPts val="0"/>
            </a:spcBef>
            <a:spcAft>
              <a:spcPts val="0"/>
            </a:spcAft>
            <a:buClrTx/>
            <a:buSzTx/>
            <a:buFontTx/>
            <a:buNone/>
            <a:tabLst/>
            <a:defRPr/>
          </a:pPr>
          <a:endParaRPr lang="es-PE" sz="1600" b="1" baseline="0">
            <a:solidFill>
              <a:schemeClr val="accent2">
                <a:lumMod val="50000"/>
              </a:schemeClr>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s-PE" sz="1600" baseline="0">
              <a:solidFill>
                <a:sysClr val="windowText" lastClr="000000"/>
              </a:solidFill>
              <a:effectLst/>
              <a:latin typeface="+mn-lt"/>
              <a:ea typeface="+mn-ea"/>
              <a:cs typeface="+mn-cs"/>
            </a:rPr>
            <a:t>•   </a:t>
          </a:r>
          <a:r>
            <a:rPr lang="es-PE" sz="2000" baseline="0">
              <a:solidFill>
                <a:sysClr val="windowText" lastClr="000000"/>
              </a:solidFill>
              <a:effectLst/>
              <a:latin typeface="+mn-lt"/>
              <a:ea typeface="+mn-ea"/>
              <a:cs typeface="+mn-cs"/>
            </a:rPr>
            <a:t>Se tendrá en cuenta dos o más terrenos pre-elegidos como alternativas.</a:t>
          </a:r>
        </a:p>
        <a:p>
          <a:pPr marL="0" marR="0" lvl="0" indent="0" algn="l" defTabSz="914400" eaLnBrk="1" fontAlgn="auto" latinLnBrk="0" hangingPunct="1">
            <a:lnSpc>
              <a:spcPct val="100000"/>
            </a:lnSpc>
            <a:spcBef>
              <a:spcPts val="0"/>
            </a:spcBef>
            <a:spcAft>
              <a:spcPts val="0"/>
            </a:spcAft>
            <a:buClrTx/>
            <a:buSzTx/>
            <a:buFontTx/>
            <a:buNone/>
            <a:tabLst/>
            <a:defRPr/>
          </a:pPr>
          <a:r>
            <a:rPr lang="es-PE" sz="2000" baseline="0">
              <a:solidFill>
                <a:sysClr val="windowText" lastClr="000000"/>
              </a:solidFill>
              <a:effectLst/>
              <a:latin typeface="+mn-lt"/>
              <a:ea typeface="+mn-ea"/>
              <a:cs typeface="+mn-cs"/>
            </a:rPr>
            <a:t>•  Para la selección de áreas para la construcción de infraestructuras de disposición final, deberá tener en cuenta lo establecido en el artículo 109 del Reglamento del Decreto Legislativo Nº 1278, así mismo deberá considerar las condiciones para la ubicación de dichas infraestructuras según  lo establecido en el artículo 110 del citado reglamento.  Entre ellas, deberá tramitar el Certificado  de Inexistencia de Restos Arqueológicos  (CIRA) y el Certificado sobre la preservación de áreas naturales protegidas emitido por el SERNANP.</a:t>
          </a:r>
        </a:p>
        <a:p>
          <a:pPr marL="0" marR="0" lvl="0" indent="0" algn="l" defTabSz="914400" eaLnBrk="1" fontAlgn="auto" latinLnBrk="0" hangingPunct="1">
            <a:lnSpc>
              <a:spcPct val="100000"/>
            </a:lnSpc>
            <a:spcBef>
              <a:spcPts val="0"/>
            </a:spcBef>
            <a:spcAft>
              <a:spcPts val="0"/>
            </a:spcAft>
            <a:buClrTx/>
            <a:buSzTx/>
            <a:buFontTx/>
            <a:buNone/>
            <a:tabLst/>
            <a:defRPr/>
          </a:pPr>
          <a:r>
            <a:rPr lang="es-PE" sz="2000" baseline="0">
              <a:solidFill>
                <a:sysClr val="windowText" lastClr="000000"/>
              </a:solidFill>
              <a:effectLst/>
              <a:latin typeface="+mn-lt"/>
              <a:ea typeface="+mn-ea"/>
              <a:cs typeface="+mn-cs"/>
            </a:rPr>
            <a:t>• Se deberá recabar la información sobre la propiedad del terreno de las opciones  pre- elegidas a fin de tener en cuenta las gestiones administrativas para conseguir la titularidad del predio a favor del titular del proyecto.</a:t>
          </a:r>
        </a:p>
        <a:p>
          <a:pPr marL="0" marR="0" lvl="0" indent="0" algn="l" defTabSz="914400" eaLnBrk="1" fontAlgn="auto" latinLnBrk="0" hangingPunct="1">
            <a:lnSpc>
              <a:spcPct val="100000"/>
            </a:lnSpc>
            <a:spcBef>
              <a:spcPts val="0"/>
            </a:spcBef>
            <a:spcAft>
              <a:spcPts val="0"/>
            </a:spcAft>
            <a:buClrTx/>
            <a:buSzTx/>
            <a:buFontTx/>
            <a:buNone/>
            <a:tabLst/>
            <a:defRPr/>
          </a:pPr>
          <a:endParaRPr lang="es-PE" sz="2000" baseline="0">
            <a:solidFill>
              <a:sysClr val="windowText" lastClr="000000"/>
            </a:solidFill>
            <a:effectLst/>
            <a:latin typeface="+mn-lt"/>
            <a:ea typeface="+mn-ea"/>
            <a:cs typeface="+mn-cs"/>
          </a:endParaRPr>
        </a:p>
      </xdr:txBody>
    </xdr:sp>
    <xdr:clientData/>
  </xdr:twoCellAnchor>
  <xdr:twoCellAnchor>
    <xdr:from>
      <xdr:col>6</xdr:col>
      <xdr:colOff>211527</xdr:colOff>
      <xdr:row>45</xdr:row>
      <xdr:rowOff>184316</xdr:rowOff>
    </xdr:from>
    <xdr:to>
      <xdr:col>26</xdr:col>
      <xdr:colOff>710046</xdr:colOff>
      <xdr:row>64</xdr:row>
      <xdr:rowOff>17319</xdr:rowOff>
    </xdr:to>
    <xdr:sp macro="" textlink="">
      <xdr:nvSpPr>
        <xdr:cNvPr id="5" name="Rectángulo redondeado 4">
          <a:extLst>
            <a:ext uri="{FF2B5EF4-FFF2-40B4-BE49-F238E27FC236}">
              <a16:creationId xmlns:a16="http://schemas.microsoft.com/office/drawing/2014/main" id="{00000000-0008-0000-0500-000005000000}"/>
            </a:ext>
          </a:extLst>
        </xdr:cNvPr>
        <xdr:cNvSpPr/>
      </xdr:nvSpPr>
      <xdr:spPr>
        <a:xfrm>
          <a:off x="4507302" y="8613941"/>
          <a:ext cx="15738519" cy="3595378"/>
        </a:xfrm>
        <a:prstGeom prst="round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PE" sz="2000" b="1" baseline="0">
              <a:solidFill>
                <a:schemeClr val="accent2">
                  <a:lumMod val="50000"/>
                </a:schemeClr>
              </a:solidFill>
              <a:latin typeface="+mn-lt"/>
              <a:ea typeface="+mn-ea"/>
              <a:cs typeface="+mn-cs"/>
            </a:rPr>
            <a:t>CONTENIDO DEL ESTUDIO DE CARACTERIZACIÓN DE RESIDUOS SÓLIDOS MUNICIPALES</a:t>
          </a:r>
        </a:p>
        <a:p>
          <a:pPr marL="0" marR="0" lvl="0" indent="0" algn="ctr" defTabSz="914400" eaLnBrk="1" fontAlgn="auto" latinLnBrk="0" hangingPunct="1">
            <a:lnSpc>
              <a:spcPct val="100000"/>
            </a:lnSpc>
            <a:spcBef>
              <a:spcPts val="0"/>
            </a:spcBef>
            <a:spcAft>
              <a:spcPts val="0"/>
            </a:spcAft>
            <a:buClrTx/>
            <a:buSzTx/>
            <a:buFontTx/>
            <a:buNone/>
            <a:tabLst/>
            <a:defRPr/>
          </a:pPr>
          <a:endParaRPr lang="es-PE" sz="2000" b="1" baseline="0">
            <a:solidFill>
              <a:schemeClr val="accent2">
                <a:lumMod val="50000"/>
              </a:schemeClr>
            </a:solidFill>
            <a:latin typeface="+mn-lt"/>
            <a:ea typeface="+mn-ea"/>
            <a:cs typeface="+mn-cs"/>
          </a:endParaRPr>
        </a:p>
        <a:p>
          <a:pPr algn="l"/>
          <a:r>
            <a:rPr lang="es-PE" sz="2000" b="0" baseline="0">
              <a:solidFill>
                <a:sysClr val="windowText" lastClr="000000"/>
              </a:solidFill>
            </a:rPr>
            <a:t>• Determinar la generación per cápita de residuos sólidos domiciliarios.</a:t>
          </a:r>
        </a:p>
        <a:p>
          <a:pPr algn="l"/>
          <a:r>
            <a:rPr lang="es-PE" sz="2000" b="0" baseline="0">
              <a:solidFill>
                <a:sysClr val="windowText" lastClr="000000"/>
              </a:solidFill>
            </a:rPr>
            <a:t>• Determinar la densidad suelta de los residuos sólidos domiciliarios. </a:t>
          </a:r>
        </a:p>
        <a:p>
          <a:pPr algn="l"/>
          <a:r>
            <a:rPr lang="es-PE" sz="2000" b="0" baseline="0">
              <a:solidFill>
                <a:sysClr val="windowText" lastClr="000000"/>
              </a:solidFill>
            </a:rPr>
            <a:t>• Determinar la composición física de residuos sólidos domiciliarios. </a:t>
          </a:r>
        </a:p>
        <a:p>
          <a:pPr algn="l"/>
          <a:r>
            <a:rPr lang="es-PE" sz="2000" b="0" baseline="0">
              <a:solidFill>
                <a:sysClr val="windowText" lastClr="000000"/>
              </a:solidFill>
            </a:rPr>
            <a:t>• Determinar la generación de residuos sólidos no domiciliarios. </a:t>
          </a:r>
        </a:p>
        <a:p>
          <a:pPr algn="l"/>
          <a:r>
            <a:rPr lang="es-PE" sz="2000" b="0" baseline="0">
              <a:solidFill>
                <a:sysClr val="windowText" lastClr="000000"/>
              </a:solidFill>
            </a:rPr>
            <a:t>• Determinar el porcentaje de humedad y carbono orgánico total de los residuos sólidos orgánicos (domiciliarios y de mercados).</a:t>
          </a:r>
        </a:p>
        <a:p>
          <a:pPr algn="l"/>
          <a:endParaRPr lang="es-PE" sz="2000" b="0" baseline="0">
            <a:solidFill>
              <a:sysClr val="windowText" lastClr="000000"/>
            </a:solidFill>
          </a:endParaRPr>
        </a:p>
      </xdr:txBody>
    </xdr:sp>
    <xdr:clientData/>
  </xdr:twoCellAnchor>
  <xdr:twoCellAnchor>
    <xdr:from>
      <xdr:col>14</xdr:col>
      <xdr:colOff>550294</xdr:colOff>
      <xdr:row>25</xdr:row>
      <xdr:rowOff>141070</xdr:rowOff>
    </xdr:from>
    <xdr:to>
      <xdr:col>15</xdr:col>
      <xdr:colOff>385767</xdr:colOff>
      <xdr:row>28</xdr:row>
      <xdr:rowOff>100249</xdr:rowOff>
    </xdr:to>
    <xdr:sp macro="" textlink="">
      <xdr:nvSpPr>
        <xdr:cNvPr id="6" name="Flecha a la derecha con bandas 5">
          <a:extLst>
            <a:ext uri="{FF2B5EF4-FFF2-40B4-BE49-F238E27FC236}">
              <a16:creationId xmlns:a16="http://schemas.microsoft.com/office/drawing/2014/main" id="{00000000-0008-0000-0500-000006000000}"/>
            </a:ext>
          </a:extLst>
        </xdr:cNvPr>
        <xdr:cNvSpPr/>
      </xdr:nvSpPr>
      <xdr:spPr>
        <a:xfrm rot="5400000">
          <a:off x="10975466" y="4727298"/>
          <a:ext cx="530679" cy="597473"/>
        </a:xfrm>
        <a:prstGeom prst="stripedRightArrow">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PE"/>
        </a:p>
      </xdr:txBody>
    </xdr:sp>
    <xdr:clientData/>
  </xdr:twoCellAnchor>
  <xdr:twoCellAnchor>
    <xdr:from>
      <xdr:col>14</xdr:col>
      <xdr:colOff>655764</xdr:colOff>
      <xdr:row>64</xdr:row>
      <xdr:rowOff>155720</xdr:rowOff>
    </xdr:from>
    <xdr:to>
      <xdr:col>15</xdr:col>
      <xdr:colOff>488476</xdr:colOff>
      <xdr:row>67</xdr:row>
      <xdr:rowOff>114899</xdr:rowOff>
    </xdr:to>
    <xdr:sp macro="" textlink="">
      <xdr:nvSpPr>
        <xdr:cNvPr id="7" name="Flecha a la derecha con bandas 6">
          <a:extLst>
            <a:ext uri="{FF2B5EF4-FFF2-40B4-BE49-F238E27FC236}">
              <a16:creationId xmlns:a16="http://schemas.microsoft.com/office/drawing/2014/main" id="{00000000-0008-0000-0500-000007000000}"/>
            </a:ext>
          </a:extLst>
        </xdr:cNvPr>
        <xdr:cNvSpPr/>
      </xdr:nvSpPr>
      <xdr:spPr>
        <a:xfrm rot="5400000">
          <a:off x="11079555" y="12315704"/>
          <a:ext cx="530679" cy="594712"/>
        </a:xfrm>
        <a:prstGeom prst="stripedRightArrow">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PE"/>
        </a:p>
      </xdr:txBody>
    </xdr:sp>
    <xdr:clientData/>
  </xdr:twoCellAnchor>
  <xdr:twoCellAnchor>
    <xdr:from>
      <xdr:col>1</xdr:col>
      <xdr:colOff>59377</xdr:colOff>
      <xdr:row>190</xdr:row>
      <xdr:rowOff>11133</xdr:rowOff>
    </xdr:from>
    <xdr:to>
      <xdr:col>5</xdr:col>
      <xdr:colOff>675409</xdr:colOff>
      <xdr:row>200</xdr:row>
      <xdr:rowOff>34637</xdr:rowOff>
    </xdr:to>
    <xdr:sp macro="" textlink="">
      <xdr:nvSpPr>
        <xdr:cNvPr id="8" name="Llamada de flecha a la derecha 7">
          <a:extLst>
            <a:ext uri="{FF2B5EF4-FFF2-40B4-BE49-F238E27FC236}">
              <a16:creationId xmlns:a16="http://schemas.microsoft.com/office/drawing/2014/main" id="{00000000-0008-0000-0500-000008000000}"/>
            </a:ext>
          </a:extLst>
        </xdr:cNvPr>
        <xdr:cNvSpPr/>
      </xdr:nvSpPr>
      <xdr:spPr>
        <a:xfrm>
          <a:off x="668977" y="36187083"/>
          <a:ext cx="3540207" cy="1928504"/>
        </a:xfrm>
        <a:prstGeom prst="rightArrowCallout">
          <a:avLst>
            <a:gd name="adj1" fmla="val 19652"/>
            <a:gd name="adj2" fmla="val 25664"/>
            <a:gd name="adj3" fmla="val 46170"/>
            <a:gd name="adj4" fmla="val 63205"/>
          </a:avLst>
        </a:prstGeom>
        <a:solidFill>
          <a:schemeClr val="tx2">
            <a:lumMod val="60000"/>
            <a:lumOff val="4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s-PE" sz="2000" b="1" baseline="0">
              <a:solidFill>
                <a:schemeClr val="lt1"/>
              </a:solidFill>
              <a:latin typeface="+mn-lt"/>
              <a:ea typeface="+mn-ea"/>
              <a:cs typeface="+mn-cs"/>
            </a:rPr>
            <a:t>ESTUDIO DE CANTERAS Y/O MATERIAL PARA COBERTURA</a:t>
          </a:r>
        </a:p>
      </xdr:txBody>
    </xdr:sp>
    <xdr:clientData/>
  </xdr:twoCellAnchor>
  <xdr:twoCellAnchor>
    <xdr:from>
      <xdr:col>6</xdr:col>
      <xdr:colOff>41413</xdr:colOff>
      <xdr:row>182</xdr:row>
      <xdr:rowOff>1</xdr:rowOff>
    </xdr:from>
    <xdr:to>
      <xdr:col>17</xdr:col>
      <xdr:colOff>207064</xdr:colOff>
      <xdr:row>206</xdr:row>
      <xdr:rowOff>121228</xdr:rowOff>
    </xdr:to>
    <xdr:sp macro="" textlink="">
      <xdr:nvSpPr>
        <xdr:cNvPr id="9" name="Rectángulo redondeado 8">
          <a:extLst>
            <a:ext uri="{FF2B5EF4-FFF2-40B4-BE49-F238E27FC236}">
              <a16:creationId xmlns:a16="http://schemas.microsoft.com/office/drawing/2014/main" id="{00000000-0008-0000-0500-000009000000}"/>
            </a:ext>
          </a:extLst>
        </xdr:cNvPr>
        <xdr:cNvSpPr/>
      </xdr:nvSpPr>
      <xdr:spPr>
        <a:xfrm>
          <a:off x="4337188" y="34651951"/>
          <a:ext cx="8547651" cy="4693227"/>
        </a:xfrm>
        <a:prstGeom prst="round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PE" sz="2000" b="1" baseline="0">
              <a:solidFill>
                <a:schemeClr val="accent2">
                  <a:lumMod val="50000"/>
                </a:schemeClr>
              </a:solidFill>
              <a:effectLst/>
              <a:latin typeface="+mn-lt"/>
              <a:ea typeface="+mn-ea"/>
              <a:cs typeface="+mn-cs"/>
            </a:rPr>
            <a:t>CRITERIOS PARA LA ELABORACIÓN DEL ESTUDIO DE CANTERAS Y/O MATERIAL PARA COBERTURA</a:t>
          </a:r>
        </a:p>
        <a:p>
          <a:pPr algn="ctr"/>
          <a:endParaRPr lang="es-PE" sz="2000" b="1" baseline="0">
            <a:solidFill>
              <a:schemeClr val="accent2">
                <a:lumMod val="50000"/>
              </a:schemeClr>
            </a:solidFill>
            <a:effectLst/>
            <a:latin typeface="+mn-lt"/>
            <a:ea typeface="+mn-ea"/>
            <a:cs typeface="+mn-cs"/>
          </a:endParaRPr>
        </a:p>
        <a:p>
          <a:pPr marL="342900" indent="-342900">
            <a:buFont typeface="Wingdings" panose="05000000000000000000" pitchFamily="2" charset="2"/>
            <a:buChar char="§"/>
          </a:pPr>
          <a:r>
            <a:rPr lang="es-PE" sz="2000" b="0" baseline="0">
              <a:solidFill>
                <a:sysClr val="windowText" lastClr="000000"/>
              </a:solidFill>
              <a:effectLst/>
              <a:latin typeface="+mn-lt"/>
              <a:ea typeface="+mn-ea"/>
              <a:cs typeface="+mn-cs"/>
            </a:rPr>
            <a:t>El estudio de canteras permitirá ubicar, identificar y clasificar el material de préstamo a utilizarse como material de cobertura de los residuos sólidos durante la operación del relleno sanitario.</a:t>
          </a:r>
        </a:p>
        <a:p>
          <a:r>
            <a:rPr lang="es-PE" sz="2000" b="0" baseline="0">
              <a:solidFill>
                <a:sysClr val="windowText" lastClr="000000"/>
              </a:solidFill>
              <a:effectLst/>
              <a:latin typeface="+mn-lt"/>
              <a:ea typeface="+mn-ea"/>
              <a:cs typeface="+mn-cs"/>
            </a:rPr>
            <a:t>•   Evaluar la accesibilidad hacia la cantera</a:t>
          </a:r>
        </a:p>
        <a:p>
          <a:r>
            <a:rPr lang="es-PE" sz="2000" b="0" baseline="0">
              <a:solidFill>
                <a:sysClr val="windowText" lastClr="000000"/>
              </a:solidFill>
              <a:effectLst/>
              <a:latin typeface="+mn-lt"/>
              <a:ea typeface="+mn-ea"/>
              <a:cs typeface="+mn-cs"/>
            </a:rPr>
            <a:t>•   Evaluación de la calidad del material que permita el correcto confinamiento de los residuos.</a:t>
          </a:r>
        </a:p>
        <a:p>
          <a:r>
            <a:rPr lang="es-PE" sz="2000" b="0" baseline="0">
              <a:solidFill>
                <a:sysClr val="windowText" lastClr="000000"/>
              </a:solidFill>
              <a:effectLst/>
              <a:latin typeface="+mn-lt"/>
              <a:ea typeface="+mn-ea"/>
              <a:cs typeface="+mn-cs"/>
            </a:rPr>
            <a:t>•  Evaluar la cantidad de material disponible considerando el periodo de operación y mantenimiento de la infraestructura de disposición final.</a:t>
          </a:r>
        </a:p>
      </xdr:txBody>
    </xdr:sp>
    <xdr:clientData/>
  </xdr:twoCellAnchor>
  <xdr:twoCellAnchor>
    <xdr:from>
      <xdr:col>18</xdr:col>
      <xdr:colOff>55864</xdr:colOff>
      <xdr:row>191</xdr:row>
      <xdr:rowOff>172286</xdr:rowOff>
    </xdr:from>
    <xdr:to>
      <xdr:col>18</xdr:col>
      <xdr:colOff>586543</xdr:colOff>
      <xdr:row>195</xdr:row>
      <xdr:rowOff>2236</xdr:rowOff>
    </xdr:to>
    <xdr:sp macro="" textlink="">
      <xdr:nvSpPr>
        <xdr:cNvPr id="10" name="Flecha a la derecha con bandas 9">
          <a:extLst>
            <a:ext uri="{FF2B5EF4-FFF2-40B4-BE49-F238E27FC236}">
              <a16:creationId xmlns:a16="http://schemas.microsoft.com/office/drawing/2014/main" id="{00000000-0008-0000-0500-00000A000000}"/>
            </a:ext>
          </a:extLst>
        </xdr:cNvPr>
        <xdr:cNvSpPr/>
      </xdr:nvSpPr>
      <xdr:spPr>
        <a:xfrm>
          <a:off x="13495639" y="36538736"/>
          <a:ext cx="530679" cy="591950"/>
        </a:xfrm>
        <a:prstGeom prst="stripedRightArrow">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PE"/>
        </a:p>
      </xdr:txBody>
    </xdr:sp>
    <xdr:clientData/>
  </xdr:twoCellAnchor>
  <xdr:twoCellAnchor>
    <xdr:from>
      <xdr:col>1</xdr:col>
      <xdr:colOff>197923</xdr:colOff>
      <xdr:row>91</xdr:row>
      <xdr:rowOff>97723</xdr:rowOff>
    </xdr:from>
    <xdr:to>
      <xdr:col>5</xdr:col>
      <xdr:colOff>739487</xdr:colOff>
      <xdr:row>100</xdr:row>
      <xdr:rowOff>35130</xdr:rowOff>
    </xdr:to>
    <xdr:sp macro="" textlink="">
      <xdr:nvSpPr>
        <xdr:cNvPr id="11" name="Llamada de flecha a la derecha 10">
          <a:extLst>
            <a:ext uri="{FF2B5EF4-FFF2-40B4-BE49-F238E27FC236}">
              <a16:creationId xmlns:a16="http://schemas.microsoft.com/office/drawing/2014/main" id="{00000000-0008-0000-0500-00000B000000}"/>
            </a:ext>
          </a:extLst>
        </xdr:cNvPr>
        <xdr:cNvSpPr/>
      </xdr:nvSpPr>
      <xdr:spPr>
        <a:xfrm>
          <a:off x="807523" y="17433223"/>
          <a:ext cx="3465739" cy="1651907"/>
        </a:xfrm>
        <a:prstGeom prst="rightArrowCallout">
          <a:avLst>
            <a:gd name="adj1" fmla="val 19652"/>
            <a:gd name="adj2" fmla="val 25664"/>
            <a:gd name="adj3" fmla="val 46170"/>
            <a:gd name="adj4" fmla="val 63205"/>
          </a:avLst>
        </a:prstGeom>
        <a:solidFill>
          <a:schemeClr val="tx2">
            <a:lumMod val="60000"/>
            <a:lumOff val="4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s-PE" sz="2000" b="1" baseline="0">
              <a:solidFill>
                <a:schemeClr val="lt1"/>
              </a:solidFill>
              <a:latin typeface="+mn-lt"/>
              <a:ea typeface="+mn-ea"/>
              <a:cs typeface="+mn-cs"/>
            </a:rPr>
            <a:t>ESTUDIO TOPOGRÁFICO</a:t>
          </a:r>
        </a:p>
      </xdr:txBody>
    </xdr:sp>
    <xdr:clientData/>
  </xdr:twoCellAnchor>
  <xdr:twoCellAnchor>
    <xdr:from>
      <xdr:col>6</xdr:col>
      <xdr:colOff>40820</xdr:colOff>
      <xdr:row>87</xdr:row>
      <xdr:rowOff>40821</xdr:rowOff>
    </xdr:from>
    <xdr:to>
      <xdr:col>26</xdr:col>
      <xdr:colOff>588818</xdr:colOff>
      <xdr:row>111</xdr:row>
      <xdr:rowOff>121226</xdr:rowOff>
    </xdr:to>
    <xdr:sp macro="" textlink="">
      <xdr:nvSpPr>
        <xdr:cNvPr id="12" name="Rectángulo redondeado 11">
          <a:extLst>
            <a:ext uri="{FF2B5EF4-FFF2-40B4-BE49-F238E27FC236}">
              <a16:creationId xmlns:a16="http://schemas.microsoft.com/office/drawing/2014/main" id="{00000000-0008-0000-0500-00000C000000}"/>
            </a:ext>
          </a:extLst>
        </xdr:cNvPr>
        <xdr:cNvSpPr/>
      </xdr:nvSpPr>
      <xdr:spPr>
        <a:xfrm>
          <a:off x="4336595" y="16614321"/>
          <a:ext cx="15787998" cy="4652405"/>
        </a:xfrm>
        <a:prstGeom prst="round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ctr" defTabSz="914400" eaLnBrk="1" fontAlgn="auto" latinLnBrk="0" hangingPunct="1">
            <a:lnSpc>
              <a:spcPts val="2100"/>
            </a:lnSpc>
            <a:spcBef>
              <a:spcPts val="0"/>
            </a:spcBef>
            <a:spcAft>
              <a:spcPts val="0"/>
            </a:spcAft>
            <a:buClrTx/>
            <a:buSzTx/>
            <a:buFontTx/>
            <a:buNone/>
            <a:tabLst/>
            <a:defRPr/>
          </a:pPr>
          <a:r>
            <a:rPr lang="es-PE" sz="2000" b="1" baseline="0">
              <a:solidFill>
                <a:schemeClr val="accent2">
                  <a:lumMod val="50000"/>
                </a:schemeClr>
              </a:solidFill>
              <a:effectLst/>
              <a:latin typeface="+mn-lt"/>
              <a:ea typeface="+mn-ea"/>
              <a:cs typeface="+mn-cs"/>
            </a:rPr>
            <a:t>CRITERIOS PARA LA ELABORACIÓN DEL ESTUDIO TOPOGRÁFICO </a:t>
          </a:r>
        </a:p>
        <a:p>
          <a:pPr marL="0" marR="0" indent="0" defTabSz="914400" eaLnBrk="1" fontAlgn="auto" latinLnBrk="0" hangingPunct="1">
            <a:lnSpc>
              <a:spcPts val="2100"/>
            </a:lnSpc>
            <a:spcBef>
              <a:spcPts val="0"/>
            </a:spcBef>
            <a:spcAft>
              <a:spcPts val="0"/>
            </a:spcAft>
            <a:buClrTx/>
            <a:buSzTx/>
            <a:buFontTx/>
            <a:buNone/>
            <a:tabLst/>
            <a:defRPr/>
          </a:pPr>
          <a:endParaRPr lang="es-PE" sz="2000" b="0" baseline="0">
            <a:solidFill>
              <a:sysClr val="windowText" lastClr="000000"/>
            </a:solidFill>
            <a:effectLst/>
            <a:latin typeface="+mn-lt"/>
            <a:ea typeface="+mn-ea"/>
            <a:cs typeface="+mn-cs"/>
          </a:endParaRPr>
        </a:p>
        <a:p>
          <a:pPr marL="0" marR="0" lvl="0" indent="0" defTabSz="914400" eaLnBrk="1" fontAlgn="auto" latinLnBrk="0" hangingPunct="1">
            <a:lnSpc>
              <a:spcPts val="2100"/>
            </a:lnSpc>
            <a:spcBef>
              <a:spcPts val="0"/>
            </a:spcBef>
            <a:spcAft>
              <a:spcPts val="0"/>
            </a:spcAft>
            <a:buClrTx/>
            <a:buSzTx/>
            <a:buFontTx/>
            <a:buNone/>
            <a:tabLst/>
            <a:defRPr/>
          </a:pPr>
          <a:r>
            <a:rPr lang="es-PE" sz="2000" b="0" baseline="0">
              <a:solidFill>
                <a:sysClr val="windowText" lastClr="000000"/>
              </a:solidFill>
              <a:effectLst/>
              <a:latin typeface="+mn-lt"/>
              <a:ea typeface="+mn-ea"/>
              <a:cs typeface="+mn-cs"/>
            </a:rPr>
            <a:t>• El levantamiento topográfico deberá abarcar toda la extensión del terreno destinado para el relleno sanitario, siguiendo los linderos o límites que le será indicado en el mismo terreno.</a:t>
          </a:r>
        </a:p>
        <a:p>
          <a:pPr marL="0" marR="0" indent="0" defTabSz="914400" eaLnBrk="1" fontAlgn="auto" latinLnBrk="0" hangingPunct="1">
            <a:lnSpc>
              <a:spcPts val="2100"/>
            </a:lnSpc>
            <a:spcBef>
              <a:spcPts val="0"/>
            </a:spcBef>
            <a:spcAft>
              <a:spcPts val="0"/>
            </a:spcAft>
            <a:buClrTx/>
            <a:buSzTx/>
            <a:buFontTx/>
            <a:buNone/>
            <a:tabLst/>
            <a:defRPr/>
          </a:pPr>
          <a:r>
            <a:rPr lang="es-PE" sz="2000" b="0" baseline="0">
              <a:solidFill>
                <a:sysClr val="windowText" lastClr="000000"/>
              </a:solidFill>
              <a:effectLst/>
              <a:latin typeface="+mn-lt"/>
              <a:ea typeface="+mn-ea"/>
              <a:cs typeface="+mn-cs"/>
            </a:rPr>
            <a:t>• El levantamiento topográfico a detalle, se apoyará necesariamente en una poligonal cerrada, interna o externa a los linderos del terreno, la misma que deberá ser calculada mediante coordenadas, cuya información de campo y cálculos serán necesariamente parte del trabajo a ser entregado.</a:t>
          </a:r>
        </a:p>
        <a:p>
          <a:pPr marL="0" marR="0" indent="0" defTabSz="914400" eaLnBrk="1" fontAlgn="auto" latinLnBrk="0" hangingPunct="1">
            <a:lnSpc>
              <a:spcPts val="2200"/>
            </a:lnSpc>
            <a:spcBef>
              <a:spcPts val="0"/>
            </a:spcBef>
            <a:spcAft>
              <a:spcPts val="0"/>
            </a:spcAft>
            <a:buClrTx/>
            <a:buSzTx/>
            <a:buFontTx/>
            <a:buNone/>
            <a:tabLst/>
            <a:defRPr/>
          </a:pPr>
          <a:r>
            <a:rPr lang="es-PE" sz="2000" b="0" baseline="0">
              <a:solidFill>
                <a:sysClr val="windowText" lastClr="000000"/>
              </a:solidFill>
              <a:effectLst/>
              <a:latin typeface="+mn-lt"/>
              <a:ea typeface="+mn-ea"/>
              <a:cs typeface="+mn-cs"/>
            </a:rPr>
            <a:t>• El plano topográfico resultante estará graficada a escala 1:2000, con curvas de nivel equidistantes cada metro, referida a coordenadas UTM (WGS 84), debiendo ser una real representación del relieve del terreno, con todos sus detalles naturales, cercos o límites de propiedad, canales, acequias, trochas o carreteras, etc.). </a:t>
          </a:r>
        </a:p>
        <a:p>
          <a:pPr marL="0" marR="0" indent="0" defTabSz="914400" eaLnBrk="1" fontAlgn="auto" latinLnBrk="0" hangingPunct="1">
            <a:lnSpc>
              <a:spcPts val="2100"/>
            </a:lnSpc>
            <a:spcBef>
              <a:spcPts val="0"/>
            </a:spcBef>
            <a:spcAft>
              <a:spcPts val="0"/>
            </a:spcAft>
            <a:buClrTx/>
            <a:buSzTx/>
            <a:buFontTx/>
            <a:buNone/>
            <a:tabLst/>
            <a:defRPr/>
          </a:pPr>
          <a:r>
            <a:rPr lang="es-PE" sz="2000" b="0" baseline="0">
              <a:solidFill>
                <a:sysClr val="windowText" lastClr="000000"/>
              </a:solidFill>
              <a:effectLst/>
              <a:latin typeface="+mn-lt"/>
              <a:ea typeface="+mn-ea"/>
              <a:cs typeface="+mn-cs"/>
            </a:rPr>
            <a:t>• El levantamiento topográfico deberá incluir la franja ó área que conecte al terreno a ser levantado con la carretera más cercana. En este caso, la franja de terreno a ser levantada, deberá tener un ancho mínimo de 20 metros, teniendo como eje una línea de gradiente con pendiente máxima de 5.00 % (en elevación o en depresión, según sea el caso)</a:t>
          </a:r>
        </a:p>
        <a:p>
          <a:pPr marL="0" marR="0" indent="0" defTabSz="914400" eaLnBrk="1" fontAlgn="auto" latinLnBrk="0" hangingPunct="1">
            <a:lnSpc>
              <a:spcPts val="2200"/>
            </a:lnSpc>
            <a:spcBef>
              <a:spcPts val="0"/>
            </a:spcBef>
            <a:spcAft>
              <a:spcPts val="0"/>
            </a:spcAft>
            <a:buClrTx/>
            <a:buSzTx/>
            <a:buFontTx/>
            <a:buNone/>
            <a:tabLst/>
            <a:defRPr/>
          </a:pPr>
          <a:endParaRPr lang="es-PE" sz="2000" b="0" baseline="0">
            <a:solidFill>
              <a:sysClr val="windowText" lastClr="000000"/>
            </a:solidFill>
            <a:effectLst/>
            <a:latin typeface="+mn-lt"/>
            <a:ea typeface="+mn-ea"/>
            <a:cs typeface="+mn-cs"/>
          </a:endParaRPr>
        </a:p>
        <a:p>
          <a:pPr marL="0" marR="0" indent="0" defTabSz="914400" eaLnBrk="1" fontAlgn="auto" latinLnBrk="0" hangingPunct="1">
            <a:lnSpc>
              <a:spcPts val="2100"/>
            </a:lnSpc>
            <a:spcBef>
              <a:spcPts val="0"/>
            </a:spcBef>
            <a:spcAft>
              <a:spcPts val="0"/>
            </a:spcAft>
            <a:buClrTx/>
            <a:buSzTx/>
            <a:buFontTx/>
            <a:buNone/>
            <a:tabLst/>
            <a:defRPr/>
          </a:pPr>
          <a:endParaRPr lang="es-PE" sz="2000" b="0" baseline="0">
            <a:solidFill>
              <a:sysClr val="windowText" lastClr="000000"/>
            </a:solidFill>
            <a:effectLst/>
            <a:latin typeface="+mn-lt"/>
            <a:ea typeface="+mn-ea"/>
            <a:cs typeface="+mn-cs"/>
          </a:endParaRPr>
        </a:p>
        <a:p>
          <a:pPr marL="0" marR="0" indent="0" defTabSz="914400" eaLnBrk="1" fontAlgn="auto" latinLnBrk="0" hangingPunct="1">
            <a:lnSpc>
              <a:spcPts val="2100"/>
            </a:lnSpc>
            <a:spcBef>
              <a:spcPts val="0"/>
            </a:spcBef>
            <a:spcAft>
              <a:spcPts val="0"/>
            </a:spcAft>
            <a:buClrTx/>
            <a:buSzTx/>
            <a:buFontTx/>
            <a:buNone/>
            <a:tabLst/>
            <a:defRPr/>
          </a:pPr>
          <a:endParaRPr lang="es-PE" sz="2000" b="0" baseline="0">
            <a:solidFill>
              <a:sysClr val="windowText" lastClr="000000"/>
            </a:solidFill>
            <a:effectLst/>
            <a:latin typeface="+mn-lt"/>
            <a:ea typeface="+mn-ea"/>
            <a:cs typeface="+mn-cs"/>
          </a:endParaRPr>
        </a:p>
      </xdr:txBody>
    </xdr:sp>
    <xdr:clientData/>
  </xdr:twoCellAnchor>
  <xdr:twoCellAnchor>
    <xdr:from>
      <xdr:col>15</xdr:col>
      <xdr:colOff>391043</xdr:colOff>
      <xdr:row>110</xdr:row>
      <xdr:rowOff>111185</xdr:rowOff>
    </xdr:from>
    <xdr:to>
      <xdr:col>16</xdr:col>
      <xdr:colOff>223755</xdr:colOff>
      <xdr:row>113</xdr:row>
      <xdr:rowOff>70364</xdr:rowOff>
    </xdr:to>
    <xdr:sp macro="" textlink="">
      <xdr:nvSpPr>
        <xdr:cNvPr id="13" name="Flecha a la derecha con bandas 12">
          <a:extLst>
            <a:ext uri="{FF2B5EF4-FFF2-40B4-BE49-F238E27FC236}">
              <a16:creationId xmlns:a16="http://schemas.microsoft.com/office/drawing/2014/main" id="{00000000-0008-0000-0500-00000D000000}"/>
            </a:ext>
          </a:extLst>
        </xdr:cNvPr>
        <xdr:cNvSpPr/>
      </xdr:nvSpPr>
      <xdr:spPr>
        <a:xfrm rot="5400000">
          <a:off x="11576834" y="21034169"/>
          <a:ext cx="530679" cy="594712"/>
        </a:xfrm>
        <a:prstGeom prst="stripedRightArrow">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PE"/>
        </a:p>
      </xdr:txBody>
    </xdr:sp>
    <xdr:clientData/>
  </xdr:twoCellAnchor>
  <xdr:twoCellAnchor editAs="oneCell">
    <xdr:from>
      <xdr:col>24</xdr:col>
      <xdr:colOff>0</xdr:colOff>
      <xdr:row>5</xdr:row>
      <xdr:rowOff>0</xdr:rowOff>
    </xdr:from>
    <xdr:to>
      <xdr:col>24</xdr:col>
      <xdr:colOff>304800</xdr:colOff>
      <xdr:row>6</xdr:row>
      <xdr:rowOff>114300</xdr:rowOff>
    </xdr:to>
    <xdr:sp macro="" textlink="">
      <xdr:nvSpPr>
        <xdr:cNvPr id="85233" name="AutoShape 2" descr="Resultado de imagen para calicatas para estudio suelos">
          <a:extLst>
            <a:ext uri="{FF2B5EF4-FFF2-40B4-BE49-F238E27FC236}">
              <a16:creationId xmlns:a16="http://schemas.microsoft.com/office/drawing/2014/main" id="{00000000-0008-0000-0500-0000F14C0100}"/>
            </a:ext>
          </a:extLst>
        </xdr:cNvPr>
        <xdr:cNvSpPr>
          <a:spLocks noChangeAspect="1" noChangeArrowheads="1"/>
        </xdr:cNvSpPr>
      </xdr:nvSpPr>
      <xdr:spPr bwMode="auto">
        <a:xfrm>
          <a:off x="18011775" y="1400175"/>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24</xdr:col>
      <xdr:colOff>0</xdr:colOff>
      <xdr:row>5</xdr:row>
      <xdr:rowOff>0</xdr:rowOff>
    </xdr:from>
    <xdr:to>
      <xdr:col>24</xdr:col>
      <xdr:colOff>304800</xdr:colOff>
      <xdr:row>6</xdr:row>
      <xdr:rowOff>114300</xdr:rowOff>
    </xdr:to>
    <xdr:sp macro="" textlink="">
      <xdr:nvSpPr>
        <xdr:cNvPr id="85234" name="AutoShape 3" descr="Resultado de imagen para calicatas para estudio suelos">
          <a:extLst>
            <a:ext uri="{FF2B5EF4-FFF2-40B4-BE49-F238E27FC236}">
              <a16:creationId xmlns:a16="http://schemas.microsoft.com/office/drawing/2014/main" id="{00000000-0008-0000-0500-0000F24C0100}"/>
            </a:ext>
          </a:extLst>
        </xdr:cNvPr>
        <xdr:cNvSpPr>
          <a:spLocks noChangeAspect="1" noChangeArrowheads="1"/>
        </xdr:cNvSpPr>
      </xdr:nvSpPr>
      <xdr:spPr bwMode="auto">
        <a:xfrm>
          <a:off x="18011775" y="1400175"/>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6</xdr:col>
      <xdr:colOff>0</xdr:colOff>
      <xdr:row>133</xdr:row>
      <xdr:rowOff>0</xdr:rowOff>
    </xdr:from>
    <xdr:to>
      <xdr:col>6</xdr:col>
      <xdr:colOff>304800</xdr:colOff>
      <xdr:row>134</xdr:row>
      <xdr:rowOff>114300</xdr:rowOff>
    </xdr:to>
    <xdr:sp macro="" textlink="">
      <xdr:nvSpPr>
        <xdr:cNvPr id="85235" name="AutoShape 5" descr="Resultado de imagen para levantamiento topografico">
          <a:extLst>
            <a:ext uri="{FF2B5EF4-FFF2-40B4-BE49-F238E27FC236}">
              <a16:creationId xmlns:a16="http://schemas.microsoft.com/office/drawing/2014/main" id="{00000000-0008-0000-0500-0000F34C0100}"/>
            </a:ext>
          </a:extLst>
        </xdr:cNvPr>
        <xdr:cNvSpPr>
          <a:spLocks noChangeAspect="1" noChangeArrowheads="1"/>
        </xdr:cNvSpPr>
      </xdr:nvSpPr>
      <xdr:spPr bwMode="auto">
        <a:xfrm>
          <a:off x="4295775" y="259080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6</xdr:col>
      <xdr:colOff>0</xdr:colOff>
      <xdr:row>133</xdr:row>
      <xdr:rowOff>0</xdr:rowOff>
    </xdr:from>
    <xdr:to>
      <xdr:col>6</xdr:col>
      <xdr:colOff>304800</xdr:colOff>
      <xdr:row>134</xdr:row>
      <xdr:rowOff>114300</xdr:rowOff>
    </xdr:to>
    <xdr:sp macro="" textlink="">
      <xdr:nvSpPr>
        <xdr:cNvPr id="85236" name="AutoShape 6" descr="levantamiento-topografico">
          <a:extLst>
            <a:ext uri="{FF2B5EF4-FFF2-40B4-BE49-F238E27FC236}">
              <a16:creationId xmlns:a16="http://schemas.microsoft.com/office/drawing/2014/main" id="{00000000-0008-0000-0500-0000F44C0100}"/>
            </a:ext>
          </a:extLst>
        </xdr:cNvPr>
        <xdr:cNvSpPr>
          <a:spLocks noChangeAspect="1" noChangeArrowheads="1"/>
        </xdr:cNvSpPr>
      </xdr:nvSpPr>
      <xdr:spPr bwMode="auto">
        <a:xfrm>
          <a:off x="4295775" y="259080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11</xdr:col>
      <xdr:colOff>0</xdr:colOff>
      <xdr:row>133</xdr:row>
      <xdr:rowOff>0</xdr:rowOff>
    </xdr:from>
    <xdr:to>
      <xdr:col>11</xdr:col>
      <xdr:colOff>304800</xdr:colOff>
      <xdr:row>134</xdr:row>
      <xdr:rowOff>114300</xdr:rowOff>
    </xdr:to>
    <xdr:sp macro="" textlink="">
      <xdr:nvSpPr>
        <xdr:cNvPr id="85237" name="AutoShape 7" descr="Resultado de imagen para poligonal cerrada levantamiento topografico">
          <a:extLst>
            <a:ext uri="{FF2B5EF4-FFF2-40B4-BE49-F238E27FC236}">
              <a16:creationId xmlns:a16="http://schemas.microsoft.com/office/drawing/2014/main" id="{00000000-0008-0000-0500-0000F54C0100}"/>
            </a:ext>
          </a:extLst>
        </xdr:cNvPr>
        <xdr:cNvSpPr>
          <a:spLocks noChangeAspect="1" noChangeArrowheads="1"/>
        </xdr:cNvSpPr>
      </xdr:nvSpPr>
      <xdr:spPr bwMode="auto">
        <a:xfrm>
          <a:off x="8105775" y="259080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11</xdr:col>
      <xdr:colOff>0</xdr:colOff>
      <xdr:row>133</xdr:row>
      <xdr:rowOff>0</xdr:rowOff>
    </xdr:from>
    <xdr:to>
      <xdr:col>11</xdr:col>
      <xdr:colOff>304800</xdr:colOff>
      <xdr:row>134</xdr:row>
      <xdr:rowOff>114300</xdr:rowOff>
    </xdr:to>
    <xdr:sp macro="" textlink="">
      <xdr:nvSpPr>
        <xdr:cNvPr id="85238" name="AutoShape 8" descr="imagen">
          <a:extLst>
            <a:ext uri="{FF2B5EF4-FFF2-40B4-BE49-F238E27FC236}">
              <a16:creationId xmlns:a16="http://schemas.microsoft.com/office/drawing/2014/main" id="{00000000-0008-0000-0500-0000F64C0100}"/>
            </a:ext>
          </a:extLst>
        </xdr:cNvPr>
        <xdr:cNvSpPr>
          <a:spLocks noChangeAspect="1" noChangeArrowheads="1"/>
        </xdr:cNvSpPr>
      </xdr:nvSpPr>
      <xdr:spPr bwMode="auto">
        <a:xfrm>
          <a:off x="8105775" y="259080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31</xdr:col>
      <xdr:colOff>0</xdr:colOff>
      <xdr:row>85</xdr:row>
      <xdr:rowOff>0</xdr:rowOff>
    </xdr:from>
    <xdr:to>
      <xdr:col>31</xdr:col>
      <xdr:colOff>304800</xdr:colOff>
      <xdr:row>86</xdr:row>
      <xdr:rowOff>114300</xdr:rowOff>
    </xdr:to>
    <xdr:sp macro="" textlink="">
      <xdr:nvSpPr>
        <xdr:cNvPr id="85239" name="AutoShape 1" descr="https://html2-f.scribdassets.com/9ct7vjw1xc1mk5g7/images/4-6758488649.jpg">
          <a:extLst>
            <a:ext uri="{FF2B5EF4-FFF2-40B4-BE49-F238E27FC236}">
              <a16:creationId xmlns:a16="http://schemas.microsoft.com/office/drawing/2014/main" id="{00000000-0008-0000-0500-0000F74C0100}"/>
            </a:ext>
          </a:extLst>
        </xdr:cNvPr>
        <xdr:cNvSpPr>
          <a:spLocks noChangeAspect="1" noChangeArrowheads="1"/>
        </xdr:cNvSpPr>
      </xdr:nvSpPr>
      <xdr:spPr bwMode="auto">
        <a:xfrm>
          <a:off x="23345775" y="167830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31</xdr:col>
      <xdr:colOff>0</xdr:colOff>
      <xdr:row>85</xdr:row>
      <xdr:rowOff>0</xdr:rowOff>
    </xdr:from>
    <xdr:to>
      <xdr:col>31</xdr:col>
      <xdr:colOff>304800</xdr:colOff>
      <xdr:row>86</xdr:row>
      <xdr:rowOff>114300</xdr:rowOff>
    </xdr:to>
    <xdr:sp macro="" textlink="">
      <xdr:nvSpPr>
        <xdr:cNvPr id="85240" name="AutoShape 2" descr="Imagen relacionada">
          <a:extLst>
            <a:ext uri="{FF2B5EF4-FFF2-40B4-BE49-F238E27FC236}">
              <a16:creationId xmlns:a16="http://schemas.microsoft.com/office/drawing/2014/main" id="{00000000-0008-0000-0500-0000F84C0100}"/>
            </a:ext>
          </a:extLst>
        </xdr:cNvPr>
        <xdr:cNvSpPr>
          <a:spLocks noChangeAspect="1" noChangeArrowheads="1"/>
        </xdr:cNvSpPr>
      </xdr:nvSpPr>
      <xdr:spPr bwMode="auto">
        <a:xfrm>
          <a:off x="23345775" y="167830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31</xdr:col>
      <xdr:colOff>0</xdr:colOff>
      <xdr:row>85</xdr:row>
      <xdr:rowOff>0</xdr:rowOff>
    </xdr:from>
    <xdr:to>
      <xdr:col>31</xdr:col>
      <xdr:colOff>304800</xdr:colOff>
      <xdr:row>86</xdr:row>
      <xdr:rowOff>114300</xdr:rowOff>
    </xdr:to>
    <xdr:sp macro="" textlink="">
      <xdr:nvSpPr>
        <xdr:cNvPr id="85241" name="AutoShape 3" descr="Resultado de imagen para canteras superficial">
          <a:extLst>
            <a:ext uri="{FF2B5EF4-FFF2-40B4-BE49-F238E27FC236}">
              <a16:creationId xmlns:a16="http://schemas.microsoft.com/office/drawing/2014/main" id="{00000000-0008-0000-0500-0000F94C0100}"/>
            </a:ext>
          </a:extLst>
        </xdr:cNvPr>
        <xdr:cNvSpPr>
          <a:spLocks noChangeAspect="1" noChangeArrowheads="1"/>
        </xdr:cNvSpPr>
      </xdr:nvSpPr>
      <xdr:spPr bwMode="auto">
        <a:xfrm>
          <a:off x="23345775" y="167830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30</xdr:col>
      <xdr:colOff>0</xdr:colOff>
      <xdr:row>85</xdr:row>
      <xdr:rowOff>0</xdr:rowOff>
    </xdr:from>
    <xdr:to>
      <xdr:col>30</xdr:col>
      <xdr:colOff>304800</xdr:colOff>
      <xdr:row>86</xdr:row>
      <xdr:rowOff>114300</xdr:rowOff>
    </xdr:to>
    <xdr:sp macro="" textlink="">
      <xdr:nvSpPr>
        <xdr:cNvPr id="85242" name="AutoShape 4" descr="Resultado de imagen para clasificación de suelos">
          <a:extLst>
            <a:ext uri="{FF2B5EF4-FFF2-40B4-BE49-F238E27FC236}">
              <a16:creationId xmlns:a16="http://schemas.microsoft.com/office/drawing/2014/main" id="{00000000-0008-0000-0500-0000FA4C0100}"/>
            </a:ext>
          </a:extLst>
        </xdr:cNvPr>
        <xdr:cNvSpPr>
          <a:spLocks noChangeAspect="1" noChangeArrowheads="1"/>
        </xdr:cNvSpPr>
      </xdr:nvSpPr>
      <xdr:spPr bwMode="auto">
        <a:xfrm>
          <a:off x="22583775" y="167830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381000</xdr:colOff>
      <xdr:row>28</xdr:row>
      <xdr:rowOff>142875</xdr:rowOff>
    </xdr:from>
    <xdr:to>
      <xdr:col>7</xdr:col>
      <xdr:colOff>590550</xdr:colOff>
      <xdr:row>41</xdr:row>
      <xdr:rowOff>133350</xdr:rowOff>
    </xdr:to>
    <xdr:pic>
      <xdr:nvPicPr>
        <xdr:cNvPr id="85243" name="Imagen 23">
          <a:extLst>
            <a:ext uri="{FF2B5EF4-FFF2-40B4-BE49-F238E27FC236}">
              <a16:creationId xmlns:a16="http://schemas.microsoft.com/office/drawing/2014/main" id="{00000000-0008-0000-0500-0000FB4C01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90775" y="5924550"/>
          <a:ext cx="3257550" cy="2466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466725</xdr:colOff>
      <xdr:row>29</xdr:row>
      <xdr:rowOff>0</xdr:rowOff>
    </xdr:from>
    <xdr:to>
      <xdr:col>13</xdr:col>
      <xdr:colOff>142875</xdr:colOff>
      <xdr:row>41</xdr:row>
      <xdr:rowOff>161925</xdr:rowOff>
    </xdr:to>
    <xdr:pic>
      <xdr:nvPicPr>
        <xdr:cNvPr id="85244" name="Imagen 24">
          <a:extLst>
            <a:ext uri="{FF2B5EF4-FFF2-40B4-BE49-F238E27FC236}">
              <a16:creationId xmlns:a16="http://schemas.microsoft.com/office/drawing/2014/main" id="{00000000-0008-0000-0500-0000FC4C01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500" y="5972175"/>
          <a:ext cx="2724150" cy="2447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276225</xdr:colOff>
      <xdr:row>28</xdr:row>
      <xdr:rowOff>161925</xdr:rowOff>
    </xdr:from>
    <xdr:to>
      <xdr:col>20</xdr:col>
      <xdr:colOff>47625</xdr:colOff>
      <xdr:row>41</xdr:row>
      <xdr:rowOff>114300</xdr:rowOff>
    </xdr:to>
    <xdr:pic>
      <xdr:nvPicPr>
        <xdr:cNvPr id="85245" name="Imagen 25">
          <a:extLst>
            <a:ext uri="{FF2B5EF4-FFF2-40B4-BE49-F238E27FC236}">
              <a16:creationId xmlns:a16="http://schemas.microsoft.com/office/drawing/2014/main" id="{00000000-0008-0000-0500-0000FD4C01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192000" y="5943600"/>
          <a:ext cx="2819400" cy="2428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581025</xdr:colOff>
      <xdr:row>28</xdr:row>
      <xdr:rowOff>19050</xdr:rowOff>
    </xdr:from>
    <xdr:to>
      <xdr:col>24</xdr:col>
      <xdr:colOff>628650</xdr:colOff>
      <xdr:row>42</xdr:row>
      <xdr:rowOff>47625</xdr:rowOff>
    </xdr:to>
    <xdr:pic>
      <xdr:nvPicPr>
        <xdr:cNvPr id="85246" name="Imagen 26">
          <a:extLst>
            <a:ext uri="{FF2B5EF4-FFF2-40B4-BE49-F238E27FC236}">
              <a16:creationId xmlns:a16="http://schemas.microsoft.com/office/drawing/2014/main" id="{00000000-0008-0000-0500-0000FE4C01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306800" y="5800725"/>
          <a:ext cx="2333625" cy="2695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xdr:colOff>
      <xdr:row>68</xdr:row>
      <xdr:rowOff>9525</xdr:rowOff>
    </xdr:from>
    <xdr:to>
      <xdr:col>8</xdr:col>
      <xdr:colOff>333375</xdr:colOff>
      <xdr:row>80</xdr:row>
      <xdr:rowOff>66675</xdr:rowOff>
    </xdr:to>
    <xdr:pic>
      <xdr:nvPicPr>
        <xdr:cNvPr id="85247" name="Imagen 27">
          <a:extLst>
            <a:ext uri="{FF2B5EF4-FFF2-40B4-BE49-F238E27FC236}">
              <a16:creationId xmlns:a16="http://schemas.microsoft.com/office/drawing/2014/main" id="{00000000-0008-0000-0500-0000FF4C01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323975" y="13554075"/>
          <a:ext cx="4829175" cy="234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485775</xdr:colOff>
      <xdr:row>68</xdr:row>
      <xdr:rowOff>28575</xdr:rowOff>
    </xdr:from>
    <xdr:to>
      <xdr:col>14</xdr:col>
      <xdr:colOff>238125</xdr:colOff>
      <xdr:row>80</xdr:row>
      <xdr:rowOff>104775</xdr:rowOff>
    </xdr:to>
    <xdr:pic>
      <xdr:nvPicPr>
        <xdr:cNvPr id="85248" name="Imagen 28">
          <a:extLst>
            <a:ext uri="{FF2B5EF4-FFF2-40B4-BE49-F238E27FC236}">
              <a16:creationId xmlns:a16="http://schemas.microsoft.com/office/drawing/2014/main" id="{00000000-0008-0000-0500-0000004D01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067550" y="13573125"/>
          <a:ext cx="3562350" cy="2362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47625</xdr:colOff>
      <xdr:row>68</xdr:row>
      <xdr:rowOff>0</xdr:rowOff>
    </xdr:from>
    <xdr:to>
      <xdr:col>20</xdr:col>
      <xdr:colOff>133350</xdr:colOff>
      <xdr:row>79</xdr:row>
      <xdr:rowOff>133350</xdr:rowOff>
    </xdr:to>
    <xdr:pic>
      <xdr:nvPicPr>
        <xdr:cNvPr id="85249" name="Imagen 29">
          <a:extLst>
            <a:ext uri="{FF2B5EF4-FFF2-40B4-BE49-F238E27FC236}">
              <a16:creationId xmlns:a16="http://schemas.microsoft.com/office/drawing/2014/main" id="{00000000-0008-0000-0500-0000014D01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963400" y="13544550"/>
          <a:ext cx="3133725" cy="2228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466725</xdr:colOff>
      <xdr:row>66</xdr:row>
      <xdr:rowOff>123825</xdr:rowOff>
    </xdr:from>
    <xdr:to>
      <xdr:col>23</xdr:col>
      <xdr:colOff>485775</xdr:colOff>
      <xdr:row>80</xdr:row>
      <xdr:rowOff>95250</xdr:rowOff>
    </xdr:to>
    <xdr:pic>
      <xdr:nvPicPr>
        <xdr:cNvPr id="85250" name="Imagen 30">
          <a:extLst>
            <a:ext uri="{FF2B5EF4-FFF2-40B4-BE49-F238E27FC236}">
              <a16:creationId xmlns:a16="http://schemas.microsoft.com/office/drawing/2014/main" id="{00000000-0008-0000-0500-0000024D01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5430500" y="13287375"/>
          <a:ext cx="2305050" cy="2638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19050</xdr:colOff>
      <xdr:row>66</xdr:row>
      <xdr:rowOff>171450</xdr:rowOff>
    </xdr:from>
    <xdr:to>
      <xdr:col>26</xdr:col>
      <xdr:colOff>714375</xdr:colOff>
      <xdr:row>79</xdr:row>
      <xdr:rowOff>104775</xdr:rowOff>
    </xdr:to>
    <xdr:pic>
      <xdr:nvPicPr>
        <xdr:cNvPr id="85251" name="Imagen 31">
          <a:extLst>
            <a:ext uri="{FF2B5EF4-FFF2-40B4-BE49-F238E27FC236}">
              <a16:creationId xmlns:a16="http://schemas.microsoft.com/office/drawing/2014/main" id="{00000000-0008-0000-0500-0000034D01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8030825" y="13335000"/>
          <a:ext cx="2219325"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200025</xdr:colOff>
      <xdr:row>181</xdr:row>
      <xdr:rowOff>47625</xdr:rowOff>
    </xdr:from>
    <xdr:to>
      <xdr:col>25</xdr:col>
      <xdr:colOff>247650</xdr:colOff>
      <xdr:row>194</xdr:row>
      <xdr:rowOff>95250</xdr:rowOff>
    </xdr:to>
    <xdr:pic>
      <xdr:nvPicPr>
        <xdr:cNvPr id="85252" name="Imagen 32">
          <a:extLst>
            <a:ext uri="{FF2B5EF4-FFF2-40B4-BE49-F238E27FC236}">
              <a16:creationId xmlns:a16="http://schemas.microsoft.com/office/drawing/2014/main" id="{00000000-0008-0000-0500-0000044D01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5163800" y="35099625"/>
          <a:ext cx="3857625" cy="2524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371475</xdr:colOff>
      <xdr:row>196</xdr:row>
      <xdr:rowOff>133350</xdr:rowOff>
    </xdr:from>
    <xdr:to>
      <xdr:col>25</xdr:col>
      <xdr:colOff>152400</xdr:colOff>
      <xdr:row>209</xdr:row>
      <xdr:rowOff>142875</xdr:rowOff>
    </xdr:to>
    <xdr:pic>
      <xdr:nvPicPr>
        <xdr:cNvPr id="85253" name="Imagen 33">
          <a:extLst>
            <a:ext uri="{FF2B5EF4-FFF2-40B4-BE49-F238E27FC236}">
              <a16:creationId xmlns:a16="http://schemas.microsoft.com/office/drawing/2014/main" id="{00000000-0008-0000-0500-0000054D01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335250" y="38042850"/>
          <a:ext cx="3590925" cy="2486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190500</xdr:colOff>
      <xdr:row>159</xdr:row>
      <xdr:rowOff>28575</xdr:rowOff>
    </xdr:from>
    <xdr:to>
      <xdr:col>27</xdr:col>
      <xdr:colOff>695325</xdr:colOff>
      <xdr:row>175</xdr:row>
      <xdr:rowOff>104775</xdr:rowOff>
    </xdr:to>
    <xdr:pic>
      <xdr:nvPicPr>
        <xdr:cNvPr id="85254" name="Imagen 34">
          <a:extLst>
            <a:ext uri="{FF2B5EF4-FFF2-40B4-BE49-F238E27FC236}">
              <a16:creationId xmlns:a16="http://schemas.microsoft.com/office/drawing/2014/main" id="{00000000-0008-0000-0500-0000064D01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54275" y="30889575"/>
          <a:ext cx="5838825" cy="3124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57150</xdr:colOff>
      <xdr:row>113</xdr:row>
      <xdr:rowOff>9525</xdr:rowOff>
    </xdr:from>
    <xdr:to>
      <xdr:col>9</xdr:col>
      <xdr:colOff>238125</xdr:colOff>
      <xdr:row>128</xdr:row>
      <xdr:rowOff>190500</xdr:rowOff>
    </xdr:to>
    <xdr:pic>
      <xdr:nvPicPr>
        <xdr:cNvPr id="85255" name="Imagen 35">
          <a:extLst>
            <a:ext uri="{FF2B5EF4-FFF2-40B4-BE49-F238E27FC236}">
              <a16:creationId xmlns:a16="http://schemas.microsoft.com/office/drawing/2014/main" id="{00000000-0008-0000-0500-0000074D01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6925" y="22126575"/>
          <a:ext cx="4752975" cy="3019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457200</xdr:colOff>
      <xdr:row>113</xdr:row>
      <xdr:rowOff>133350</xdr:rowOff>
    </xdr:from>
    <xdr:to>
      <xdr:col>14</xdr:col>
      <xdr:colOff>485775</xdr:colOff>
      <xdr:row>129</xdr:row>
      <xdr:rowOff>114300</xdr:rowOff>
    </xdr:to>
    <xdr:pic>
      <xdr:nvPicPr>
        <xdr:cNvPr id="85256" name="Imagen 36">
          <a:extLst>
            <a:ext uri="{FF2B5EF4-FFF2-40B4-BE49-F238E27FC236}">
              <a16:creationId xmlns:a16="http://schemas.microsoft.com/office/drawing/2014/main" id="{00000000-0008-0000-0500-0000084D01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800975" y="22250400"/>
          <a:ext cx="3076575" cy="3009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714375</xdr:colOff>
      <xdr:row>113</xdr:row>
      <xdr:rowOff>190500</xdr:rowOff>
    </xdr:from>
    <xdr:to>
      <xdr:col>22</xdr:col>
      <xdr:colOff>590550</xdr:colOff>
      <xdr:row>129</xdr:row>
      <xdr:rowOff>152400</xdr:rowOff>
    </xdr:to>
    <xdr:pic>
      <xdr:nvPicPr>
        <xdr:cNvPr id="85257" name="Imagen 37">
          <a:extLst>
            <a:ext uri="{FF2B5EF4-FFF2-40B4-BE49-F238E27FC236}">
              <a16:creationId xmlns:a16="http://schemas.microsoft.com/office/drawing/2014/main" id="{00000000-0008-0000-0500-0000094D01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1868150" y="22307550"/>
          <a:ext cx="5210175" cy="2990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695325</xdr:colOff>
      <xdr:row>113</xdr:row>
      <xdr:rowOff>161925</xdr:rowOff>
    </xdr:from>
    <xdr:to>
      <xdr:col>27</xdr:col>
      <xdr:colOff>581025</xdr:colOff>
      <xdr:row>129</xdr:row>
      <xdr:rowOff>85725</xdr:rowOff>
    </xdr:to>
    <xdr:pic>
      <xdr:nvPicPr>
        <xdr:cNvPr id="85258" name="Imagen 38">
          <a:extLst>
            <a:ext uri="{FF2B5EF4-FFF2-40B4-BE49-F238E27FC236}">
              <a16:creationId xmlns:a16="http://schemas.microsoft.com/office/drawing/2014/main" id="{00000000-0008-0000-0500-00000A4D01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7183100" y="22278975"/>
          <a:ext cx="3695700" cy="2952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428625</xdr:colOff>
      <xdr:row>133</xdr:row>
      <xdr:rowOff>161925</xdr:rowOff>
    </xdr:from>
    <xdr:to>
      <xdr:col>27</xdr:col>
      <xdr:colOff>390525</xdr:colOff>
      <xdr:row>152</xdr:row>
      <xdr:rowOff>161925</xdr:rowOff>
    </xdr:to>
    <xdr:pic>
      <xdr:nvPicPr>
        <xdr:cNvPr id="85259" name="Imagen 39">
          <a:extLst>
            <a:ext uri="{FF2B5EF4-FFF2-40B4-BE49-F238E27FC236}">
              <a16:creationId xmlns:a16="http://schemas.microsoft.com/office/drawing/2014/main" id="{00000000-0008-0000-0500-00000B4D01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6154400" y="26069925"/>
          <a:ext cx="4533900" cy="36195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35876</xdr:colOff>
      <xdr:row>137</xdr:row>
      <xdr:rowOff>186788</xdr:rowOff>
    </xdr:from>
    <xdr:to>
      <xdr:col>5</xdr:col>
      <xdr:colOff>552946</xdr:colOff>
      <xdr:row>147</xdr:row>
      <xdr:rowOff>145967</xdr:rowOff>
    </xdr:to>
    <xdr:sp macro="" textlink="">
      <xdr:nvSpPr>
        <xdr:cNvPr id="41" name="Llamada de flecha a la derecha 40">
          <a:extLst>
            <a:ext uri="{FF2B5EF4-FFF2-40B4-BE49-F238E27FC236}">
              <a16:creationId xmlns:a16="http://schemas.microsoft.com/office/drawing/2014/main" id="{00000000-0008-0000-0500-000029000000}"/>
            </a:ext>
          </a:extLst>
        </xdr:cNvPr>
        <xdr:cNvSpPr/>
      </xdr:nvSpPr>
      <xdr:spPr>
        <a:xfrm>
          <a:off x="645476" y="26266238"/>
          <a:ext cx="3441245" cy="1864179"/>
        </a:xfrm>
        <a:prstGeom prst="rightArrowCallout">
          <a:avLst>
            <a:gd name="adj1" fmla="val 21112"/>
            <a:gd name="adj2" fmla="val 20722"/>
            <a:gd name="adj3" fmla="val 45306"/>
            <a:gd name="adj4" fmla="val 62241"/>
          </a:avLst>
        </a:prstGeom>
        <a:solidFill>
          <a:schemeClr val="tx2">
            <a:lumMod val="60000"/>
            <a:lumOff val="4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s-PE" sz="2000" b="1" baseline="0">
              <a:solidFill>
                <a:schemeClr val="lt1"/>
              </a:solidFill>
              <a:latin typeface="+mn-lt"/>
              <a:ea typeface="+mn-ea"/>
              <a:cs typeface="+mn-cs"/>
            </a:rPr>
            <a:t>ESTUDIO GEOFÍSICO</a:t>
          </a:r>
        </a:p>
      </xdr:txBody>
    </xdr:sp>
    <xdr:clientData/>
  </xdr:twoCellAnchor>
  <xdr:twoCellAnchor>
    <xdr:from>
      <xdr:col>5</xdr:col>
      <xdr:colOff>748391</xdr:colOff>
      <xdr:row>133</xdr:row>
      <xdr:rowOff>135874</xdr:rowOff>
    </xdr:from>
    <xdr:to>
      <xdr:col>20</xdr:col>
      <xdr:colOff>345108</xdr:colOff>
      <xdr:row>153</xdr:row>
      <xdr:rowOff>124239</xdr:rowOff>
    </xdr:to>
    <xdr:sp macro="" textlink="">
      <xdr:nvSpPr>
        <xdr:cNvPr id="42" name="Rectángulo redondeado 41">
          <a:extLst>
            <a:ext uri="{FF2B5EF4-FFF2-40B4-BE49-F238E27FC236}">
              <a16:creationId xmlns:a16="http://schemas.microsoft.com/office/drawing/2014/main" id="{00000000-0008-0000-0500-00002A000000}"/>
            </a:ext>
          </a:extLst>
        </xdr:cNvPr>
        <xdr:cNvSpPr/>
      </xdr:nvSpPr>
      <xdr:spPr>
        <a:xfrm>
          <a:off x="4282166" y="25453324"/>
          <a:ext cx="11026717" cy="3798365"/>
        </a:xfrm>
        <a:prstGeom prst="round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PE" sz="2000" b="1" baseline="0">
              <a:solidFill>
                <a:schemeClr val="accent2">
                  <a:lumMod val="50000"/>
                </a:schemeClr>
              </a:solidFill>
              <a:latin typeface="+mn-lt"/>
              <a:ea typeface="+mn-ea"/>
              <a:cs typeface="+mn-cs"/>
            </a:rPr>
            <a:t>CRITERIOS PARA LA ELABORACIÓN DEL ESTUDIO GEOFÍSICO</a:t>
          </a:r>
        </a:p>
        <a:p>
          <a:pPr marL="0" marR="0" lvl="0" indent="0" algn="ctr" defTabSz="914400" eaLnBrk="1" fontAlgn="auto" latinLnBrk="0" hangingPunct="1">
            <a:lnSpc>
              <a:spcPts val="2300"/>
            </a:lnSpc>
            <a:spcBef>
              <a:spcPts val="0"/>
            </a:spcBef>
            <a:spcAft>
              <a:spcPts val="0"/>
            </a:spcAft>
            <a:buClrTx/>
            <a:buSzTx/>
            <a:buFontTx/>
            <a:buNone/>
            <a:tabLst/>
            <a:defRPr/>
          </a:pPr>
          <a:endParaRPr lang="es-PE" sz="2000" b="1" baseline="0">
            <a:solidFill>
              <a:schemeClr val="accent2">
                <a:lumMod val="50000"/>
              </a:schemeClr>
            </a:solidFill>
            <a:latin typeface="+mn-lt"/>
            <a:ea typeface="+mn-ea"/>
            <a:cs typeface="+mn-cs"/>
          </a:endParaRPr>
        </a:p>
        <a:p>
          <a:pPr marL="285750" marR="0" lvl="0" indent="-285750" algn="l" defTabSz="914400" eaLnBrk="1" fontAlgn="auto" latinLnBrk="0" hangingPunct="1">
            <a:lnSpc>
              <a:spcPct val="100000"/>
            </a:lnSpc>
            <a:spcBef>
              <a:spcPts val="0"/>
            </a:spcBef>
            <a:spcAft>
              <a:spcPts val="0"/>
            </a:spcAft>
            <a:buClrTx/>
            <a:buSzTx/>
            <a:buFont typeface="Wingdings" panose="05000000000000000000" pitchFamily="2" charset="2"/>
            <a:buChar char="§"/>
            <a:tabLst/>
            <a:defRPr/>
          </a:pPr>
          <a:r>
            <a:rPr lang="es-PE" sz="2000" b="0" baseline="0">
              <a:solidFill>
                <a:sysClr val="windowText" lastClr="000000"/>
              </a:solidFill>
              <a:latin typeface="+mn-lt"/>
              <a:ea typeface="+mn-ea"/>
              <a:cs typeface="+mn-cs"/>
            </a:rPr>
            <a:t>Realizar como mínimo 03 puntos para el SEV (Sondaje Eléctrico Vertical)</a:t>
          </a:r>
        </a:p>
        <a:p>
          <a:pPr marL="285750" marR="0" lvl="0" indent="-285750" algn="l" defTabSz="914400" eaLnBrk="1" fontAlgn="auto" latinLnBrk="0" hangingPunct="1">
            <a:lnSpc>
              <a:spcPts val="2300"/>
            </a:lnSpc>
            <a:spcBef>
              <a:spcPts val="0"/>
            </a:spcBef>
            <a:spcAft>
              <a:spcPts val="0"/>
            </a:spcAft>
            <a:buClrTx/>
            <a:buSzTx/>
            <a:buFont typeface="Wingdings" panose="05000000000000000000" pitchFamily="2" charset="2"/>
            <a:buChar char="§"/>
            <a:tabLst/>
            <a:defRPr/>
          </a:pPr>
          <a:r>
            <a:rPr lang="es-PE" sz="2000" b="0" baseline="0">
              <a:solidFill>
                <a:sysClr val="windowText" lastClr="000000"/>
              </a:solidFill>
              <a:latin typeface="+mn-lt"/>
              <a:ea typeface="+mn-ea"/>
              <a:cs typeface="+mn-cs"/>
            </a:rPr>
            <a:t>Determinar las profundidades de las capas </a:t>
          </a:r>
          <a:r>
            <a:rPr lang="es-PE" sz="2000" b="0" baseline="0">
              <a:solidFill>
                <a:sysClr val="windowText" lastClr="000000"/>
              </a:solidFill>
              <a:effectLst/>
              <a:latin typeface="+mn-lt"/>
              <a:ea typeface="+mn-ea"/>
              <a:cs typeface="+mn-cs"/>
            </a:rPr>
            <a:t>del</a:t>
          </a:r>
          <a:r>
            <a:rPr lang="es-PE" sz="2000" b="0" baseline="0">
              <a:solidFill>
                <a:sysClr val="windowText" lastClr="000000"/>
              </a:solidFill>
              <a:latin typeface="+mn-lt"/>
              <a:ea typeface="+mn-ea"/>
              <a:cs typeface="+mn-cs"/>
            </a:rPr>
            <a:t> subsuelo, incluyendo la presencia de aguas subterráneas.</a:t>
          </a:r>
        </a:p>
        <a:p>
          <a:pPr marL="285750" marR="0" lvl="0" indent="-285750" algn="l" defTabSz="914400" eaLnBrk="1" fontAlgn="auto" latinLnBrk="0" hangingPunct="1">
            <a:lnSpc>
              <a:spcPct val="100000"/>
            </a:lnSpc>
            <a:spcBef>
              <a:spcPts val="0"/>
            </a:spcBef>
            <a:spcAft>
              <a:spcPts val="0"/>
            </a:spcAft>
            <a:buClrTx/>
            <a:buSzTx/>
            <a:buFont typeface="Wingdings" panose="05000000000000000000" pitchFamily="2" charset="2"/>
            <a:buChar char="§"/>
            <a:tabLst/>
            <a:defRPr/>
          </a:pPr>
          <a:r>
            <a:rPr lang="es-PE" sz="2000" b="0" baseline="0">
              <a:solidFill>
                <a:sysClr val="windowText" lastClr="000000"/>
              </a:solidFill>
              <a:latin typeface="+mn-lt"/>
              <a:ea typeface="+mn-ea"/>
              <a:cs typeface="+mn-cs"/>
            </a:rPr>
            <a:t>El sondaje eléctrico vertical es una prueba que se usa para conocer la distribución de resistividad del suelo.</a:t>
          </a:r>
        </a:p>
        <a:p>
          <a:pPr marL="285750" marR="0" lvl="0" indent="-285750" algn="l" defTabSz="914400" eaLnBrk="1" fontAlgn="auto" latinLnBrk="0" hangingPunct="1">
            <a:lnSpc>
              <a:spcPts val="2300"/>
            </a:lnSpc>
            <a:spcBef>
              <a:spcPts val="0"/>
            </a:spcBef>
            <a:spcAft>
              <a:spcPts val="0"/>
            </a:spcAft>
            <a:buClrTx/>
            <a:buSzTx/>
            <a:buFont typeface="Wingdings" panose="05000000000000000000" pitchFamily="2" charset="2"/>
            <a:buChar char="§"/>
            <a:tabLst/>
            <a:defRPr/>
          </a:pPr>
          <a:r>
            <a:rPr lang="es-PE" sz="2000" b="0" baseline="0">
              <a:solidFill>
                <a:sysClr val="windowText" lastClr="000000"/>
              </a:solidFill>
              <a:latin typeface="+mn-lt"/>
              <a:ea typeface="+mn-ea"/>
              <a:cs typeface="+mn-cs"/>
            </a:rPr>
            <a:t>Dicho estudio servirá para la toma de decisiones y permitirá definir el diseño del relleno sanitario (trinchera, área o la combinación de ambos métodos).</a:t>
          </a:r>
          <a:r>
            <a:rPr lang="es-PE" sz="1800" b="0" baseline="0">
              <a:solidFill>
                <a:sysClr val="windowText" lastClr="000000"/>
              </a:solidFill>
              <a:effectLst/>
              <a:latin typeface="+mn-lt"/>
              <a:ea typeface="+mn-ea"/>
              <a:cs typeface="+mn-cs"/>
            </a:rPr>
            <a:t> </a:t>
          </a:r>
          <a:endParaRPr lang="es-PE" sz="1800">
            <a:solidFill>
              <a:sysClr val="windowText" lastClr="000000"/>
            </a:solidFill>
            <a:effectLst/>
          </a:endParaRPr>
        </a:p>
        <a:p>
          <a:pPr eaLnBrk="1" fontAlgn="auto" latinLnBrk="0" hangingPunct="1">
            <a:lnSpc>
              <a:spcPts val="2000"/>
            </a:lnSpc>
          </a:pPr>
          <a:endParaRPr lang="es-PE" sz="1800" b="0" baseline="0">
            <a:solidFill>
              <a:sysClr val="windowText" lastClr="000000"/>
            </a:solidFill>
            <a:effectLst/>
            <a:latin typeface="+mn-lt"/>
            <a:ea typeface="+mn-ea"/>
            <a:cs typeface="+mn-cs"/>
          </a:endParaRPr>
        </a:p>
      </xdr:txBody>
    </xdr:sp>
    <xdr:clientData/>
  </xdr:twoCellAnchor>
  <xdr:twoCellAnchor>
    <xdr:from>
      <xdr:col>20</xdr:col>
      <xdr:colOff>440555</xdr:colOff>
      <xdr:row>140</xdr:row>
      <xdr:rowOff>109647</xdr:rowOff>
    </xdr:from>
    <xdr:to>
      <xdr:col>21</xdr:col>
      <xdr:colOff>211995</xdr:colOff>
      <xdr:row>143</xdr:row>
      <xdr:rowOff>132859</xdr:rowOff>
    </xdr:to>
    <xdr:sp macro="" textlink="">
      <xdr:nvSpPr>
        <xdr:cNvPr id="43" name="Flecha a la derecha con bandas 42">
          <a:extLst>
            <a:ext uri="{FF2B5EF4-FFF2-40B4-BE49-F238E27FC236}">
              <a16:creationId xmlns:a16="http://schemas.microsoft.com/office/drawing/2014/main" id="{00000000-0008-0000-0500-00002B000000}"/>
            </a:ext>
          </a:extLst>
        </xdr:cNvPr>
        <xdr:cNvSpPr/>
      </xdr:nvSpPr>
      <xdr:spPr>
        <a:xfrm>
          <a:off x="15404330" y="26760597"/>
          <a:ext cx="533440" cy="594712"/>
        </a:xfrm>
        <a:prstGeom prst="stripedRightArrow">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PE"/>
        </a:p>
      </xdr:txBody>
    </xdr:sp>
    <xdr:clientData/>
  </xdr:twoCellAnchor>
  <xdr:twoCellAnchor>
    <xdr:from>
      <xdr:col>1</xdr:col>
      <xdr:colOff>17318</xdr:colOff>
      <xdr:row>161</xdr:row>
      <xdr:rowOff>155863</xdr:rowOff>
    </xdr:from>
    <xdr:to>
      <xdr:col>5</xdr:col>
      <xdr:colOff>534388</xdr:colOff>
      <xdr:row>171</xdr:row>
      <xdr:rowOff>115042</xdr:rowOff>
    </xdr:to>
    <xdr:sp macro="" textlink="">
      <xdr:nvSpPr>
        <xdr:cNvPr id="44" name="Llamada de flecha a la derecha 43">
          <a:extLst>
            <a:ext uri="{FF2B5EF4-FFF2-40B4-BE49-F238E27FC236}">
              <a16:creationId xmlns:a16="http://schemas.microsoft.com/office/drawing/2014/main" id="{00000000-0008-0000-0500-00002C000000}"/>
            </a:ext>
          </a:extLst>
        </xdr:cNvPr>
        <xdr:cNvSpPr/>
      </xdr:nvSpPr>
      <xdr:spPr>
        <a:xfrm>
          <a:off x="626918" y="30807313"/>
          <a:ext cx="3441245" cy="1864179"/>
        </a:xfrm>
        <a:prstGeom prst="rightArrowCallout">
          <a:avLst>
            <a:gd name="adj1" fmla="val 21112"/>
            <a:gd name="adj2" fmla="val 20722"/>
            <a:gd name="adj3" fmla="val 45306"/>
            <a:gd name="adj4" fmla="val 62241"/>
          </a:avLst>
        </a:prstGeom>
        <a:solidFill>
          <a:schemeClr val="tx2">
            <a:lumMod val="60000"/>
            <a:lumOff val="4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s-PE" sz="2000" b="1" baseline="0">
              <a:solidFill>
                <a:schemeClr val="lt1"/>
              </a:solidFill>
              <a:latin typeface="+mn-lt"/>
              <a:ea typeface="+mn-ea"/>
              <a:cs typeface="+mn-cs"/>
            </a:rPr>
            <a:t>ESTUDIO DE SUELOS</a:t>
          </a:r>
        </a:p>
      </xdr:txBody>
    </xdr:sp>
    <xdr:clientData/>
  </xdr:twoCellAnchor>
  <xdr:twoCellAnchor>
    <xdr:from>
      <xdr:col>6</xdr:col>
      <xdr:colOff>144068</xdr:colOff>
      <xdr:row>158</xdr:row>
      <xdr:rowOff>41414</xdr:rowOff>
    </xdr:from>
    <xdr:to>
      <xdr:col>19</xdr:col>
      <xdr:colOff>289891</xdr:colOff>
      <xdr:row>176</xdr:row>
      <xdr:rowOff>41413</xdr:rowOff>
    </xdr:to>
    <xdr:sp macro="" textlink="">
      <xdr:nvSpPr>
        <xdr:cNvPr id="45" name="Rectángulo redondeado 44">
          <a:extLst>
            <a:ext uri="{FF2B5EF4-FFF2-40B4-BE49-F238E27FC236}">
              <a16:creationId xmlns:a16="http://schemas.microsoft.com/office/drawing/2014/main" id="{00000000-0008-0000-0500-00002D000000}"/>
            </a:ext>
          </a:extLst>
        </xdr:cNvPr>
        <xdr:cNvSpPr/>
      </xdr:nvSpPr>
      <xdr:spPr>
        <a:xfrm>
          <a:off x="4439843" y="30121364"/>
          <a:ext cx="10051823" cy="3428999"/>
        </a:xfrm>
        <a:prstGeom prst="roundRect">
          <a:avLst/>
        </a:prstGeom>
        <a:solidFill>
          <a:schemeClr val="accent4">
            <a:lumMod val="20000"/>
            <a:lumOff val="8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b="1" baseline="0">
              <a:solidFill>
                <a:schemeClr val="accent2">
                  <a:lumMod val="50000"/>
                </a:schemeClr>
              </a:solidFill>
              <a:effectLst/>
              <a:latin typeface="+mn-lt"/>
              <a:ea typeface="+mn-ea"/>
              <a:cs typeface="+mn-cs"/>
            </a:rPr>
            <a:t>CRITERIOS PARA LA ELABORACIÓN DEL ESTUDIO DE SUELOS</a:t>
          </a:r>
        </a:p>
        <a:p>
          <a:pPr>
            <a:lnSpc>
              <a:spcPts val="1900"/>
            </a:lnSpc>
          </a:pPr>
          <a:endParaRPr lang="es-PE" sz="1600" b="0" baseline="0">
            <a:solidFill>
              <a:sysClr val="windowText" lastClr="000000"/>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s-PE" sz="1600" b="0" baseline="0">
              <a:solidFill>
                <a:sysClr val="windowText" lastClr="000000"/>
              </a:solidFill>
              <a:effectLst/>
              <a:latin typeface="+mn-lt"/>
              <a:ea typeface="+mn-ea"/>
              <a:cs typeface="+mn-cs"/>
            </a:rPr>
            <a:t>• </a:t>
          </a:r>
          <a:r>
            <a:rPr lang="es-PE" sz="2000" b="1" baseline="0">
              <a:solidFill>
                <a:schemeClr val="accent2">
                  <a:lumMod val="50000"/>
                </a:schemeClr>
              </a:solidFill>
              <a:effectLst/>
              <a:latin typeface="+mn-lt"/>
              <a:ea typeface="+mn-ea"/>
              <a:cs typeface="+mn-cs"/>
            </a:rPr>
            <a:t>  </a:t>
          </a:r>
          <a:r>
            <a:rPr lang="es-PE" sz="2000" b="0" baseline="0">
              <a:solidFill>
                <a:sysClr val="windowText" lastClr="000000"/>
              </a:solidFill>
              <a:effectLst/>
              <a:latin typeface="+mn-lt"/>
              <a:ea typeface="+mn-ea"/>
              <a:cs typeface="+mn-cs"/>
            </a:rPr>
            <a:t>Realizar como mínimo 03 calicatas en el área de estudio con la finalidad de determinar las profundidades de las capas del subsuelo, tipo de suelo y elaborar el perfil estratigráfico.</a:t>
          </a:r>
        </a:p>
        <a:p>
          <a:pPr marL="342900" marR="0" indent="-342900" defTabSz="914400" eaLnBrk="1" fontAlgn="auto" latinLnBrk="0" hangingPunct="1">
            <a:lnSpc>
              <a:spcPts val="2300"/>
            </a:lnSpc>
            <a:spcBef>
              <a:spcPts val="0"/>
            </a:spcBef>
            <a:spcAft>
              <a:spcPts val="0"/>
            </a:spcAft>
            <a:buClrTx/>
            <a:buSzTx/>
            <a:buFont typeface="Arial" panose="020B0604020202020204" pitchFamily="34" charset="0"/>
            <a:buChar char="•"/>
            <a:tabLst/>
            <a:defRPr/>
          </a:pPr>
          <a:r>
            <a:rPr lang="es-PE" sz="2000" b="0" baseline="0">
              <a:solidFill>
                <a:sysClr val="windowText" lastClr="000000"/>
              </a:solidFill>
              <a:effectLst/>
              <a:latin typeface="+mn-lt"/>
              <a:ea typeface="+mn-ea"/>
              <a:cs typeface="+mn-cs"/>
            </a:rPr>
            <a:t>Evaluar la disponibilidad de material de cobertura para la etapa de operación del relleno sanitario considerando las características del material que permita el correcto confinamiento de los residuos.  En caso que el área del proyecto no disponga del material de cobertura, deberá realizar un estudio de canteras y/o material para cobertura.</a:t>
          </a:r>
        </a:p>
        <a:p>
          <a:pPr marL="0" marR="0" indent="0" defTabSz="914400" eaLnBrk="1" fontAlgn="auto" latinLnBrk="0" hangingPunct="1">
            <a:lnSpc>
              <a:spcPts val="1900"/>
            </a:lnSpc>
            <a:spcBef>
              <a:spcPts val="0"/>
            </a:spcBef>
            <a:spcAft>
              <a:spcPts val="0"/>
            </a:spcAft>
            <a:buClrTx/>
            <a:buSzTx/>
            <a:buFontTx/>
            <a:buNone/>
            <a:tabLst/>
            <a:defRPr/>
          </a:pPr>
          <a:endParaRPr lang="es-PE" sz="1600" b="0" baseline="0">
            <a:solidFill>
              <a:sysClr val="windowText" lastClr="000000"/>
            </a:solidFill>
            <a:effectLst/>
            <a:latin typeface="+mn-lt"/>
            <a:ea typeface="+mn-ea"/>
            <a:cs typeface="+mn-cs"/>
          </a:endParaRPr>
        </a:p>
        <a:p>
          <a:pPr marL="285750" marR="0" indent="-2857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es-PE" sz="1600" b="0" baseline="0">
            <a:solidFill>
              <a:sysClr val="windowText" lastClr="000000"/>
            </a:solidFill>
            <a:effectLst/>
            <a:latin typeface="+mn-lt"/>
            <a:ea typeface="+mn-ea"/>
            <a:cs typeface="+mn-cs"/>
          </a:endParaRPr>
        </a:p>
      </xdr:txBody>
    </xdr:sp>
    <xdr:clientData/>
  </xdr:twoCellAnchor>
  <xdr:twoCellAnchor>
    <xdr:from>
      <xdr:col>19</xdr:col>
      <xdr:colOff>314238</xdr:colOff>
      <xdr:row>165</xdr:row>
      <xdr:rowOff>62244</xdr:rowOff>
    </xdr:from>
    <xdr:to>
      <xdr:col>20</xdr:col>
      <xdr:colOff>85678</xdr:colOff>
      <xdr:row>168</xdr:row>
      <xdr:rowOff>85456</xdr:rowOff>
    </xdr:to>
    <xdr:sp macro="" textlink="">
      <xdr:nvSpPr>
        <xdr:cNvPr id="46" name="Flecha a la derecha con bandas 45">
          <a:extLst>
            <a:ext uri="{FF2B5EF4-FFF2-40B4-BE49-F238E27FC236}">
              <a16:creationId xmlns:a16="http://schemas.microsoft.com/office/drawing/2014/main" id="{00000000-0008-0000-0500-00002E000000}"/>
            </a:ext>
          </a:extLst>
        </xdr:cNvPr>
        <xdr:cNvSpPr/>
      </xdr:nvSpPr>
      <xdr:spPr>
        <a:xfrm>
          <a:off x="14516013" y="31475694"/>
          <a:ext cx="533440" cy="594712"/>
        </a:xfrm>
        <a:prstGeom prst="stripedRightArrow">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PE"/>
        </a:p>
      </xdr:txBody>
    </xdr:sp>
    <xdr:clientData/>
  </xdr:twoCellAnchor>
  <mc:AlternateContent xmlns:mc="http://schemas.openxmlformats.org/markup-compatibility/2006">
    <mc:Choice xmlns:a14="http://schemas.microsoft.com/office/drawing/2010/main" Requires="a14">
      <xdr:twoCellAnchor>
        <xdr:from>
          <xdr:col>1</xdr:col>
          <xdr:colOff>28575</xdr:colOff>
          <xdr:row>2</xdr:row>
          <xdr:rowOff>257175</xdr:rowOff>
        </xdr:from>
        <xdr:to>
          <xdr:col>3</xdr:col>
          <xdr:colOff>533400</xdr:colOff>
          <xdr:row>3</xdr:row>
          <xdr:rowOff>276225</xdr:rowOff>
        </xdr:to>
        <xdr:sp macro="" textlink="">
          <xdr:nvSpPr>
            <xdr:cNvPr id="84993" name="CommandButton1" hidden="1">
              <a:extLst>
                <a:ext uri="{63B3BB69-23CF-44E3-9099-C40C66FF867C}">
                  <a14:compatExt spid="_x0000_s84993"/>
                </a:ext>
                <a:ext uri="{FF2B5EF4-FFF2-40B4-BE49-F238E27FC236}">
                  <a16:creationId xmlns:a16="http://schemas.microsoft.com/office/drawing/2014/main" id="{00000000-0008-0000-0500-000001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213</xdr:row>
          <xdr:rowOff>47625</xdr:rowOff>
        </xdr:from>
        <xdr:to>
          <xdr:col>3</xdr:col>
          <xdr:colOff>552450</xdr:colOff>
          <xdr:row>214</xdr:row>
          <xdr:rowOff>171450</xdr:rowOff>
        </xdr:to>
        <xdr:sp macro="" textlink="">
          <xdr:nvSpPr>
            <xdr:cNvPr id="84995" name="CommandButton2" hidden="1">
              <a:extLst>
                <a:ext uri="{63B3BB69-23CF-44E3-9099-C40C66FF867C}">
                  <a14:compatExt spid="_x0000_s84995"/>
                </a:ext>
                <a:ext uri="{FF2B5EF4-FFF2-40B4-BE49-F238E27FC236}">
                  <a16:creationId xmlns:a16="http://schemas.microsoft.com/office/drawing/2014/main" id="{00000000-0008-0000-0500-000003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2</xdr:row>
          <xdr:rowOff>9525</xdr:rowOff>
        </xdr:from>
        <xdr:to>
          <xdr:col>0</xdr:col>
          <xdr:colOff>1952625</xdr:colOff>
          <xdr:row>2</xdr:row>
          <xdr:rowOff>323850</xdr:rowOff>
        </xdr:to>
        <xdr:sp macro="" textlink="">
          <xdr:nvSpPr>
            <xdr:cNvPr id="99329" name="CommandButton1" hidden="1">
              <a:extLst>
                <a:ext uri="{63B3BB69-23CF-44E3-9099-C40C66FF867C}">
                  <a14:compatExt spid="_x0000_s99329"/>
                </a:ext>
                <a:ext uri="{FF2B5EF4-FFF2-40B4-BE49-F238E27FC236}">
                  <a16:creationId xmlns:a16="http://schemas.microsoft.com/office/drawing/2014/main" id="{00000000-0008-0000-0600-0000018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19</xdr:row>
          <xdr:rowOff>28575</xdr:rowOff>
        </xdr:from>
        <xdr:to>
          <xdr:col>0</xdr:col>
          <xdr:colOff>1962150</xdr:colOff>
          <xdr:row>20</xdr:row>
          <xdr:rowOff>152400</xdr:rowOff>
        </xdr:to>
        <xdr:sp macro="" textlink="">
          <xdr:nvSpPr>
            <xdr:cNvPr id="99331" name="CommandButton2" hidden="1">
              <a:extLst>
                <a:ext uri="{63B3BB69-23CF-44E3-9099-C40C66FF867C}">
                  <a14:compatExt spid="_x0000_s99331"/>
                </a:ext>
                <a:ext uri="{FF2B5EF4-FFF2-40B4-BE49-F238E27FC236}">
                  <a16:creationId xmlns:a16="http://schemas.microsoft.com/office/drawing/2014/main" id="{00000000-0008-0000-0600-0000038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2</xdr:row>
          <xdr:rowOff>66675</xdr:rowOff>
        </xdr:from>
        <xdr:to>
          <xdr:col>1</xdr:col>
          <xdr:colOff>1676400</xdr:colOff>
          <xdr:row>3</xdr:row>
          <xdr:rowOff>190500</xdr:rowOff>
        </xdr:to>
        <xdr:sp macro="" textlink="">
          <xdr:nvSpPr>
            <xdr:cNvPr id="119809" name="CommandButton1" hidden="1">
              <a:extLst>
                <a:ext uri="{63B3BB69-23CF-44E3-9099-C40C66FF867C}">
                  <a14:compatExt spid="_x0000_s119809"/>
                </a:ext>
                <a:ext uri="{FF2B5EF4-FFF2-40B4-BE49-F238E27FC236}">
                  <a16:creationId xmlns:a16="http://schemas.microsoft.com/office/drawing/2014/main" id="{00000000-0008-0000-0700-000001D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30</xdr:row>
          <xdr:rowOff>47625</xdr:rowOff>
        </xdr:from>
        <xdr:to>
          <xdr:col>1</xdr:col>
          <xdr:colOff>1885950</xdr:colOff>
          <xdr:row>31</xdr:row>
          <xdr:rowOff>209550</xdr:rowOff>
        </xdr:to>
        <xdr:sp macro="" textlink="">
          <xdr:nvSpPr>
            <xdr:cNvPr id="119810" name="CommandButton2" hidden="1">
              <a:extLst>
                <a:ext uri="{63B3BB69-23CF-44E3-9099-C40C66FF867C}">
                  <a14:compatExt spid="_x0000_s119810"/>
                </a:ext>
                <a:ext uri="{FF2B5EF4-FFF2-40B4-BE49-F238E27FC236}">
                  <a16:creationId xmlns:a16="http://schemas.microsoft.com/office/drawing/2014/main" id="{00000000-0008-0000-0700-000002D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0</xdr:rowOff>
        </xdr:from>
        <xdr:to>
          <xdr:col>1</xdr:col>
          <xdr:colOff>1209675</xdr:colOff>
          <xdr:row>3</xdr:row>
          <xdr:rowOff>314325</xdr:rowOff>
        </xdr:to>
        <xdr:sp macro="" textlink="">
          <xdr:nvSpPr>
            <xdr:cNvPr id="98305" name="CommandButton1" hidden="1">
              <a:extLst>
                <a:ext uri="{63B3BB69-23CF-44E3-9099-C40C66FF867C}">
                  <a14:compatExt spid="_x0000_s98305"/>
                </a:ext>
                <a:ext uri="{FF2B5EF4-FFF2-40B4-BE49-F238E27FC236}">
                  <a16:creationId xmlns:a16="http://schemas.microsoft.com/office/drawing/2014/main" id="{00000000-0008-0000-0800-000001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62</xdr:row>
          <xdr:rowOff>171450</xdr:rowOff>
        </xdr:from>
        <xdr:to>
          <xdr:col>2</xdr:col>
          <xdr:colOff>276225</xdr:colOff>
          <xdr:row>63</xdr:row>
          <xdr:rowOff>295275</xdr:rowOff>
        </xdr:to>
        <xdr:sp macro="" textlink="">
          <xdr:nvSpPr>
            <xdr:cNvPr id="98307" name="CommandButton3" hidden="1">
              <a:extLst>
                <a:ext uri="{63B3BB69-23CF-44E3-9099-C40C66FF867C}">
                  <a14:compatExt spid="_x0000_s98307"/>
                </a:ext>
                <a:ext uri="{FF2B5EF4-FFF2-40B4-BE49-F238E27FC236}">
                  <a16:creationId xmlns:a16="http://schemas.microsoft.com/office/drawing/2014/main" id="{00000000-0008-0000-0800-000003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714375</xdr:colOff>
          <xdr:row>101</xdr:row>
          <xdr:rowOff>314325</xdr:rowOff>
        </xdr:from>
        <xdr:to>
          <xdr:col>2</xdr:col>
          <xdr:colOff>228600</xdr:colOff>
          <xdr:row>103</xdr:row>
          <xdr:rowOff>9525</xdr:rowOff>
        </xdr:to>
        <xdr:sp macro="" textlink="">
          <xdr:nvSpPr>
            <xdr:cNvPr id="98308" name="CommandButton4" hidden="1">
              <a:extLst>
                <a:ext uri="{63B3BB69-23CF-44E3-9099-C40C66FF867C}">
                  <a14:compatExt spid="_x0000_s98308"/>
                </a:ext>
                <a:ext uri="{FF2B5EF4-FFF2-40B4-BE49-F238E27FC236}">
                  <a16:creationId xmlns:a16="http://schemas.microsoft.com/office/drawing/2014/main" id="{00000000-0008-0000-0800-000004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xdr:colOff>
          <xdr:row>52</xdr:row>
          <xdr:rowOff>0</xdr:rowOff>
        </xdr:from>
        <xdr:to>
          <xdr:col>2</xdr:col>
          <xdr:colOff>304800</xdr:colOff>
          <xdr:row>53</xdr:row>
          <xdr:rowOff>19050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A00-000029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53</xdr:row>
          <xdr:rowOff>0</xdr:rowOff>
        </xdr:from>
        <xdr:to>
          <xdr:col>2</xdr:col>
          <xdr:colOff>304800</xdr:colOff>
          <xdr:row>54</xdr:row>
          <xdr:rowOff>19050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A00-00002C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53</xdr:row>
          <xdr:rowOff>0</xdr:rowOff>
        </xdr:from>
        <xdr:to>
          <xdr:col>2</xdr:col>
          <xdr:colOff>304800</xdr:colOff>
          <xdr:row>54</xdr:row>
          <xdr:rowOff>19050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A00-00002D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140</xdr:row>
          <xdr:rowOff>0</xdr:rowOff>
        </xdr:from>
        <xdr:to>
          <xdr:col>2</xdr:col>
          <xdr:colOff>304800</xdr:colOff>
          <xdr:row>140</xdr:row>
          <xdr:rowOff>228600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A00-00003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141</xdr:row>
          <xdr:rowOff>9525</xdr:rowOff>
        </xdr:from>
        <xdr:to>
          <xdr:col>2</xdr:col>
          <xdr:colOff>304800</xdr:colOff>
          <xdr:row>141</xdr:row>
          <xdr:rowOff>238125</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A00-00003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1</xdr:row>
          <xdr:rowOff>104775</xdr:rowOff>
        </xdr:from>
        <xdr:to>
          <xdr:col>1</xdr:col>
          <xdr:colOff>1438275</xdr:colOff>
          <xdr:row>3</xdr:row>
          <xdr:rowOff>38100</xdr:rowOff>
        </xdr:to>
        <xdr:sp macro="" textlink="">
          <xdr:nvSpPr>
            <xdr:cNvPr id="80992" name="CommandButton1" hidden="1">
              <a:extLst>
                <a:ext uri="{63B3BB69-23CF-44E3-9099-C40C66FF867C}">
                  <a14:compatExt spid="_x0000_s80992"/>
                </a:ext>
                <a:ext uri="{FF2B5EF4-FFF2-40B4-BE49-F238E27FC236}">
                  <a16:creationId xmlns:a16="http://schemas.microsoft.com/office/drawing/2014/main" id="{00000000-0008-0000-0A00-000060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47625</xdr:colOff>
          <xdr:row>623</xdr:row>
          <xdr:rowOff>123825</xdr:rowOff>
        </xdr:from>
        <xdr:to>
          <xdr:col>1</xdr:col>
          <xdr:colOff>1685925</xdr:colOff>
          <xdr:row>624</xdr:row>
          <xdr:rowOff>266700</xdr:rowOff>
        </xdr:to>
        <xdr:sp macro="" textlink="">
          <xdr:nvSpPr>
            <xdr:cNvPr id="80994" name="CommandButton2" hidden="1">
              <a:extLst>
                <a:ext uri="{63B3BB69-23CF-44E3-9099-C40C66FF867C}">
                  <a14:compatExt spid="_x0000_s80994"/>
                </a:ext>
                <a:ext uri="{FF2B5EF4-FFF2-40B4-BE49-F238E27FC236}">
                  <a16:creationId xmlns:a16="http://schemas.microsoft.com/office/drawing/2014/main" id="{00000000-0008-0000-0A00-00006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409575</xdr:rowOff>
        </xdr:from>
        <xdr:to>
          <xdr:col>1</xdr:col>
          <xdr:colOff>1190625</xdr:colOff>
          <xdr:row>2</xdr:row>
          <xdr:rowOff>161925</xdr:rowOff>
        </xdr:to>
        <xdr:sp macro="" textlink="">
          <xdr:nvSpPr>
            <xdr:cNvPr id="106497" name="CommandButton1" hidden="1">
              <a:extLst>
                <a:ext uri="{63B3BB69-23CF-44E3-9099-C40C66FF867C}">
                  <a14:compatExt spid="_x0000_s106497"/>
                </a:ext>
                <a:ext uri="{FF2B5EF4-FFF2-40B4-BE49-F238E27FC236}">
                  <a16:creationId xmlns:a16="http://schemas.microsoft.com/office/drawing/2014/main" id="{00000000-0008-0000-0B00-000001A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360</xdr:row>
          <xdr:rowOff>200025</xdr:rowOff>
        </xdr:from>
        <xdr:to>
          <xdr:col>1</xdr:col>
          <xdr:colOff>1457325</xdr:colOff>
          <xdr:row>362</xdr:row>
          <xdr:rowOff>180975</xdr:rowOff>
        </xdr:to>
        <xdr:sp macro="" textlink="">
          <xdr:nvSpPr>
            <xdr:cNvPr id="106498" name="CommandButton2" hidden="1">
              <a:extLst>
                <a:ext uri="{63B3BB69-23CF-44E3-9099-C40C66FF867C}">
                  <a14:compatExt spid="_x0000_s106498"/>
                </a:ext>
                <a:ext uri="{FF2B5EF4-FFF2-40B4-BE49-F238E27FC236}">
                  <a16:creationId xmlns:a16="http://schemas.microsoft.com/office/drawing/2014/main" id="{00000000-0008-0000-0B00-000002A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133350</xdr:colOff>
          <xdr:row>361</xdr:row>
          <xdr:rowOff>28575</xdr:rowOff>
        </xdr:from>
        <xdr:to>
          <xdr:col>8</xdr:col>
          <xdr:colOff>142875</xdr:colOff>
          <xdr:row>362</xdr:row>
          <xdr:rowOff>171450</xdr:rowOff>
        </xdr:to>
        <xdr:sp macro="" textlink="">
          <xdr:nvSpPr>
            <xdr:cNvPr id="106499" name="CommandButton3" hidden="1">
              <a:extLst>
                <a:ext uri="{63B3BB69-23CF-44E3-9099-C40C66FF867C}">
                  <a14:compatExt spid="_x0000_s106499"/>
                </a:ext>
                <a:ext uri="{FF2B5EF4-FFF2-40B4-BE49-F238E27FC236}">
                  <a16:creationId xmlns:a16="http://schemas.microsoft.com/office/drawing/2014/main" id="{00000000-0008-0000-0B00-000003A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714375</xdr:colOff>
          <xdr:row>1</xdr:row>
          <xdr:rowOff>447675</xdr:rowOff>
        </xdr:from>
        <xdr:to>
          <xdr:col>8</xdr:col>
          <xdr:colOff>733425</xdr:colOff>
          <xdr:row>2</xdr:row>
          <xdr:rowOff>142875</xdr:rowOff>
        </xdr:to>
        <xdr:sp macro="" textlink="">
          <xdr:nvSpPr>
            <xdr:cNvPr id="106500" name="CommandButton4" hidden="1">
              <a:extLst>
                <a:ext uri="{63B3BB69-23CF-44E3-9099-C40C66FF867C}">
                  <a14:compatExt spid="_x0000_s106500"/>
                </a:ext>
                <a:ext uri="{FF2B5EF4-FFF2-40B4-BE49-F238E27FC236}">
                  <a16:creationId xmlns:a16="http://schemas.microsoft.com/office/drawing/2014/main" id="{00000000-0008-0000-0B00-000004A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3</xdr:row>
          <xdr:rowOff>114300</xdr:rowOff>
        </xdr:from>
        <xdr:to>
          <xdr:col>0</xdr:col>
          <xdr:colOff>238125</xdr:colOff>
          <xdr:row>3</xdr:row>
          <xdr:rowOff>123825</xdr:rowOff>
        </xdr:to>
        <xdr:sp macro="" textlink="">
          <xdr:nvSpPr>
            <xdr:cNvPr id="108548" name="CommandButton4" hidden="1">
              <a:extLst>
                <a:ext uri="{63B3BB69-23CF-44E3-9099-C40C66FF867C}">
                  <a14:compatExt spid="_x0000_s108548"/>
                </a:ext>
                <a:ext uri="{FF2B5EF4-FFF2-40B4-BE49-F238E27FC236}">
                  <a16:creationId xmlns:a16="http://schemas.microsoft.com/office/drawing/2014/main" id="{00000000-0008-0000-0C00-000004A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6</xdr:row>
          <xdr:rowOff>0</xdr:rowOff>
        </xdr:from>
        <xdr:to>
          <xdr:col>0</xdr:col>
          <xdr:colOff>276225</xdr:colOff>
          <xdr:row>6</xdr:row>
          <xdr:rowOff>9525</xdr:rowOff>
        </xdr:to>
        <xdr:sp macro="" textlink="">
          <xdr:nvSpPr>
            <xdr:cNvPr id="108549" name="CommandButton5" hidden="1">
              <a:extLst>
                <a:ext uri="{63B3BB69-23CF-44E3-9099-C40C66FF867C}">
                  <a14:compatExt spid="_x0000_s108549"/>
                </a:ext>
                <a:ext uri="{FF2B5EF4-FFF2-40B4-BE49-F238E27FC236}">
                  <a16:creationId xmlns:a16="http://schemas.microsoft.com/office/drawing/2014/main" id="{00000000-0008-0000-0C00-000005A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38966</xdr:colOff>
          <xdr:row>1</xdr:row>
          <xdr:rowOff>98715</xdr:rowOff>
        </xdr:from>
        <xdr:to>
          <xdr:col>2</xdr:col>
          <xdr:colOff>732559</xdr:colOff>
          <xdr:row>2</xdr:row>
          <xdr:rowOff>38024</xdr:rowOff>
        </xdr:to>
        <xdr:grpSp>
          <xdr:nvGrpSpPr>
            <xdr:cNvPr id="2" name="1 Grupo">
              <a:extLst>
                <a:ext uri="{FF2B5EF4-FFF2-40B4-BE49-F238E27FC236}">
                  <a16:creationId xmlns:a16="http://schemas.microsoft.com/office/drawing/2014/main" id="{00000000-0008-0000-0C00-000002000000}"/>
                </a:ext>
              </a:extLst>
            </xdr:cNvPr>
            <xdr:cNvGrpSpPr/>
          </xdr:nvGrpSpPr>
          <xdr:grpSpPr>
            <a:xfrm>
              <a:off x="38966" y="438894"/>
              <a:ext cx="6490236" cy="333916"/>
              <a:chOff x="38966" y="313465"/>
              <a:chExt cx="6497754" cy="332504"/>
            </a:xfrm>
          </xdr:grpSpPr>
          <xdr:sp macro="" textlink="">
            <xdr:nvSpPr>
              <xdr:cNvPr id="108545" name="btnCostoEqui" hidden="1">
                <a:extLst>
                  <a:ext uri="{63B3BB69-23CF-44E3-9099-C40C66FF867C}">
                    <a14:compatExt spid="_x0000_s108545"/>
                  </a:ext>
                  <a:ext uri="{FF2B5EF4-FFF2-40B4-BE49-F238E27FC236}">
                    <a16:creationId xmlns:a16="http://schemas.microsoft.com/office/drawing/2014/main" id="{00000000-0008-0000-0C00-000001A80100}"/>
                  </a:ext>
                </a:extLst>
              </xdr:cNvPr>
              <xdr:cNvSpPr/>
            </xdr:nvSpPr>
            <xdr:spPr bwMode="auto">
              <a:xfrm>
                <a:off x="1369002" y="322119"/>
                <a:ext cx="2333625" cy="323850"/>
              </a:xfrm>
              <a:prstGeom prst="rect">
                <a:avLst/>
              </a:prstGeom>
              <a:noFill/>
              <a:ln>
                <a:noFill/>
              </a:ln>
              <a:extLst>
                <a:ext uri="{91240B29-F687-4F45-9708-019B960494DF}">
                  <a14:hiddenLine w="9525">
                    <a:noFill/>
                    <a:miter lim="800000"/>
                    <a:headEnd/>
                    <a:tailEnd/>
                  </a14:hiddenLine>
                </a:ext>
              </a:extLst>
            </xdr:spPr>
          </xdr:sp>
          <xdr:sp macro="" textlink="">
            <xdr:nvSpPr>
              <xdr:cNvPr id="108547" name="btnCostoOrg" hidden="1">
                <a:extLst>
                  <a:ext uri="{63B3BB69-23CF-44E3-9099-C40C66FF867C}">
                    <a14:compatExt spid="_x0000_s108547"/>
                  </a:ext>
                  <a:ext uri="{FF2B5EF4-FFF2-40B4-BE49-F238E27FC236}">
                    <a16:creationId xmlns:a16="http://schemas.microsoft.com/office/drawing/2014/main" id="{00000000-0008-0000-0C00-000003A80100}"/>
                  </a:ext>
                </a:extLst>
              </xdr:cNvPr>
              <xdr:cNvSpPr/>
            </xdr:nvSpPr>
            <xdr:spPr bwMode="auto">
              <a:xfrm>
                <a:off x="3716204" y="322839"/>
                <a:ext cx="2820516" cy="318941"/>
              </a:xfrm>
              <a:prstGeom prst="rect">
                <a:avLst/>
              </a:prstGeom>
              <a:noFill/>
              <a:ln>
                <a:noFill/>
              </a:ln>
              <a:extLst>
                <a:ext uri="{91240B29-F687-4F45-9708-019B960494DF}">
                  <a14:hiddenLine w="9525">
                    <a:noFill/>
                    <a:miter lim="800000"/>
                    <a:headEnd/>
                    <a:tailEnd/>
                  </a14:hiddenLine>
                </a:ext>
              </a:extLst>
            </xdr:spPr>
          </xdr:sp>
          <xdr:sp macro="" textlink="">
            <xdr:nvSpPr>
              <xdr:cNvPr id="108552" name="btnFicha" hidden="1">
                <a:extLst>
                  <a:ext uri="{63B3BB69-23CF-44E3-9099-C40C66FF867C}">
                    <a14:compatExt spid="_x0000_s108552"/>
                  </a:ext>
                  <a:ext uri="{FF2B5EF4-FFF2-40B4-BE49-F238E27FC236}">
                    <a16:creationId xmlns:a16="http://schemas.microsoft.com/office/drawing/2014/main" id="{00000000-0008-0000-0C00-000008A80100}"/>
                  </a:ext>
                </a:extLst>
              </xdr:cNvPr>
              <xdr:cNvSpPr/>
            </xdr:nvSpPr>
            <xdr:spPr bwMode="auto">
              <a:xfrm>
                <a:off x="38966" y="313465"/>
                <a:ext cx="1295400" cy="3238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246783</xdr:colOff>
          <xdr:row>174</xdr:row>
          <xdr:rowOff>67542</xdr:rowOff>
        </xdr:from>
        <xdr:to>
          <xdr:col>3</xdr:col>
          <xdr:colOff>170584</xdr:colOff>
          <xdr:row>176</xdr:row>
          <xdr:rowOff>18186</xdr:rowOff>
        </xdr:to>
        <xdr:grpSp>
          <xdr:nvGrpSpPr>
            <xdr:cNvPr id="3" name="2 Grupo">
              <a:extLst>
                <a:ext uri="{FF2B5EF4-FFF2-40B4-BE49-F238E27FC236}">
                  <a16:creationId xmlns:a16="http://schemas.microsoft.com/office/drawing/2014/main" id="{00000000-0008-0000-0C00-000003000000}"/>
                </a:ext>
              </a:extLst>
            </xdr:cNvPr>
            <xdr:cNvGrpSpPr/>
          </xdr:nvGrpSpPr>
          <xdr:grpSpPr>
            <a:xfrm>
              <a:off x="246783" y="34275899"/>
              <a:ext cx="6482444" cy="331644"/>
              <a:chOff x="246783" y="34160981"/>
              <a:chExt cx="6489962" cy="331644"/>
            </a:xfrm>
          </xdr:grpSpPr>
          <xdr:sp macro="" textlink="">
            <xdr:nvSpPr>
              <xdr:cNvPr id="108546" name="btnCostoOrg2" hidden="1">
                <a:extLst>
                  <a:ext uri="{63B3BB69-23CF-44E3-9099-C40C66FF867C}">
                    <a14:compatExt spid="_x0000_s108546"/>
                  </a:ext>
                  <a:ext uri="{FF2B5EF4-FFF2-40B4-BE49-F238E27FC236}">
                    <a16:creationId xmlns:a16="http://schemas.microsoft.com/office/drawing/2014/main" id="{00000000-0008-0000-0C00-000002A80100}"/>
                  </a:ext>
                </a:extLst>
              </xdr:cNvPr>
              <xdr:cNvSpPr/>
            </xdr:nvSpPr>
            <xdr:spPr bwMode="auto">
              <a:xfrm>
                <a:off x="3916229" y="34168773"/>
                <a:ext cx="2820516" cy="323850"/>
              </a:xfrm>
              <a:prstGeom prst="rect">
                <a:avLst/>
              </a:prstGeom>
              <a:noFill/>
              <a:ln>
                <a:noFill/>
              </a:ln>
              <a:extLst>
                <a:ext uri="{91240B29-F687-4F45-9708-019B960494DF}">
                  <a14:hiddenLine w="9525">
                    <a:noFill/>
                    <a:miter lim="800000"/>
                    <a:headEnd/>
                    <a:tailEnd/>
                  </a14:hiddenLine>
                </a:ext>
              </a:extLst>
            </xdr:spPr>
          </xdr:sp>
          <xdr:sp macro="" textlink="">
            <xdr:nvSpPr>
              <xdr:cNvPr id="108553" name="btnCostoEqui2" hidden="1">
                <a:extLst>
                  <a:ext uri="{63B3BB69-23CF-44E3-9099-C40C66FF867C}">
                    <a14:compatExt spid="_x0000_s108553"/>
                  </a:ext>
                  <a:ext uri="{FF2B5EF4-FFF2-40B4-BE49-F238E27FC236}">
                    <a16:creationId xmlns:a16="http://schemas.microsoft.com/office/drawing/2014/main" id="{00000000-0008-0000-0C00-000009A80100}"/>
                  </a:ext>
                </a:extLst>
              </xdr:cNvPr>
              <xdr:cNvSpPr/>
            </xdr:nvSpPr>
            <xdr:spPr bwMode="auto">
              <a:xfrm>
                <a:off x="1557769" y="34160981"/>
                <a:ext cx="2333625" cy="323850"/>
              </a:xfrm>
              <a:prstGeom prst="rect">
                <a:avLst/>
              </a:prstGeom>
              <a:noFill/>
              <a:ln>
                <a:noFill/>
              </a:ln>
              <a:extLst>
                <a:ext uri="{91240B29-F687-4F45-9708-019B960494DF}">
                  <a14:hiddenLine w="9525">
                    <a:noFill/>
                    <a:miter lim="800000"/>
                    <a:headEnd/>
                    <a:tailEnd/>
                  </a14:hiddenLine>
                </a:ext>
              </a:extLst>
            </xdr:spPr>
          </xdr:sp>
          <xdr:sp macro="" textlink="">
            <xdr:nvSpPr>
              <xdr:cNvPr id="108555" name="btnFicha2" hidden="1">
                <a:extLst>
                  <a:ext uri="{63B3BB69-23CF-44E3-9099-C40C66FF867C}">
                    <a14:compatExt spid="_x0000_s108555"/>
                  </a:ext>
                  <a:ext uri="{FF2B5EF4-FFF2-40B4-BE49-F238E27FC236}">
                    <a16:creationId xmlns:a16="http://schemas.microsoft.com/office/drawing/2014/main" id="{00000000-0008-0000-0C00-00000BA80100}"/>
                  </a:ext>
                </a:extLst>
              </xdr:cNvPr>
              <xdr:cNvSpPr/>
            </xdr:nvSpPr>
            <xdr:spPr bwMode="auto">
              <a:xfrm>
                <a:off x="246783" y="34168775"/>
                <a:ext cx="1295400" cy="3238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1</xdr:row>
          <xdr:rowOff>200024</xdr:rowOff>
        </xdr:from>
        <xdr:to>
          <xdr:col>4</xdr:col>
          <xdr:colOff>9525</xdr:colOff>
          <xdr:row>2</xdr:row>
          <xdr:rowOff>142874</xdr:rowOff>
        </xdr:to>
        <xdr:grpSp>
          <xdr:nvGrpSpPr>
            <xdr:cNvPr id="2" name="1 Grupo">
              <a:extLst>
                <a:ext uri="{FF2B5EF4-FFF2-40B4-BE49-F238E27FC236}">
                  <a16:creationId xmlns:a16="http://schemas.microsoft.com/office/drawing/2014/main" id="{00000000-0008-0000-0D00-000002000000}"/>
                </a:ext>
              </a:extLst>
            </xdr:cNvPr>
            <xdr:cNvGrpSpPr/>
          </xdr:nvGrpSpPr>
          <xdr:grpSpPr>
            <a:xfrm>
              <a:off x="57150" y="468965"/>
              <a:ext cx="6283699" cy="346262"/>
              <a:chOff x="57150" y="292790"/>
              <a:chExt cx="6286501" cy="231085"/>
            </a:xfrm>
          </xdr:grpSpPr>
          <xdr:sp macro="" textlink="">
            <xdr:nvSpPr>
              <xdr:cNvPr id="107521" name="CommandButton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57150" y="301026"/>
                <a:ext cx="1181100" cy="222849"/>
              </a:xfrm>
              <a:prstGeom prst="rect">
                <a:avLst/>
              </a:prstGeom>
              <a:noFill/>
              <a:ln>
                <a:noFill/>
              </a:ln>
              <a:extLst>
                <a:ext uri="{91240B29-F687-4F45-9708-019B960494DF}">
                  <a14:hiddenLine w="9525">
                    <a:noFill/>
                    <a:miter lim="800000"/>
                    <a:headEnd/>
                    <a:tailEnd/>
                  </a14:hiddenLine>
                </a:ext>
              </a:extLst>
            </xdr:spPr>
          </xdr:sp>
          <xdr:sp macro="" textlink="">
            <xdr:nvSpPr>
              <xdr:cNvPr id="107526" name="CommandButton3" hidden="1">
                <a:extLst>
                  <a:ext uri="{63B3BB69-23CF-44E3-9099-C40C66FF867C}">
                    <a14:compatExt spid="_x0000_s107526"/>
                  </a:ext>
                  <a:ext uri="{FF2B5EF4-FFF2-40B4-BE49-F238E27FC236}">
                    <a16:creationId xmlns:a16="http://schemas.microsoft.com/office/drawing/2014/main" id="{00000000-0008-0000-0D00-000006A40100}"/>
                  </a:ext>
                </a:extLst>
              </xdr:cNvPr>
              <xdr:cNvSpPr/>
            </xdr:nvSpPr>
            <xdr:spPr bwMode="auto">
              <a:xfrm>
                <a:off x="1266825" y="292790"/>
                <a:ext cx="2990850" cy="231085"/>
              </a:xfrm>
              <a:prstGeom prst="rect">
                <a:avLst/>
              </a:prstGeom>
              <a:noFill/>
              <a:ln>
                <a:noFill/>
              </a:ln>
              <a:extLst>
                <a:ext uri="{91240B29-F687-4F45-9708-019B960494DF}">
                  <a14:hiddenLine w="9525">
                    <a:noFill/>
                    <a:miter lim="800000"/>
                    <a:headEnd/>
                    <a:tailEnd/>
                  </a14:hiddenLine>
                </a:ext>
              </a:extLst>
            </xdr:spPr>
          </xdr:sp>
          <xdr:sp macro="" textlink="">
            <xdr:nvSpPr>
              <xdr:cNvPr id="107528" name="CommandButton6" hidden="1">
                <a:extLst>
                  <a:ext uri="{63B3BB69-23CF-44E3-9099-C40C66FF867C}">
                    <a14:compatExt spid="_x0000_s107528"/>
                  </a:ext>
                  <a:ext uri="{FF2B5EF4-FFF2-40B4-BE49-F238E27FC236}">
                    <a16:creationId xmlns:a16="http://schemas.microsoft.com/office/drawing/2014/main" id="{00000000-0008-0000-0D00-000008A40100}"/>
                  </a:ext>
                </a:extLst>
              </xdr:cNvPr>
              <xdr:cNvSpPr/>
            </xdr:nvSpPr>
            <xdr:spPr bwMode="auto">
              <a:xfrm>
                <a:off x="4295775" y="292790"/>
                <a:ext cx="2047876" cy="23108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174</xdr:row>
          <xdr:rowOff>0</xdr:rowOff>
        </xdr:from>
        <xdr:to>
          <xdr:col>4</xdr:col>
          <xdr:colOff>0</xdr:colOff>
          <xdr:row>175</xdr:row>
          <xdr:rowOff>114300</xdr:rowOff>
        </xdr:to>
        <xdr:grpSp>
          <xdr:nvGrpSpPr>
            <xdr:cNvPr id="3" name="2 Grupo">
              <a:extLst>
                <a:ext uri="{FF2B5EF4-FFF2-40B4-BE49-F238E27FC236}">
                  <a16:creationId xmlns:a16="http://schemas.microsoft.com/office/drawing/2014/main" id="{00000000-0008-0000-0D00-000003000000}"/>
                </a:ext>
              </a:extLst>
            </xdr:cNvPr>
            <xdr:cNvGrpSpPr/>
          </xdr:nvGrpSpPr>
          <xdr:grpSpPr>
            <a:xfrm>
              <a:off x="57150" y="38862000"/>
              <a:ext cx="6274174" cy="304800"/>
              <a:chOff x="57150" y="38776275"/>
              <a:chExt cx="5658260" cy="304800"/>
            </a:xfrm>
          </xdr:grpSpPr>
          <xdr:sp macro="" textlink="">
            <xdr:nvSpPr>
              <xdr:cNvPr id="107522" name="CommandButton2" hidden="1">
                <a:extLst>
                  <a:ext uri="{63B3BB69-23CF-44E3-9099-C40C66FF867C}">
                    <a14:compatExt spid="_x0000_s107522"/>
                  </a:ext>
                  <a:ext uri="{FF2B5EF4-FFF2-40B4-BE49-F238E27FC236}">
                    <a16:creationId xmlns:a16="http://schemas.microsoft.com/office/drawing/2014/main" id="{00000000-0008-0000-0D00-000002A40100}"/>
                  </a:ext>
                </a:extLst>
              </xdr:cNvPr>
              <xdr:cNvSpPr/>
            </xdr:nvSpPr>
            <xdr:spPr bwMode="auto">
              <a:xfrm>
                <a:off x="57150" y="38785800"/>
                <a:ext cx="1181100" cy="295275"/>
              </a:xfrm>
              <a:prstGeom prst="rect">
                <a:avLst/>
              </a:prstGeom>
              <a:noFill/>
              <a:ln>
                <a:noFill/>
              </a:ln>
              <a:extLst>
                <a:ext uri="{91240B29-F687-4F45-9708-019B960494DF}">
                  <a14:hiddenLine w="9525">
                    <a:noFill/>
                    <a:miter lim="800000"/>
                    <a:headEnd/>
                    <a:tailEnd/>
                  </a14:hiddenLine>
                </a:ext>
              </a:extLst>
            </xdr:spPr>
          </xdr:sp>
          <xdr:sp macro="" textlink="">
            <xdr:nvSpPr>
              <xdr:cNvPr id="107527" name="CommandButton5" hidden="1">
                <a:extLst>
                  <a:ext uri="{63B3BB69-23CF-44E3-9099-C40C66FF867C}">
                    <a14:compatExt spid="_x0000_s107527"/>
                  </a:ext>
                  <a:ext uri="{FF2B5EF4-FFF2-40B4-BE49-F238E27FC236}">
                    <a16:creationId xmlns:a16="http://schemas.microsoft.com/office/drawing/2014/main" id="{00000000-0008-0000-0D00-000007A40100}"/>
                  </a:ext>
                </a:extLst>
              </xdr:cNvPr>
              <xdr:cNvSpPr/>
            </xdr:nvSpPr>
            <xdr:spPr bwMode="auto">
              <a:xfrm>
                <a:off x="4267610" y="38776275"/>
                <a:ext cx="1447800" cy="295275"/>
              </a:xfrm>
              <a:prstGeom prst="rect">
                <a:avLst/>
              </a:prstGeom>
              <a:noFill/>
              <a:ln>
                <a:noFill/>
              </a:ln>
              <a:extLst>
                <a:ext uri="{91240B29-F687-4F45-9708-019B960494DF}">
                  <a14:hiddenLine w="9525">
                    <a:noFill/>
                    <a:miter lim="800000"/>
                    <a:headEnd/>
                    <a:tailEnd/>
                  </a14:hiddenLine>
                </a:ext>
              </a:extLst>
            </xdr:spPr>
          </xdr:sp>
          <xdr:sp macro="" textlink="">
            <xdr:nvSpPr>
              <xdr:cNvPr id="107529" name="CommandButton7" hidden="1">
                <a:extLst>
                  <a:ext uri="{63B3BB69-23CF-44E3-9099-C40C66FF867C}">
                    <a14:compatExt spid="_x0000_s107529"/>
                  </a:ext>
                  <a:ext uri="{FF2B5EF4-FFF2-40B4-BE49-F238E27FC236}">
                    <a16:creationId xmlns:a16="http://schemas.microsoft.com/office/drawing/2014/main" id="{00000000-0008-0000-0D00-000009A40100}"/>
                  </a:ext>
                </a:extLst>
              </xdr:cNvPr>
              <xdr:cNvSpPr/>
            </xdr:nvSpPr>
            <xdr:spPr bwMode="auto">
              <a:xfrm>
                <a:off x="1269641" y="38776275"/>
                <a:ext cx="2990850" cy="29527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590550</xdr:colOff>
          <xdr:row>75</xdr:row>
          <xdr:rowOff>142875</xdr:rowOff>
        </xdr:from>
        <xdr:to>
          <xdr:col>1</xdr:col>
          <xdr:colOff>1257300</xdr:colOff>
          <xdr:row>76</xdr:row>
          <xdr:rowOff>47625</xdr:rowOff>
        </xdr:to>
        <xdr:sp macro="" textlink="">
          <xdr:nvSpPr>
            <xdr:cNvPr id="109570" name="CommandButton2" hidden="1">
              <a:extLst>
                <a:ext uri="{63B3BB69-23CF-44E3-9099-C40C66FF867C}">
                  <a14:compatExt spid="_x0000_s109570"/>
                </a:ext>
                <a:ext uri="{FF2B5EF4-FFF2-40B4-BE49-F238E27FC236}">
                  <a16:creationId xmlns:a16="http://schemas.microsoft.com/office/drawing/2014/main" id="{00000000-0008-0000-0E00-000002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104775</xdr:rowOff>
        </xdr:from>
        <xdr:to>
          <xdr:col>3</xdr:col>
          <xdr:colOff>257175</xdr:colOff>
          <xdr:row>3</xdr:row>
          <xdr:rowOff>47625</xdr:rowOff>
        </xdr:to>
        <xdr:grpSp>
          <xdr:nvGrpSpPr>
            <xdr:cNvPr id="4" name="3 Grupo">
              <a:extLst>
                <a:ext uri="{FF2B5EF4-FFF2-40B4-BE49-F238E27FC236}">
                  <a16:creationId xmlns:a16="http://schemas.microsoft.com/office/drawing/2014/main" id="{00000000-0008-0000-0E00-000004000000}"/>
                </a:ext>
              </a:extLst>
            </xdr:cNvPr>
            <xdr:cNvGrpSpPr/>
          </xdr:nvGrpSpPr>
          <xdr:grpSpPr>
            <a:xfrm>
              <a:off x="28575" y="353253"/>
              <a:ext cx="6250057" cy="274155"/>
              <a:chOff x="28575" y="228600"/>
              <a:chExt cx="6248400" cy="304800"/>
            </a:xfrm>
          </xdr:grpSpPr>
          <xdr:grpSp>
            <xdr:nvGrpSpPr>
              <xdr:cNvPr id="2" name="1 Grupo">
                <a:extLst>
                  <a:ext uri="{FF2B5EF4-FFF2-40B4-BE49-F238E27FC236}">
                    <a16:creationId xmlns:a16="http://schemas.microsoft.com/office/drawing/2014/main" id="{00000000-0008-0000-0E00-000002000000}"/>
                  </a:ext>
                </a:extLst>
              </xdr:cNvPr>
              <xdr:cNvGrpSpPr/>
            </xdr:nvGrpSpPr>
            <xdr:grpSpPr>
              <a:xfrm>
                <a:off x="28575" y="228600"/>
                <a:ext cx="4095765" cy="304800"/>
                <a:chOff x="28575" y="228600"/>
                <a:chExt cx="4095765" cy="304800"/>
              </a:xfrm>
            </xdr:grpSpPr>
            <xdr:sp macro="" textlink="">
              <xdr:nvSpPr>
                <xdr:cNvPr id="109571" name="CommandButton3" hidden="1">
                  <a:extLst>
                    <a:ext uri="{63B3BB69-23CF-44E3-9099-C40C66FF867C}">
                      <a14:compatExt spid="_x0000_s109571"/>
                    </a:ext>
                    <a:ext uri="{FF2B5EF4-FFF2-40B4-BE49-F238E27FC236}">
                      <a16:creationId xmlns:a16="http://schemas.microsoft.com/office/drawing/2014/main" id="{00000000-0008-0000-0E00-000003AC0100}"/>
                    </a:ext>
                  </a:extLst>
                </xdr:cNvPr>
                <xdr:cNvSpPr/>
              </xdr:nvSpPr>
              <xdr:spPr bwMode="auto">
                <a:xfrm>
                  <a:off x="28575" y="228600"/>
                  <a:ext cx="1181100" cy="295275"/>
                </a:xfrm>
                <a:prstGeom prst="rect">
                  <a:avLst/>
                </a:prstGeom>
                <a:noFill/>
                <a:ln>
                  <a:noFill/>
                </a:ln>
                <a:extLst>
                  <a:ext uri="{91240B29-F687-4F45-9708-019B960494DF}">
                    <a14:hiddenLine w="9525">
                      <a:noFill/>
                      <a:miter lim="800000"/>
                      <a:headEnd/>
                      <a:tailEnd/>
                    </a14:hiddenLine>
                  </a:ext>
                </a:extLst>
              </xdr:spPr>
            </xdr:sp>
            <xdr:sp macro="" textlink="">
              <xdr:nvSpPr>
                <xdr:cNvPr id="109573" name="CommandButton4" hidden="1">
                  <a:extLst>
                    <a:ext uri="{63B3BB69-23CF-44E3-9099-C40C66FF867C}">
                      <a14:compatExt spid="_x0000_s109573"/>
                    </a:ext>
                    <a:ext uri="{FF2B5EF4-FFF2-40B4-BE49-F238E27FC236}">
                      <a16:creationId xmlns:a16="http://schemas.microsoft.com/office/drawing/2014/main" id="{00000000-0008-0000-0E00-000005AC0100}"/>
                    </a:ext>
                  </a:extLst>
                </xdr:cNvPr>
                <xdr:cNvSpPr/>
              </xdr:nvSpPr>
              <xdr:spPr bwMode="auto">
                <a:xfrm>
                  <a:off x="1247781" y="238125"/>
                  <a:ext cx="2876559" cy="295275"/>
                </a:xfrm>
                <a:prstGeom prst="rect">
                  <a:avLst/>
                </a:prstGeom>
                <a:noFill/>
                <a:ln>
                  <a:noFill/>
                </a:ln>
                <a:extLst>
                  <a:ext uri="{91240B29-F687-4F45-9708-019B960494DF}">
                    <a14:hiddenLine w="9525">
                      <a:noFill/>
                      <a:miter lim="800000"/>
                      <a:headEnd/>
                      <a:tailEnd/>
                    </a14:hiddenLine>
                  </a:ext>
                </a:extLst>
              </xdr:spPr>
            </xdr:sp>
          </xdr:grpSp>
          <xdr:sp macro="" textlink="">
            <xdr:nvSpPr>
              <xdr:cNvPr id="109578" name="CommandButton6" hidden="1">
                <a:extLst>
                  <a:ext uri="{63B3BB69-23CF-44E3-9099-C40C66FF867C}">
                    <a14:compatExt spid="_x0000_s109578"/>
                  </a:ext>
                  <a:ext uri="{FF2B5EF4-FFF2-40B4-BE49-F238E27FC236}">
                    <a16:creationId xmlns:a16="http://schemas.microsoft.com/office/drawing/2014/main" id="{00000000-0008-0000-0E00-00000AAC0100}"/>
                  </a:ext>
                </a:extLst>
              </xdr:cNvPr>
              <xdr:cNvSpPr/>
            </xdr:nvSpPr>
            <xdr:spPr bwMode="auto">
              <a:xfrm>
                <a:off x="4171950" y="228600"/>
                <a:ext cx="2105025" cy="29527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114294</xdr:colOff>
          <xdr:row>269</xdr:row>
          <xdr:rowOff>104775</xdr:rowOff>
        </xdr:from>
        <xdr:to>
          <xdr:col>3</xdr:col>
          <xdr:colOff>266700</xdr:colOff>
          <xdr:row>271</xdr:row>
          <xdr:rowOff>76200</xdr:rowOff>
        </xdr:to>
        <xdr:grpSp>
          <xdr:nvGrpSpPr>
            <xdr:cNvPr id="5" name="4 Grupo">
              <a:extLst>
                <a:ext uri="{FF2B5EF4-FFF2-40B4-BE49-F238E27FC236}">
                  <a16:creationId xmlns:a16="http://schemas.microsoft.com/office/drawing/2014/main" id="{00000000-0008-0000-0E00-000005000000}"/>
                </a:ext>
              </a:extLst>
            </xdr:cNvPr>
            <xdr:cNvGrpSpPr/>
          </xdr:nvGrpSpPr>
          <xdr:grpSpPr>
            <a:xfrm>
              <a:off x="114294" y="45220145"/>
              <a:ext cx="6173863" cy="302729"/>
              <a:chOff x="114294" y="44148375"/>
              <a:chExt cx="6172206" cy="295275"/>
            </a:xfrm>
          </xdr:grpSpPr>
          <xdr:grpSp>
            <xdr:nvGrpSpPr>
              <xdr:cNvPr id="3" name="2 Grupo">
                <a:extLst>
                  <a:ext uri="{FF2B5EF4-FFF2-40B4-BE49-F238E27FC236}">
                    <a16:creationId xmlns:a16="http://schemas.microsoft.com/office/drawing/2014/main" id="{00000000-0008-0000-0E00-000003000000}"/>
                  </a:ext>
                </a:extLst>
              </xdr:cNvPr>
              <xdr:cNvGrpSpPr/>
            </xdr:nvGrpSpPr>
            <xdr:grpSpPr>
              <a:xfrm>
                <a:off x="114294" y="44148375"/>
                <a:ext cx="4067181" cy="295275"/>
                <a:chOff x="114294" y="44148375"/>
                <a:chExt cx="4067181" cy="295275"/>
              </a:xfrm>
            </xdr:grpSpPr>
            <xdr:sp macro="" textlink="">
              <xdr:nvSpPr>
                <xdr:cNvPr id="109576" name="CommandButton1" hidden="1">
                  <a:extLst>
                    <a:ext uri="{63B3BB69-23CF-44E3-9099-C40C66FF867C}">
                      <a14:compatExt spid="_x0000_s109576"/>
                    </a:ext>
                    <a:ext uri="{FF2B5EF4-FFF2-40B4-BE49-F238E27FC236}">
                      <a16:creationId xmlns:a16="http://schemas.microsoft.com/office/drawing/2014/main" id="{00000000-0008-0000-0E00-000008AC0100}"/>
                    </a:ext>
                  </a:extLst>
                </xdr:cNvPr>
                <xdr:cNvSpPr/>
              </xdr:nvSpPr>
              <xdr:spPr bwMode="auto">
                <a:xfrm>
                  <a:off x="114294" y="44148375"/>
                  <a:ext cx="1181100" cy="295275"/>
                </a:xfrm>
                <a:prstGeom prst="rect">
                  <a:avLst/>
                </a:prstGeom>
                <a:noFill/>
                <a:ln>
                  <a:noFill/>
                </a:ln>
                <a:extLst>
                  <a:ext uri="{91240B29-F687-4F45-9708-019B960494DF}">
                    <a14:hiddenLine w="9525">
                      <a:noFill/>
                      <a:miter lim="800000"/>
                      <a:headEnd/>
                      <a:tailEnd/>
                    </a14:hiddenLine>
                  </a:ext>
                </a:extLst>
              </xdr:spPr>
            </xdr:sp>
            <xdr:sp macro="" textlink="">
              <xdr:nvSpPr>
                <xdr:cNvPr id="109577" name="CommandButton5" hidden="1">
                  <a:extLst>
                    <a:ext uri="{63B3BB69-23CF-44E3-9099-C40C66FF867C}">
                      <a14:compatExt spid="_x0000_s109577"/>
                    </a:ext>
                    <a:ext uri="{FF2B5EF4-FFF2-40B4-BE49-F238E27FC236}">
                      <a16:creationId xmlns:a16="http://schemas.microsoft.com/office/drawing/2014/main" id="{00000000-0008-0000-0E00-000009AC0100}"/>
                    </a:ext>
                  </a:extLst>
                </xdr:cNvPr>
                <xdr:cNvSpPr/>
              </xdr:nvSpPr>
              <xdr:spPr bwMode="auto">
                <a:xfrm>
                  <a:off x="1304925" y="44148375"/>
                  <a:ext cx="2876550" cy="295275"/>
                </a:xfrm>
                <a:prstGeom prst="rect">
                  <a:avLst/>
                </a:prstGeom>
                <a:noFill/>
                <a:ln>
                  <a:noFill/>
                </a:ln>
                <a:extLst>
                  <a:ext uri="{91240B29-F687-4F45-9708-019B960494DF}">
                    <a14:hiddenLine w="9525">
                      <a:noFill/>
                      <a:miter lim="800000"/>
                      <a:headEnd/>
                      <a:tailEnd/>
                    </a14:hiddenLine>
                  </a:ext>
                </a:extLst>
              </xdr:spPr>
            </xdr:sp>
          </xdr:grpSp>
          <xdr:sp macro="" textlink="">
            <xdr:nvSpPr>
              <xdr:cNvPr id="109579" name="CommandButton7" hidden="1">
                <a:extLst>
                  <a:ext uri="{63B3BB69-23CF-44E3-9099-C40C66FF867C}">
                    <a14:compatExt spid="_x0000_s109579"/>
                  </a:ext>
                  <a:ext uri="{FF2B5EF4-FFF2-40B4-BE49-F238E27FC236}">
                    <a16:creationId xmlns:a16="http://schemas.microsoft.com/office/drawing/2014/main" id="{00000000-0008-0000-0E00-00000BAC0100}"/>
                  </a:ext>
                </a:extLst>
              </xdr:cNvPr>
              <xdr:cNvSpPr/>
            </xdr:nvSpPr>
            <xdr:spPr bwMode="auto">
              <a:xfrm>
                <a:off x="4181475" y="44148375"/>
                <a:ext cx="2105025" cy="29527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38100</xdr:rowOff>
        </xdr:from>
        <xdr:to>
          <xdr:col>1</xdr:col>
          <xdr:colOff>3705225</xdr:colOff>
          <xdr:row>4</xdr:row>
          <xdr:rowOff>0</xdr:rowOff>
        </xdr:to>
        <xdr:grpSp>
          <xdr:nvGrpSpPr>
            <xdr:cNvPr id="2" name="1 Grupo">
              <a:extLst>
                <a:ext uri="{FF2B5EF4-FFF2-40B4-BE49-F238E27FC236}">
                  <a16:creationId xmlns:a16="http://schemas.microsoft.com/office/drawing/2014/main" id="{00000000-0008-0000-0F00-000002000000}"/>
                </a:ext>
              </a:extLst>
            </xdr:cNvPr>
            <xdr:cNvGrpSpPr/>
          </xdr:nvGrpSpPr>
          <xdr:grpSpPr>
            <a:xfrm>
              <a:off x="19050" y="352839"/>
              <a:ext cx="4282523" cy="260074"/>
              <a:chOff x="19050" y="266699"/>
              <a:chExt cx="4286242" cy="304801"/>
            </a:xfrm>
          </xdr:grpSpPr>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0F00-000001B00100}"/>
                  </a:ext>
                </a:extLst>
              </xdr:cNvPr>
              <xdr:cNvSpPr/>
            </xdr:nvSpPr>
            <xdr:spPr bwMode="auto">
              <a:xfrm>
                <a:off x="19050" y="266699"/>
                <a:ext cx="1181100" cy="295275"/>
              </a:xfrm>
              <a:prstGeom prst="rect">
                <a:avLst/>
              </a:prstGeom>
              <a:noFill/>
              <a:ln>
                <a:noFill/>
              </a:ln>
              <a:extLst>
                <a:ext uri="{91240B29-F687-4F45-9708-019B960494DF}">
                  <a14:hiddenLine w="9525">
                    <a:noFill/>
                    <a:miter lim="800000"/>
                    <a:headEnd/>
                    <a:tailEnd/>
                  </a14:hiddenLine>
                </a:ext>
              </a:extLst>
            </xdr:spPr>
          </xdr:sp>
          <xdr:sp macro="" textlink="">
            <xdr:nvSpPr>
              <xdr:cNvPr id="110596" name="CommandButton4" hidden="1">
                <a:extLst>
                  <a:ext uri="{63B3BB69-23CF-44E3-9099-C40C66FF867C}">
                    <a14:compatExt spid="_x0000_s110596"/>
                  </a:ext>
                  <a:ext uri="{FF2B5EF4-FFF2-40B4-BE49-F238E27FC236}">
                    <a16:creationId xmlns:a16="http://schemas.microsoft.com/office/drawing/2014/main" id="{00000000-0008-0000-0F00-000004B00100}"/>
                  </a:ext>
                </a:extLst>
              </xdr:cNvPr>
              <xdr:cNvSpPr/>
            </xdr:nvSpPr>
            <xdr:spPr bwMode="auto">
              <a:xfrm>
                <a:off x="1228725" y="276225"/>
                <a:ext cx="1771650" cy="295275"/>
              </a:xfrm>
              <a:prstGeom prst="rect">
                <a:avLst/>
              </a:prstGeom>
              <a:noFill/>
              <a:ln>
                <a:noFill/>
              </a:ln>
              <a:extLst>
                <a:ext uri="{91240B29-F687-4F45-9708-019B960494DF}">
                  <a14:hiddenLine w="9525">
                    <a:noFill/>
                    <a:miter lim="800000"/>
                    <a:headEnd/>
                    <a:tailEnd/>
                  </a14:hiddenLine>
                </a:ext>
              </a:extLst>
            </xdr:spPr>
          </xdr:sp>
          <xdr:sp macro="" textlink="">
            <xdr:nvSpPr>
              <xdr:cNvPr id="110598" name="CommandButton6" hidden="1">
                <a:extLst>
                  <a:ext uri="{63B3BB69-23CF-44E3-9099-C40C66FF867C}">
                    <a14:compatExt spid="_x0000_s110598"/>
                  </a:ext>
                  <a:ext uri="{FF2B5EF4-FFF2-40B4-BE49-F238E27FC236}">
                    <a16:creationId xmlns:a16="http://schemas.microsoft.com/office/drawing/2014/main" id="{00000000-0008-0000-0F00-000006B00100}"/>
                  </a:ext>
                </a:extLst>
              </xdr:cNvPr>
              <xdr:cNvSpPr/>
            </xdr:nvSpPr>
            <xdr:spPr bwMode="auto">
              <a:xfrm>
                <a:off x="3038475" y="276225"/>
                <a:ext cx="1266817" cy="29527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101</xdr:row>
          <xdr:rowOff>76200</xdr:rowOff>
        </xdr:from>
        <xdr:to>
          <xdr:col>1</xdr:col>
          <xdr:colOff>3714750</xdr:colOff>
          <xdr:row>103</xdr:row>
          <xdr:rowOff>76200</xdr:rowOff>
        </xdr:to>
        <xdr:grpSp>
          <xdr:nvGrpSpPr>
            <xdr:cNvPr id="3" name="2 Grupo">
              <a:extLst>
                <a:ext uri="{FF2B5EF4-FFF2-40B4-BE49-F238E27FC236}">
                  <a16:creationId xmlns:a16="http://schemas.microsoft.com/office/drawing/2014/main" id="{00000000-0008-0000-0F00-000003000000}"/>
                </a:ext>
              </a:extLst>
            </xdr:cNvPr>
            <xdr:cNvGrpSpPr/>
          </xdr:nvGrpSpPr>
          <xdr:grpSpPr>
            <a:xfrm>
              <a:off x="28575" y="17535939"/>
              <a:ext cx="4282523" cy="298174"/>
              <a:chOff x="28575" y="17802222"/>
              <a:chExt cx="4286242" cy="304803"/>
            </a:xfrm>
          </xdr:grpSpPr>
          <xdr:sp macro="" textlink="">
            <xdr:nvSpPr>
              <xdr:cNvPr id="110599" name="CommandButton7" hidden="1">
                <a:extLst>
                  <a:ext uri="{63B3BB69-23CF-44E3-9099-C40C66FF867C}">
                    <a14:compatExt spid="_x0000_s110599"/>
                  </a:ext>
                  <a:ext uri="{FF2B5EF4-FFF2-40B4-BE49-F238E27FC236}">
                    <a16:creationId xmlns:a16="http://schemas.microsoft.com/office/drawing/2014/main" id="{00000000-0008-0000-0F00-000007B00100}"/>
                  </a:ext>
                </a:extLst>
              </xdr:cNvPr>
              <xdr:cNvSpPr/>
            </xdr:nvSpPr>
            <xdr:spPr bwMode="auto">
              <a:xfrm>
                <a:off x="28575" y="17802222"/>
                <a:ext cx="1181100" cy="295275"/>
              </a:xfrm>
              <a:prstGeom prst="rect">
                <a:avLst/>
              </a:prstGeom>
              <a:noFill/>
              <a:ln>
                <a:noFill/>
              </a:ln>
              <a:extLst>
                <a:ext uri="{91240B29-F687-4F45-9708-019B960494DF}">
                  <a14:hiddenLine w="9525">
                    <a:noFill/>
                    <a:miter lim="800000"/>
                    <a:headEnd/>
                    <a:tailEnd/>
                  </a14:hiddenLine>
                </a:ext>
              </a:extLst>
            </xdr:spPr>
          </xdr:sp>
          <xdr:sp macro="" textlink="">
            <xdr:nvSpPr>
              <xdr:cNvPr id="110600" name="CommandButton8" hidden="1">
                <a:extLst>
                  <a:ext uri="{63B3BB69-23CF-44E3-9099-C40C66FF867C}">
                    <a14:compatExt spid="_x0000_s110600"/>
                  </a:ext>
                  <a:ext uri="{FF2B5EF4-FFF2-40B4-BE49-F238E27FC236}">
                    <a16:creationId xmlns:a16="http://schemas.microsoft.com/office/drawing/2014/main" id="{00000000-0008-0000-0F00-000008B00100}"/>
                  </a:ext>
                </a:extLst>
              </xdr:cNvPr>
              <xdr:cNvSpPr/>
            </xdr:nvSpPr>
            <xdr:spPr bwMode="auto">
              <a:xfrm>
                <a:off x="1238250" y="17811750"/>
                <a:ext cx="1771650" cy="295275"/>
              </a:xfrm>
              <a:prstGeom prst="rect">
                <a:avLst/>
              </a:prstGeom>
              <a:noFill/>
              <a:ln>
                <a:noFill/>
              </a:ln>
              <a:extLst>
                <a:ext uri="{91240B29-F687-4F45-9708-019B960494DF}">
                  <a14:hiddenLine w="9525">
                    <a:noFill/>
                    <a:miter lim="800000"/>
                    <a:headEnd/>
                    <a:tailEnd/>
                  </a14:hiddenLine>
                </a:ext>
              </a:extLst>
            </xdr:spPr>
          </xdr:sp>
          <xdr:sp macro="" textlink="">
            <xdr:nvSpPr>
              <xdr:cNvPr id="110601" name="CommandButton9" hidden="1">
                <a:extLst>
                  <a:ext uri="{63B3BB69-23CF-44E3-9099-C40C66FF867C}">
                    <a14:compatExt spid="_x0000_s110601"/>
                  </a:ext>
                  <a:ext uri="{FF2B5EF4-FFF2-40B4-BE49-F238E27FC236}">
                    <a16:creationId xmlns:a16="http://schemas.microsoft.com/office/drawing/2014/main" id="{00000000-0008-0000-0F00-000009B00100}"/>
                  </a:ext>
                </a:extLst>
              </xdr:cNvPr>
              <xdr:cNvSpPr/>
            </xdr:nvSpPr>
            <xdr:spPr bwMode="auto">
              <a:xfrm>
                <a:off x="3048000" y="17811750"/>
                <a:ext cx="1266817" cy="29527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8</xdr:row>
          <xdr:rowOff>28575</xdr:rowOff>
        </xdr:from>
        <xdr:to>
          <xdr:col>0</xdr:col>
          <xdr:colOff>47625</xdr:colOff>
          <xdr:row>8</xdr:row>
          <xdr:rowOff>28575</xdr:rowOff>
        </xdr:to>
        <xdr:sp macro="" textlink="">
          <xdr:nvSpPr>
            <xdr:cNvPr id="111619" name="CommandButton3" hidden="1">
              <a:extLst>
                <a:ext uri="{63B3BB69-23CF-44E3-9099-C40C66FF867C}">
                  <a14:compatExt spid="_x0000_s111619"/>
                </a:ext>
                <a:ext uri="{FF2B5EF4-FFF2-40B4-BE49-F238E27FC236}">
                  <a16:creationId xmlns:a16="http://schemas.microsoft.com/office/drawing/2014/main" id="{00000000-0008-0000-1000-000003B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8</xdr:row>
          <xdr:rowOff>28575</xdr:rowOff>
        </xdr:from>
        <xdr:to>
          <xdr:col>0</xdr:col>
          <xdr:colOff>95250</xdr:colOff>
          <xdr:row>8</xdr:row>
          <xdr:rowOff>28575</xdr:rowOff>
        </xdr:to>
        <xdr:sp macro="" textlink="">
          <xdr:nvSpPr>
            <xdr:cNvPr id="111620" name="CommandButton4" hidden="1">
              <a:extLst>
                <a:ext uri="{63B3BB69-23CF-44E3-9099-C40C66FF867C}">
                  <a14:compatExt spid="_x0000_s111620"/>
                </a:ext>
                <a:ext uri="{FF2B5EF4-FFF2-40B4-BE49-F238E27FC236}">
                  <a16:creationId xmlns:a16="http://schemas.microsoft.com/office/drawing/2014/main" id="{00000000-0008-0000-1000-000004B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xdr:row>
          <xdr:rowOff>28575</xdr:rowOff>
        </xdr:from>
        <xdr:to>
          <xdr:col>0</xdr:col>
          <xdr:colOff>142875</xdr:colOff>
          <xdr:row>8</xdr:row>
          <xdr:rowOff>28575</xdr:rowOff>
        </xdr:to>
        <xdr:sp macro="" textlink="">
          <xdr:nvSpPr>
            <xdr:cNvPr id="111621" name="CommandButton5" hidden="1">
              <a:extLst>
                <a:ext uri="{63B3BB69-23CF-44E3-9099-C40C66FF867C}">
                  <a14:compatExt spid="_x0000_s111621"/>
                </a:ext>
                <a:ext uri="{FF2B5EF4-FFF2-40B4-BE49-F238E27FC236}">
                  <a16:creationId xmlns:a16="http://schemas.microsoft.com/office/drawing/2014/main" id="{00000000-0008-0000-1000-000005B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28574</xdr:colOff>
          <xdr:row>2</xdr:row>
          <xdr:rowOff>28575</xdr:rowOff>
        </xdr:from>
        <xdr:to>
          <xdr:col>4</xdr:col>
          <xdr:colOff>619125</xdr:colOff>
          <xdr:row>2</xdr:row>
          <xdr:rowOff>342900</xdr:rowOff>
        </xdr:to>
        <xdr:grpSp>
          <xdr:nvGrpSpPr>
            <xdr:cNvPr id="3" name="2 Grupo">
              <a:extLst>
                <a:ext uri="{FF2B5EF4-FFF2-40B4-BE49-F238E27FC236}">
                  <a16:creationId xmlns:a16="http://schemas.microsoft.com/office/drawing/2014/main" id="{00000000-0008-0000-1000-000003000000}"/>
                </a:ext>
              </a:extLst>
            </xdr:cNvPr>
            <xdr:cNvGrpSpPr/>
          </xdr:nvGrpSpPr>
          <xdr:grpSpPr>
            <a:xfrm>
              <a:off x="28574" y="466725"/>
              <a:ext cx="4953001" cy="314325"/>
              <a:chOff x="28574" y="466725"/>
              <a:chExt cx="4752975" cy="314325"/>
            </a:xfrm>
          </xdr:grpSpPr>
          <xdr:grpSp>
            <xdr:nvGrpSpPr>
              <xdr:cNvPr id="2" name="1 Grupo">
                <a:extLst>
                  <a:ext uri="{FF2B5EF4-FFF2-40B4-BE49-F238E27FC236}">
                    <a16:creationId xmlns:a16="http://schemas.microsoft.com/office/drawing/2014/main" id="{00000000-0008-0000-1000-000002000000}"/>
                  </a:ext>
                </a:extLst>
              </xdr:cNvPr>
              <xdr:cNvGrpSpPr/>
            </xdr:nvGrpSpPr>
            <xdr:grpSpPr>
              <a:xfrm>
                <a:off x="28574" y="476250"/>
                <a:ext cx="3047996" cy="304800"/>
                <a:chOff x="28574" y="476250"/>
                <a:chExt cx="3047996" cy="304800"/>
              </a:xfrm>
            </xdr:grpSpPr>
            <xdr:sp macro="" textlink="">
              <xdr:nvSpPr>
                <xdr:cNvPr id="111617" name="CommandButton1" hidden="1">
                  <a:extLst>
                    <a:ext uri="{63B3BB69-23CF-44E3-9099-C40C66FF867C}">
                      <a14:compatExt spid="_x0000_s111617"/>
                    </a:ext>
                    <a:ext uri="{FF2B5EF4-FFF2-40B4-BE49-F238E27FC236}">
                      <a16:creationId xmlns:a16="http://schemas.microsoft.com/office/drawing/2014/main" id="{00000000-0008-0000-1000-000001B40100}"/>
                    </a:ext>
                  </a:extLst>
                </xdr:cNvPr>
                <xdr:cNvSpPr/>
              </xdr:nvSpPr>
              <xdr:spPr bwMode="auto">
                <a:xfrm>
                  <a:off x="28574" y="485775"/>
                  <a:ext cx="1181100" cy="295275"/>
                </a:xfrm>
                <a:prstGeom prst="rect">
                  <a:avLst/>
                </a:prstGeom>
                <a:noFill/>
                <a:ln>
                  <a:noFill/>
                </a:ln>
                <a:extLst>
                  <a:ext uri="{91240B29-F687-4F45-9708-019B960494DF}">
                    <a14:hiddenLine w="9525">
                      <a:noFill/>
                      <a:miter lim="800000"/>
                      <a:headEnd/>
                      <a:tailEnd/>
                    </a14:hiddenLine>
                  </a:ext>
                </a:extLst>
              </xdr:spPr>
            </xdr:sp>
            <xdr:sp macro="" textlink="">
              <xdr:nvSpPr>
                <xdr:cNvPr id="111618" name="CommandButton2" hidden="1">
                  <a:extLst>
                    <a:ext uri="{63B3BB69-23CF-44E3-9099-C40C66FF867C}">
                      <a14:compatExt spid="_x0000_s111618"/>
                    </a:ext>
                    <a:ext uri="{FF2B5EF4-FFF2-40B4-BE49-F238E27FC236}">
                      <a16:creationId xmlns:a16="http://schemas.microsoft.com/office/drawing/2014/main" id="{00000000-0008-0000-1000-000002B40100}"/>
                    </a:ext>
                  </a:extLst>
                </xdr:cNvPr>
                <xdr:cNvSpPr/>
              </xdr:nvSpPr>
              <xdr:spPr bwMode="auto">
                <a:xfrm>
                  <a:off x="1219200" y="476250"/>
                  <a:ext cx="1857370" cy="295275"/>
                </a:xfrm>
                <a:prstGeom prst="rect">
                  <a:avLst/>
                </a:prstGeom>
                <a:noFill/>
                <a:ln>
                  <a:noFill/>
                </a:ln>
                <a:extLst>
                  <a:ext uri="{91240B29-F687-4F45-9708-019B960494DF}">
                    <a14:hiddenLine w="9525">
                      <a:noFill/>
                      <a:miter lim="800000"/>
                      <a:headEnd/>
                      <a:tailEnd/>
                    </a14:hiddenLine>
                  </a:ext>
                </a:extLst>
              </xdr:spPr>
            </xdr:sp>
          </xdr:grpSp>
          <xdr:sp macro="" textlink="">
            <xdr:nvSpPr>
              <xdr:cNvPr id="111622" name="CommandButton6" hidden="1">
                <a:extLst>
                  <a:ext uri="{63B3BB69-23CF-44E3-9099-C40C66FF867C}">
                    <a14:compatExt spid="_x0000_s111622"/>
                  </a:ext>
                  <a:ext uri="{FF2B5EF4-FFF2-40B4-BE49-F238E27FC236}">
                    <a16:creationId xmlns:a16="http://schemas.microsoft.com/office/drawing/2014/main" id="{00000000-0008-0000-1000-000006B40100}"/>
                  </a:ext>
                </a:extLst>
              </xdr:cNvPr>
              <xdr:cNvSpPr/>
            </xdr:nvSpPr>
            <xdr:spPr bwMode="auto">
              <a:xfrm>
                <a:off x="3095624" y="466725"/>
                <a:ext cx="1685925" cy="29527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493</xdr:row>
          <xdr:rowOff>28575</xdr:rowOff>
        </xdr:from>
        <xdr:to>
          <xdr:col>4</xdr:col>
          <xdr:colOff>600075</xdr:colOff>
          <xdr:row>495</xdr:row>
          <xdr:rowOff>38100</xdr:rowOff>
        </xdr:to>
        <xdr:grpSp>
          <xdr:nvGrpSpPr>
            <xdr:cNvPr id="4" name="3 Grupo">
              <a:extLst>
                <a:ext uri="{FF2B5EF4-FFF2-40B4-BE49-F238E27FC236}">
                  <a16:creationId xmlns:a16="http://schemas.microsoft.com/office/drawing/2014/main" id="{00000000-0008-0000-1000-000004000000}"/>
                </a:ext>
              </a:extLst>
            </xdr:cNvPr>
            <xdr:cNvGrpSpPr/>
          </xdr:nvGrpSpPr>
          <xdr:grpSpPr>
            <a:xfrm>
              <a:off x="9525" y="94116525"/>
              <a:ext cx="4953000" cy="333375"/>
              <a:chOff x="9525" y="91354964"/>
              <a:chExt cx="4752974" cy="313040"/>
            </a:xfrm>
          </xdr:grpSpPr>
          <xdr:sp macro="" textlink="">
            <xdr:nvSpPr>
              <xdr:cNvPr id="111623" name="CommandButton7" hidden="1">
                <a:extLst>
                  <a:ext uri="{63B3BB69-23CF-44E3-9099-C40C66FF867C}">
                    <a14:compatExt spid="_x0000_s111623"/>
                  </a:ext>
                  <a:ext uri="{FF2B5EF4-FFF2-40B4-BE49-F238E27FC236}">
                    <a16:creationId xmlns:a16="http://schemas.microsoft.com/office/drawing/2014/main" id="{00000000-0008-0000-1000-000007B40100}"/>
                  </a:ext>
                </a:extLst>
              </xdr:cNvPr>
              <xdr:cNvSpPr/>
            </xdr:nvSpPr>
            <xdr:spPr bwMode="auto">
              <a:xfrm>
                <a:off x="9525" y="91372728"/>
                <a:ext cx="1181100" cy="295276"/>
              </a:xfrm>
              <a:prstGeom prst="rect">
                <a:avLst/>
              </a:prstGeom>
              <a:noFill/>
              <a:ln>
                <a:noFill/>
              </a:ln>
              <a:extLst>
                <a:ext uri="{91240B29-F687-4F45-9708-019B960494DF}">
                  <a14:hiddenLine w="9525">
                    <a:noFill/>
                    <a:miter lim="800000"/>
                    <a:headEnd/>
                    <a:tailEnd/>
                  </a14:hiddenLine>
                </a:ext>
              </a:extLst>
            </xdr:spPr>
          </xdr:sp>
          <xdr:sp macro="" textlink="">
            <xdr:nvSpPr>
              <xdr:cNvPr id="111624" name="CommandButton8" hidden="1">
                <a:extLst>
                  <a:ext uri="{63B3BB69-23CF-44E3-9099-C40C66FF867C}">
                    <a14:compatExt spid="_x0000_s111624"/>
                  </a:ext>
                  <a:ext uri="{FF2B5EF4-FFF2-40B4-BE49-F238E27FC236}">
                    <a16:creationId xmlns:a16="http://schemas.microsoft.com/office/drawing/2014/main" id="{00000000-0008-0000-1000-000008B40100}"/>
                  </a:ext>
                </a:extLst>
              </xdr:cNvPr>
              <xdr:cNvSpPr/>
            </xdr:nvSpPr>
            <xdr:spPr bwMode="auto">
              <a:xfrm>
                <a:off x="1200150" y="91363800"/>
                <a:ext cx="1857375" cy="295275"/>
              </a:xfrm>
              <a:prstGeom prst="rect">
                <a:avLst/>
              </a:prstGeom>
              <a:noFill/>
              <a:ln>
                <a:noFill/>
              </a:ln>
              <a:extLst>
                <a:ext uri="{91240B29-F687-4F45-9708-019B960494DF}">
                  <a14:hiddenLine w="9525">
                    <a:noFill/>
                    <a:miter lim="800000"/>
                    <a:headEnd/>
                    <a:tailEnd/>
                  </a14:hiddenLine>
                </a:ext>
              </a:extLst>
            </xdr:spPr>
          </xdr:sp>
          <xdr:sp macro="" textlink="">
            <xdr:nvSpPr>
              <xdr:cNvPr id="111625" name="CommandButton9" hidden="1">
                <a:extLst>
                  <a:ext uri="{63B3BB69-23CF-44E3-9099-C40C66FF867C}">
                    <a14:compatExt spid="_x0000_s111625"/>
                  </a:ext>
                  <a:ext uri="{FF2B5EF4-FFF2-40B4-BE49-F238E27FC236}">
                    <a16:creationId xmlns:a16="http://schemas.microsoft.com/office/drawing/2014/main" id="{00000000-0008-0000-1000-000009B40100}"/>
                  </a:ext>
                </a:extLst>
              </xdr:cNvPr>
              <xdr:cNvSpPr/>
            </xdr:nvSpPr>
            <xdr:spPr bwMode="auto">
              <a:xfrm>
                <a:off x="3076574" y="91354964"/>
                <a:ext cx="1685925" cy="295274"/>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2</xdr:row>
          <xdr:rowOff>371475</xdr:rowOff>
        </xdr:from>
        <xdr:to>
          <xdr:col>1</xdr:col>
          <xdr:colOff>733425</xdr:colOff>
          <xdr:row>2</xdr:row>
          <xdr:rowOff>666750</xdr:rowOff>
        </xdr:to>
        <xdr:sp macro="" textlink="">
          <xdr:nvSpPr>
            <xdr:cNvPr id="111626" name="CommandButton10" hidden="1">
              <a:extLst>
                <a:ext uri="{63B3BB69-23CF-44E3-9099-C40C66FF867C}">
                  <a14:compatExt spid="_x0000_s111626"/>
                </a:ext>
                <a:ext uri="{FF2B5EF4-FFF2-40B4-BE49-F238E27FC236}">
                  <a16:creationId xmlns:a16="http://schemas.microsoft.com/office/drawing/2014/main" id="{00000000-0008-0000-1000-00000AB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495</xdr:row>
          <xdr:rowOff>85725</xdr:rowOff>
        </xdr:from>
        <xdr:to>
          <xdr:col>1</xdr:col>
          <xdr:colOff>714375</xdr:colOff>
          <xdr:row>497</xdr:row>
          <xdr:rowOff>57150</xdr:rowOff>
        </xdr:to>
        <xdr:sp macro="" textlink="">
          <xdr:nvSpPr>
            <xdr:cNvPr id="111627" name="CommandButton11" hidden="1">
              <a:extLst>
                <a:ext uri="{63B3BB69-23CF-44E3-9099-C40C66FF867C}">
                  <a14:compatExt spid="_x0000_s111627"/>
                </a:ext>
                <a:ext uri="{FF2B5EF4-FFF2-40B4-BE49-F238E27FC236}">
                  <a16:creationId xmlns:a16="http://schemas.microsoft.com/office/drawing/2014/main" id="{00000000-0008-0000-1000-00000BB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13</xdr:col>
      <xdr:colOff>448235</xdr:colOff>
      <xdr:row>125</xdr:row>
      <xdr:rowOff>44825</xdr:rowOff>
    </xdr:from>
    <xdr:to>
      <xdr:col>19</xdr:col>
      <xdr:colOff>369794</xdr:colOff>
      <xdr:row>127</xdr:row>
      <xdr:rowOff>168089</xdr:rowOff>
    </xdr:to>
    <xdr:sp macro="" textlink="">
      <xdr:nvSpPr>
        <xdr:cNvPr id="2" name="Llamada rectangular 1">
          <a:extLst>
            <a:ext uri="{FF2B5EF4-FFF2-40B4-BE49-F238E27FC236}">
              <a16:creationId xmlns:a16="http://schemas.microsoft.com/office/drawing/2014/main" id="{00000000-0008-0000-1100-000002000000}"/>
            </a:ext>
          </a:extLst>
        </xdr:cNvPr>
        <xdr:cNvSpPr/>
      </xdr:nvSpPr>
      <xdr:spPr>
        <a:xfrm>
          <a:off x="12920382" y="29538707"/>
          <a:ext cx="4448736" cy="526676"/>
        </a:xfrm>
        <a:prstGeom prst="wedgeRectCallout">
          <a:avLst>
            <a:gd name="adj1" fmla="val -118914"/>
            <a:gd name="adj2" fmla="val 10980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1100"/>
            <a:t>MANUAL:</a:t>
          </a:r>
          <a:r>
            <a:rPr lang="es-PE" sz="1100" baseline="0"/>
            <a:t> CADA 5 AÑOS( AÑO: 5)</a:t>
          </a:r>
        </a:p>
        <a:p>
          <a:pPr marL="0" marR="0" indent="0" algn="l" defTabSz="914400" eaLnBrk="1" fontAlgn="auto" latinLnBrk="0" hangingPunct="1">
            <a:lnSpc>
              <a:spcPct val="100000"/>
            </a:lnSpc>
            <a:spcBef>
              <a:spcPts val="0"/>
            </a:spcBef>
            <a:spcAft>
              <a:spcPts val="0"/>
            </a:spcAft>
            <a:buClrTx/>
            <a:buSzTx/>
            <a:buFontTx/>
            <a:buNone/>
            <a:tabLst/>
            <a:defRPr/>
          </a:pPr>
          <a:r>
            <a:rPr lang="es-PE" sz="1100" baseline="0"/>
            <a:t>SEMIMECANIZADO Y MECANIZADO CADA 3  AÑOS </a:t>
          </a:r>
          <a:r>
            <a:rPr lang="es-PE" sz="1100" baseline="0">
              <a:solidFill>
                <a:schemeClr val="lt1"/>
              </a:solidFill>
              <a:effectLst/>
              <a:latin typeface="+mn-lt"/>
              <a:ea typeface="+mn-ea"/>
              <a:cs typeface="+mn-cs"/>
            </a:rPr>
            <a:t>( AÑOS:  3 , 6 y 9)</a:t>
          </a:r>
          <a:endParaRPr lang="es-PE">
            <a:effectLst/>
          </a:endParaRPr>
        </a:p>
        <a:p>
          <a:pPr algn="l"/>
          <a:endParaRPr lang="es-PE" sz="1100"/>
        </a:p>
      </xdr:txBody>
    </xdr:sp>
    <xdr:clientData/>
  </xdr:twoCellAnchor>
  <xdr:twoCellAnchor>
    <xdr:from>
      <xdr:col>13</xdr:col>
      <xdr:colOff>443752</xdr:colOff>
      <xdr:row>128</xdr:row>
      <xdr:rowOff>118784</xdr:rowOff>
    </xdr:from>
    <xdr:to>
      <xdr:col>19</xdr:col>
      <xdr:colOff>365311</xdr:colOff>
      <xdr:row>131</xdr:row>
      <xdr:rowOff>40342</xdr:rowOff>
    </xdr:to>
    <xdr:sp macro="" textlink="">
      <xdr:nvSpPr>
        <xdr:cNvPr id="3" name="Llamada rectangular 2">
          <a:extLst>
            <a:ext uri="{FF2B5EF4-FFF2-40B4-BE49-F238E27FC236}">
              <a16:creationId xmlns:a16="http://schemas.microsoft.com/office/drawing/2014/main" id="{00000000-0008-0000-1100-000003000000}"/>
            </a:ext>
          </a:extLst>
        </xdr:cNvPr>
        <xdr:cNvSpPr/>
      </xdr:nvSpPr>
      <xdr:spPr>
        <a:xfrm>
          <a:off x="12915899" y="30217784"/>
          <a:ext cx="4448736" cy="526676"/>
        </a:xfrm>
        <a:prstGeom prst="wedgeRectCallout">
          <a:avLst>
            <a:gd name="adj1" fmla="val -118914"/>
            <a:gd name="adj2" fmla="val 10980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1100"/>
            <a:t>CAMIONETA:</a:t>
          </a:r>
          <a:r>
            <a:rPr lang="es-PE" sz="1100" baseline="0"/>
            <a:t> CADA 5 AÑOS( AÑO: 5)</a:t>
          </a:r>
        </a:p>
        <a:p>
          <a:pPr marL="0" marR="0" indent="0" algn="l" defTabSz="914400" eaLnBrk="1" fontAlgn="auto" latinLnBrk="0" hangingPunct="1">
            <a:lnSpc>
              <a:spcPct val="100000"/>
            </a:lnSpc>
            <a:spcBef>
              <a:spcPts val="0"/>
            </a:spcBef>
            <a:spcAft>
              <a:spcPts val="0"/>
            </a:spcAft>
            <a:buClrTx/>
            <a:buSzTx/>
            <a:buFontTx/>
            <a:buNone/>
            <a:tabLst/>
            <a:defRPr/>
          </a:pPr>
          <a:r>
            <a:rPr lang="es-PE" sz="1100" baseline="0"/>
            <a:t>MOTO LINEAL CADA 3  AÑOS </a:t>
          </a:r>
          <a:r>
            <a:rPr lang="es-PE" sz="1100" baseline="0">
              <a:solidFill>
                <a:schemeClr val="lt1"/>
              </a:solidFill>
              <a:effectLst/>
              <a:latin typeface="+mn-lt"/>
              <a:ea typeface="+mn-ea"/>
              <a:cs typeface="+mn-cs"/>
            </a:rPr>
            <a:t>( AÑOS:  3 , 6 y 9)</a:t>
          </a:r>
          <a:endParaRPr lang="es-PE">
            <a:effectLst/>
          </a:endParaRPr>
        </a:p>
        <a:p>
          <a:pPr algn="l"/>
          <a:endParaRPr lang="es-PE" sz="1100"/>
        </a:p>
      </xdr:txBody>
    </xdr:sp>
    <xdr:clientData/>
  </xdr:twoCellAnchor>
  <mc:AlternateContent xmlns:mc="http://schemas.openxmlformats.org/markup-compatibility/2006">
    <mc:Choice xmlns:a14="http://schemas.microsoft.com/office/drawing/2010/main" Requires="a14">
      <xdr:twoCellAnchor>
        <xdr:from>
          <xdr:col>11</xdr:col>
          <xdr:colOff>180975</xdr:colOff>
          <xdr:row>143</xdr:row>
          <xdr:rowOff>85725</xdr:rowOff>
        </xdr:from>
        <xdr:to>
          <xdr:col>13</xdr:col>
          <xdr:colOff>657225</xdr:colOff>
          <xdr:row>145</xdr:row>
          <xdr:rowOff>0</xdr:rowOff>
        </xdr:to>
        <xdr:sp macro="" textlink="">
          <xdr:nvSpPr>
            <xdr:cNvPr id="81922" name="CommandButton2" hidden="1">
              <a:extLst>
                <a:ext uri="{63B3BB69-23CF-44E3-9099-C40C66FF867C}">
                  <a14:compatExt spid="_x0000_s81922"/>
                </a:ext>
                <a:ext uri="{FF2B5EF4-FFF2-40B4-BE49-F238E27FC236}">
                  <a16:creationId xmlns:a16="http://schemas.microsoft.com/office/drawing/2014/main" id="{00000000-0008-0000-1100-000002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xdr:row>
          <xdr:rowOff>85725</xdr:rowOff>
        </xdr:from>
        <xdr:to>
          <xdr:col>2</xdr:col>
          <xdr:colOff>314325</xdr:colOff>
          <xdr:row>3</xdr:row>
          <xdr:rowOff>0</xdr:rowOff>
        </xdr:to>
        <xdr:grpSp>
          <xdr:nvGrpSpPr>
            <xdr:cNvPr id="4" name="3 Grupo">
              <a:extLst>
                <a:ext uri="{FF2B5EF4-FFF2-40B4-BE49-F238E27FC236}">
                  <a16:creationId xmlns:a16="http://schemas.microsoft.com/office/drawing/2014/main" id="{00000000-0008-0000-1100-000004000000}"/>
                </a:ext>
              </a:extLst>
            </xdr:cNvPr>
            <xdr:cNvGrpSpPr/>
          </xdr:nvGrpSpPr>
          <xdr:grpSpPr>
            <a:xfrm>
              <a:off x="19050" y="284508"/>
              <a:ext cx="4080427" cy="311840"/>
              <a:chOff x="19050" y="284163"/>
              <a:chExt cx="4073526" cy="311150"/>
            </a:xfrm>
          </xdr:grpSpPr>
          <xdr:sp macro="" textlink="">
            <xdr:nvSpPr>
              <xdr:cNvPr id="81921" name="CommandButton1" hidden="1">
                <a:extLst>
                  <a:ext uri="{63B3BB69-23CF-44E3-9099-C40C66FF867C}">
                    <a14:compatExt spid="_x0000_s81921"/>
                  </a:ext>
                  <a:ext uri="{FF2B5EF4-FFF2-40B4-BE49-F238E27FC236}">
                    <a16:creationId xmlns:a16="http://schemas.microsoft.com/office/drawing/2014/main" id="{00000000-0008-0000-1100-000001400100}"/>
                  </a:ext>
                </a:extLst>
              </xdr:cNvPr>
              <xdr:cNvSpPr/>
            </xdr:nvSpPr>
            <xdr:spPr bwMode="auto">
              <a:xfrm>
                <a:off x="19050" y="284163"/>
                <a:ext cx="1524000" cy="311150"/>
              </a:xfrm>
              <a:prstGeom prst="rect">
                <a:avLst/>
              </a:prstGeom>
              <a:noFill/>
              <a:ln>
                <a:noFill/>
              </a:ln>
              <a:extLst>
                <a:ext uri="{91240B29-F687-4F45-9708-019B960494DF}">
                  <a14:hiddenLine w="9525">
                    <a:noFill/>
                    <a:miter lim="800000"/>
                    <a:headEnd/>
                    <a:tailEnd/>
                  </a14:hiddenLine>
                </a:ext>
              </a:extLst>
            </xdr:spPr>
          </xdr:sp>
          <xdr:sp macro="" textlink="">
            <xdr:nvSpPr>
              <xdr:cNvPr id="81924" name="CommandButton4" hidden="1">
                <a:extLst>
                  <a:ext uri="{63B3BB69-23CF-44E3-9099-C40C66FF867C}">
                    <a14:compatExt spid="_x0000_s81924"/>
                  </a:ext>
                  <a:ext uri="{FF2B5EF4-FFF2-40B4-BE49-F238E27FC236}">
                    <a16:creationId xmlns:a16="http://schemas.microsoft.com/office/drawing/2014/main" id="{00000000-0008-0000-1100-000004400100}"/>
                  </a:ext>
                </a:extLst>
              </xdr:cNvPr>
              <xdr:cNvSpPr/>
            </xdr:nvSpPr>
            <xdr:spPr bwMode="auto">
              <a:xfrm>
                <a:off x="1552575" y="284163"/>
                <a:ext cx="2540001" cy="3111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183</xdr:row>
          <xdr:rowOff>57150</xdr:rowOff>
        </xdr:from>
        <xdr:to>
          <xdr:col>2</xdr:col>
          <xdr:colOff>703262</xdr:colOff>
          <xdr:row>184</xdr:row>
          <xdr:rowOff>190501</xdr:rowOff>
        </xdr:to>
        <xdr:grpSp>
          <xdr:nvGrpSpPr>
            <xdr:cNvPr id="5" name="4 Grupo">
              <a:extLst>
                <a:ext uri="{FF2B5EF4-FFF2-40B4-BE49-F238E27FC236}">
                  <a16:creationId xmlns:a16="http://schemas.microsoft.com/office/drawing/2014/main" id="{00000000-0008-0000-1100-000005000000}"/>
                </a:ext>
              </a:extLst>
            </xdr:cNvPr>
            <xdr:cNvGrpSpPr/>
          </xdr:nvGrpSpPr>
          <xdr:grpSpPr>
            <a:xfrm>
              <a:off x="19050" y="41387367"/>
              <a:ext cx="4469364" cy="332134"/>
              <a:chOff x="19050" y="41316261"/>
              <a:chExt cx="4462464" cy="331791"/>
            </a:xfrm>
          </xdr:grpSpPr>
          <xdr:sp macro="" textlink="">
            <xdr:nvSpPr>
              <xdr:cNvPr id="81923" name="CommandButton3" hidden="1">
                <a:extLst>
                  <a:ext uri="{63B3BB69-23CF-44E3-9099-C40C66FF867C}">
                    <a14:compatExt spid="_x0000_s81923"/>
                  </a:ext>
                  <a:ext uri="{FF2B5EF4-FFF2-40B4-BE49-F238E27FC236}">
                    <a16:creationId xmlns:a16="http://schemas.microsoft.com/office/drawing/2014/main" id="{00000000-0008-0000-1100-000003400100}"/>
                  </a:ext>
                </a:extLst>
              </xdr:cNvPr>
              <xdr:cNvSpPr/>
            </xdr:nvSpPr>
            <xdr:spPr bwMode="auto">
              <a:xfrm>
                <a:off x="19050" y="41316261"/>
                <a:ext cx="1905002" cy="331791"/>
              </a:xfrm>
              <a:prstGeom prst="rect">
                <a:avLst/>
              </a:prstGeom>
              <a:noFill/>
              <a:ln>
                <a:noFill/>
              </a:ln>
              <a:extLst>
                <a:ext uri="{91240B29-F687-4F45-9708-019B960494DF}">
                  <a14:hiddenLine w="9525">
                    <a:noFill/>
                    <a:miter lim="800000"/>
                    <a:headEnd/>
                    <a:tailEnd/>
                  </a14:hiddenLine>
                </a:ext>
              </a:extLst>
            </xdr:spPr>
          </xdr:sp>
          <xdr:sp macro="" textlink="">
            <xdr:nvSpPr>
              <xdr:cNvPr id="81925" name="CommandButton5" hidden="1">
                <a:extLst>
                  <a:ext uri="{63B3BB69-23CF-44E3-9099-C40C66FF867C}">
                    <a14:compatExt spid="_x0000_s81925"/>
                  </a:ext>
                  <a:ext uri="{FF2B5EF4-FFF2-40B4-BE49-F238E27FC236}">
                    <a16:creationId xmlns:a16="http://schemas.microsoft.com/office/drawing/2014/main" id="{00000000-0008-0000-1100-000005400100}"/>
                  </a:ext>
                </a:extLst>
              </xdr:cNvPr>
              <xdr:cNvSpPr/>
            </xdr:nvSpPr>
            <xdr:spPr bwMode="auto">
              <a:xfrm>
                <a:off x="1941515" y="41336901"/>
                <a:ext cx="2539999" cy="3111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57150</xdr:rowOff>
        </xdr:from>
        <xdr:to>
          <xdr:col>2</xdr:col>
          <xdr:colOff>619125</xdr:colOff>
          <xdr:row>1</xdr:row>
          <xdr:rowOff>180975</xdr:rowOff>
        </xdr:to>
        <xdr:sp macro="" textlink="">
          <xdr:nvSpPr>
            <xdr:cNvPr id="133121" name="CommandButton1" hidden="1">
              <a:extLst>
                <a:ext uri="{63B3BB69-23CF-44E3-9099-C40C66FF867C}">
                  <a14:compatExt spid="_x0000_s133121"/>
                </a:ext>
                <a:ext uri="{FF2B5EF4-FFF2-40B4-BE49-F238E27FC236}">
                  <a16:creationId xmlns:a16="http://schemas.microsoft.com/office/drawing/2014/main" id="{00000000-0008-0000-1200-0000010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104775</xdr:colOff>
          <xdr:row>100</xdr:row>
          <xdr:rowOff>66675</xdr:rowOff>
        </xdr:from>
        <xdr:to>
          <xdr:col>2</xdr:col>
          <xdr:colOff>609600</xdr:colOff>
          <xdr:row>101</xdr:row>
          <xdr:rowOff>257175</xdr:rowOff>
        </xdr:to>
        <xdr:sp macro="" textlink="">
          <xdr:nvSpPr>
            <xdr:cNvPr id="133123" name="CommandButton3" hidden="1">
              <a:extLst>
                <a:ext uri="{63B3BB69-23CF-44E3-9099-C40C66FF867C}">
                  <a14:compatExt spid="_x0000_s133123"/>
                </a:ext>
                <a:ext uri="{FF2B5EF4-FFF2-40B4-BE49-F238E27FC236}">
                  <a16:creationId xmlns:a16="http://schemas.microsoft.com/office/drawing/2014/main" id="{00000000-0008-0000-1200-0000030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9</xdr:col>
      <xdr:colOff>123825</xdr:colOff>
      <xdr:row>49</xdr:row>
      <xdr:rowOff>76200</xdr:rowOff>
    </xdr:from>
    <xdr:to>
      <xdr:col>15</xdr:col>
      <xdr:colOff>457200</xdr:colOff>
      <xdr:row>63</xdr:row>
      <xdr:rowOff>9525</xdr:rowOff>
    </xdr:to>
    <xdr:graphicFrame macro="">
      <xdr:nvGraphicFramePr>
        <xdr:cNvPr id="103439" name="Chart 96">
          <a:extLst>
            <a:ext uri="{FF2B5EF4-FFF2-40B4-BE49-F238E27FC236}">
              <a16:creationId xmlns:a16="http://schemas.microsoft.com/office/drawing/2014/main" id="{00000000-0008-0000-1300-00000F9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152400</xdr:colOff>
      <xdr:row>64</xdr:row>
      <xdr:rowOff>0</xdr:rowOff>
    </xdr:from>
    <xdr:to>
      <xdr:col>15</xdr:col>
      <xdr:colOff>476250</xdr:colOff>
      <xdr:row>78</xdr:row>
      <xdr:rowOff>104775</xdr:rowOff>
    </xdr:to>
    <xdr:graphicFrame macro="">
      <xdr:nvGraphicFramePr>
        <xdr:cNvPr id="103440" name="Chart 97">
          <a:extLst>
            <a:ext uri="{FF2B5EF4-FFF2-40B4-BE49-F238E27FC236}">
              <a16:creationId xmlns:a16="http://schemas.microsoft.com/office/drawing/2014/main" id="{00000000-0008-0000-1300-0000109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38100</xdr:colOff>
          <xdr:row>0</xdr:row>
          <xdr:rowOff>361950</xdr:rowOff>
        </xdr:from>
        <xdr:to>
          <xdr:col>1</xdr:col>
          <xdr:colOff>1943100</xdr:colOff>
          <xdr:row>2</xdr:row>
          <xdr:rowOff>133350</xdr:rowOff>
        </xdr:to>
        <xdr:sp macro="" textlink="">
          <xdr:nvSpPr>
            <xdr:cNvPr id="103425" name="CommandButton1" hidden="1">
              <a:extLst>
                <a:ext uri="{63B3BB69-23CF-44E3-9099-C40C66FF867C}">
                  <a14:compatExt spid="_x0000_s103425"/>
                </a:ext>
                <a:ext uri="{FF2B5EF4-FFF2-40B4-BE49-F238E27FC236}">
                  <a16:creationId xmlns:a16="http://schemas.microsoft.com/office/drawing/2014/main" id="{00000000-0008-0000-1300-0000019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xdr:colOff>
          <xdr:row>78</xdr:row>
          <xdr:rowOff>95250</xdr:rowOff>
        </xdr:from>
        <xdr:to>
          <xdr:col>1</xdr:col>
          <xdr:colOff>1943100</xdr:colOff>
          <xdr:row>80</xdr:row>
          <xdr:rowOff>85725</xdr:rowOff>
        </xdr:to>
        <xdr:sp macro="" textlink="">
          <xdr:nvSpPr>
            <xdr:cNvPr id="103428" name="CommandButton3" hidden="1">
              <a:extLst>
                <a:ext uri="{63B3BB69-23CF-44E3-9099-C40C66FF867C}">
                  <a14:compatExt spid="_x0000_s103428"/>
                </a:ext>
                <a:ext uri="{FF2B5EF4-FFF2-40B4-BE49-F238E27FC236}">
                  <a16:creationId xmlns:a16="http://schemas.microsoft.com/office/drawing/2014/main" id="{00000000-0008-0000-1300-0000049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104</xdr:row>
          <xdr:rowOff>0</xdr:rowOff>
        </xdr:from>
        <xdr:to>
          <xdr:col>1</xdr:col>
          <xdr:colOff>1971675</xdr:colOff>
          <xdr:row>105</xdr:row>
          <xdr:rowOff>152400</xdr:rowOff>
        </xdr:to>
        <xdr:sp macro="" textlink="">
          <xdr:nvSpPr>
            <xdr:cNvPr id="103430" name="CommandButton4" hidden="1">
              <a:extLst>
                <a:ext uri="{63B3BB69-23CF-44E3-9099-C40C66FF867C}">
                  <a14:compatExt spid="_x0000_s103430"/>
                </a:ext>
                <a:ext uri="{FF2B5EF4-FFF2-40B4-BE49-F238E27FC236}">
                  <a16:creationId xmlns:a16="http://schemas.microsoft.com/office/drawing/2014/main" id="{00000000-0008-0000-1300-0000069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Calculo%20Poblacional%20Tambogrand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castro\JUAN%20CARLOS\Documents%20and%20Settings\Administrador\Mis%20documentos\Documentos%20Oficina%20Tecnica%20enviados%202004.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Mecanicos\d\Archivos%20de%20programa\TRABAJO\EXCEL\INFORMES\l-p-n&#176;16.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Mecanicos\d\Mario%20Pi&#241;eiro\nelco\presentacion%208marzo\obragrues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A:\Documents%20and%20Settings\Jorge%20Jerez\Mis%20documentos\1_San_Miguel\Presupuestos\1_1SM_Enero_1\CP_SanMiguel_Enero_1\Mario%20Pi&#241;eiro\nelco\presentacion%208marzo\obragruesa.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Pceoc\hdeoc\Mis%20documentos\Licitaciones\Hidr&#225;ulicas\Canal%20M%20Checa%20A2%20B2\Presup%20B2.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HUGO_POLAR\ESCRITORIO\WINDOWS\Escritorio\Jrituay\INSTALACION_EBEL\InstacionesEl&#233;ctricas\VALORIZACION%20p12-p22\VALON&#176;6%2012,14,15,16,17,18,19,%2022%20y%2021.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HUGO_POLAR\ESCRITORIO\WINDOWS\Escritorio\Jrituay\DOCUME~1\VGUIBO~1.HVS\CONFIG~1\Temp\d.Lotus.Notes.Data\Presupuesto_Techin.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File-server\Dpto_Tecnico\CAMZ\Cono%20Sur\Licitaciones\Muro%20de%20contenci&#243;n\CARPETA%20DE%20LA%20FAMILIA\LEOPARDO1\metrados\Nueva%20carpeta\COLISEO%20NEWTON.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Srv-fileserver\opmi$\WINDOWS\TEMP\Metrado%20de%20Mesaninne.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KARINA/2017/METODOLOGIAS/FICHAS%20TECNICAS/SETIEMBRE/Excel%20PIP%20simplificado_04.10.2017%20DGRS.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Srv-fileserver\opmi$\Users\cormeno\Desktop\Excel%20PIP%20Villa%20Rica%2024.11.12.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I:\Users\ANGEL\Desktop\PIPS%20HUANCAVELICA%20WORD\MOLLEPAMPA\Anexo%2010.%20PIP%20Excel%20Mollepampa\2.%20Angel%202012\Huancavelica\Huancavelica\Arma\PIP%20Arma%20Diciembre%202012\0%20Version%20de%20PIP%20a%20enero%202013\26%20de%20enero%202013.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razuri\saga%20falabel\Carlos\Encofrado\Precios%20Unitarios.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Hbossio\n-2203\Labor%20Sigral\Negocios\2177%20Planta%20Pisco\Presupuesto%20y%20Prog\Presupueto%20Final\PO-2177%20Nueve%20Edificios%20r1.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E:\Leandro\Paises\Peru\Junin\Jauja\INFORMACION%20COMPLEMENTARIA\SENSIBILIZACION\FORMULACIN%20Y%20EVALUACIN%20PIURA%2024.01.2011%20(CS).xlsx"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Pc-jresi\jica%20residuos%20solidos\MEMORIA\PWI\PWI_CINDILU\PWI%20-%20SECTOR%20III\PIPRS_CHACHAPOYAS\PROYECTO\PIP\PIPRS_CHACHAPOYAS\PIPRS_CHACHAPOYAS_22.11.10\01.%20PIP_NIVEL_PERFIL\FORMULACI&#211;N%20Y%20%20EVALUACI&#211;N_CHACHAPOYAS_22.11.2010.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Srv-fileserver\opmi$\Users\cormeno\Desktop\FICHA%20lp\Ficha%20Estandar%20(LP)19.01%20v1_con%20revision.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Srv-fileserver\opmi$\Users\ASUS\Desktop\PERFILES\PIP%20SANTIAGO%20DE%20TUNA\Anexo%2010.%20PIP%20EXCEL\1.%20PIP%20Excel%20-%20Santiago%20de%20Tuna.xlsm"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K:\Users\ASUS\Desktop\PERFILES\PIP%20SANTIAGO%20DE%20TUNA\Anexo%2010.%20PIP%20EXCEL\1.%20PIP%20Excel%20-%20Santiago%20de%20Tuna.xlsm"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Pceoc\hdeoc\Mis%20documentos\Licitaciones\Hidr&#225;ulicas\Canal%20M%20Checa%20A2%20B2\CHECA2B2.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Srv-fileserver\opmi$\ROSAURA\PR02%20-%20Metrados%20base%20de%20oferta%20-%20Excel\PR02%20-%202001-10-30%20%20Oferta%20economica%20%20Actualizado.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Mecanicos\d\Mis%20documentos\Cines%20Florida%20Center\Licitaciones\Climatizaci&#243;n%20y%20ventilaci&#243;n\Comparativo%20climatizaci&#243;n%20Cines%2003.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Srv-fileserver\opmi$\Mis%20documentos\JAIME\NAYLAMP\TABLEROS.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E:\Leandro\Paises\Peru\Amazonas\Perfil%20Bagua\PERFIL%20BAGUA%20PRODUCTO1\PERFIL\FLUJO%20FINANCIERO%20DE%20SOSTENIBILIDAD%20BAGUA%2005.04.2011.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Srv-fileserver\opmi$\PROYECTO\A-Met-2001\Mch\M0365%20YANACOCHA%20TANQUES.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M_chunga\d\WINDOWS\TEMP\RESOC3.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Pc-jresi\jica%20residuos%20solidos\31_PIPS\EXCEL%20FINAL%20-FICHA%20SNIP\FORMULACION%20Y%20EVALUACION%20AZANGARO_29.11.2010.xlsm"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E:\Users\Usuario\AppData\Roaming\Microsoft\Excel\FORMULACI&#211;N%20Y%20%20EVALUACI&#211;N_JICA_PIURA_xx.12.2010%20FACT.xlsm"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I:\Users\Usuario\AppData\Roaming\Microsoft\Excel\FORMULACI&#211;N%20Y%20%20EVALUACI&#211;N_JICA_PIURA_xx.12.2010%20FACT.xlsm"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Srv-fileserver\opmi$\Users\Armando\Downloads\Ficha%20LP%2022.02.2018%20(ARMANDO)%20ULTIMO%20v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cipal"/>
      <sheetName val="Menu No. 1"/>
      <sheetName val="Censo"/>
      <sheetName val="Poblacion"/>
      <sheetName val="Menu No. 2"/>
      <sheetName val="Dato"/>
      <sheetName val="Usuarios"/>
      <sheetName val="Usuarios Potencial"/>
      <sheetName val="Demanda Pasiva agua"/>
      <sheetName val="DemandaAlcant"/>
      <sheetName val="Menu No. 3"/>
      <sheetName val="Metas"/>
      <sheetName val="Demanda Activa Agua"/>
      <sheetName val="Demanda Activa Alcant."/>
      <sheetName val="Oferta de Agua"/>
      <sheetName val="Contribucion"/>
      <sheetName val="Menu No. 4"/>
      <sheetName val="DiagnostAg"/>
      <sheetName val="Captacion"/>
      <sheetName val="PreTratamiento"/>
      <sheetName val="ConduCruda"/>
      <sheetName val="Tratamiento"/>
      <sheetName val="ConduTratada"/>
      <sheetName val="Almacena"/>
      <sheetName val="EstBombeo"/>
      <sheetName val="RedPrimariaC"/>
      <sheetName val="RedPrimaria"/>
      <sheetName val="RedSecond"/>
      <sheetName val="ConexDomici"/>
      <sheetName val="PMedidores"/>
      <sheetName val="Colectores Primarios"/>
      <sheetName val="Alcantarillado"/>
      <sheetName val="Trat.AguasServ."/>
      <sheetName val="Emisores"/>
      <sheetName val="ConexDesa"/>
      <sheetName val="PMIO(Operativo)"/>
      <sheetName val="PMIO(Rehab)"/>
      <sheetName val="Inv.Agua.Potable"/>
      <sheetName val="InvAlcantarillado"/>
      <sheetName val="COSTOS"/>
      <sheetName val="Programa Invers."/>
      <sheetName val="PMIO"/>
      <sheetName val="Vol.Venta"/>
      <sheetName val="Módulo2"/>
      <sheetName val="Módulo1"/>
      <sheetName val="ANEXO 20 - C.I. BARRIDO"/>
      <sheetName val="ANEXO 22 - C.I. RECOLECCIÓN"/>
      <sheetName val="ANEXO 30 - GESTION A.F.T"/>
      <sheetName val="ANEXO 31 - SENSIB POB-INV"/>
      <sheetName val="BASE"/>
    </sheetNames>
    <sheetDataSet>
      <sheetData sheetId="0" refreshError="1">
        <row r="1">
          <cell r="R1" t="str">
            <v>{SelectBlock Censo:A1..A1}</v>
          </cell>
          <cell r="V1" t="str">
            <v>{SelectBlock Población:A1..A1}</v>
          </cell>
        </row>
      </sheetData>
      <sheetData sheetId="1" refreshError="1"/>
      <sheetData sheetId="2" refreshError="1"/>
      <sheetData sheetId="3" refreshError="1">
        <row r="27">
          <cell r="C27">
            <v>2646</v>
          </cell>
          <cell r="D27">
            <v>6065</v>
          </cell>
          <cell r="E27">
            <v>10732</v>
          </cell>
          <cell r="F27">
            <v>15046</v>
          </cell>
        </row>
        <row r="28">
          <cell r="C28">
            <v>3500</v>
          </cell>
          <cell r="D28">
            <v>4754</v>
          </cell>
          <cell r="E28">
            <v>6726</v>
          </cell>
          <cell r="F28">
            <v>15046</v>
          </cell>
        </row>
        <row r="29">
          <cell r="C29">
            <v>3987</v>
          </cell>
          <cell r="D29">
            <v>5335</v>
          </cell>
          <cell r="E29">
            <v>7376</v>
          </cell>
          <cell r="F29">
            <v>15046</v>
          </cell>
        </row>
        <row r="30">
          <cell r="C30">
            <v>3375</v>
          </cell>
          <cell r="D30">
            <v>4602</v>
          </cell>
          <cell r="E30">
            <v>6551</v>
          </cell>
          <cell r="F30">
            <v>15046</v>
          </cell>
        </row>
        <row r="31">
          <cell r="C31">
            <v>5402</v>
          </cell>
          <cell r="D31">
            <v>6928</v>
          </cell>
          <cell r="E31">
            <v>9012</v>
          </cell>
          <cell r="F31">
            <v>15046</v>
          </cell>
        </row>
        <row r="32">
          <cell r="C32">
            <v>4344</v>
          </cell>
          <cell r="D32">
            <v>5749</v>
          </cell>
          <cell r="E32">
            <v>7820</v>
          </cell>
          <cell r="F32">
            <v>15046</v>
          </cell>
        </row>
        <row r="84">
          <cell r="C84">
            <v>1961</v>
          </cell>
          <cell r="D84">
            <v>1972</v>
          </cell>
          <cell r="E84">
            <v>1981</v>
          </cell>
          <cell r="F84">
            <v>1993</v>
          </cell>
        </row>
        <row r="85">
          <cell r="C85">
            <v>2646</v>
          </cell>
          <cell r="D85">
            <v>6065</v>
          </cell>
          <cell r="E85">
            <v>10732</v>
          </cell>
          <cell r="F85">
            <v>15046</v>
          </cell>
        </row>
        <row r="86">
          <cell r="C86">
            <v>1614</v>
          </cell>
          <cell r="D86">
            <v>3477</v>
          </cell>
          <cell r="E86">
            <v>6514</v>
          </cell>
          <cell r="F86">
            <v>15046</v>
          </cell>
        </row>
        <row r="87">
          <cell r="C87">
            <v>2811</v>
          </cell>
          <cell r="D87">
            <v>5004</v>
          </cell>
          <cell r="E87">
            <v>8021</v>
          </cell>
          <cell r="F87">
            <v>15046</v>
          </cell>
        </row>
        <row r="88">
          <cell r="C88">
            <v>3050</v>
          </cell>
          <cell r="D88">
            <v>5280</v>
          </cell>
          <cell r="E88">
            <v>8271</v>
          </cell>
          <cell r="F88">
            <v>15046</v>
          </cell>
        </row>
        <row r="89">
          <cell r="C89">
            <v>4191</v>
          </cell>
          <cell r="D89">
            <v>6504</v>
          </cell>
          <cell r="E89">
            <v>9317</v>
          </cell>
          <cell r="F89">
            <v>15046</v>
          </cell>
        </row>
        <row r="90">
          <cell r="C90">
            <v>3061</v>
          </cell>
          <cell r="D90">
            <v>5293</v>
          </cell>
          <cell r="E90">
            <v>8282</v>
          </cell>
          <cell r="F90">
            <v>15046</v>
          </cell>
        </row>
        <row r="147">
          <cell r="B147">
            <v>1961</v>
          </cell>
          <cell r="C147">
            <v>1972</v>
          </cell>
          <cell r="D147">
            <v>1981</v>
          </cell>
          <cell r="E147">
            <v>1993</v>
          </cell>
        </row>
        <row r="148">
          <cell r="B148">
            <v>2646</v>
          </cell>
          <cell r="C148">
            <v>6065</v>
          </cell>
          <cell r="D148">
            <v>10732</v>
          </cell>
          <cell r="E148">
            <v>15046</v>
          </cell>
        </row>
        <row r="149">
          <cell r="B149">
            <v>-1880</v>
          </cell>
          <cell r="C149">
            <v>1538</v>
          </cell>
          <cell r="D149">
            <v>6205</v>
          </cell>
          <cell r="E149">
            <v>15046</v>
          </cell>
        </row>
        <row r="150">
          <cell r="B150">
            <v>2646</v>
          </cell>
          <cell r="C150">
            <v>6065</v>
          </cell>
          <cell r="D150">
            <v>9519</v>
          </cell>
          <cell r="E150">
            <v>15046</v>
          </cell>
        </row>
        <row r="151">
          <cell r="B151">
            <v>2646</v>
          </cell>
          <cell r="C151">
            <v>7231</v>
          </cell>
          <cell r="D151">
            <v>10732</v>
          </cell>
          <cell r="E151">
            <v>15046</v>
          </cell>
        </row>
        <row r="152">
          <cell r="B152">
            <v>-1305</v>
          </cell>
          <cell r="C152">
            <v>6065</v>
          </cell>
          <cell r="D152">
            <v>10732</v>
          </cell>
          <cell r="E152">
            <v>15046</v>
          </cell>
        </row>
        <row r="153">
          <cell r="B153">
            <v>2474</v>
          </cell>
          <cell r="C153">
            <v>6644</v>
          </cell>
          <cell r="D153">
            <v>10174</v>
          </cell>
          <cell r="E153">
            <v>15046</v>
          </cell>
        </row>
        <row r="200">
          <cell r="A200">
            <v>1993</v>
          </cell>
          <cell r="B200">
            <v>15046</v>
          </cell>
          <cell r="C200">
            <v>15046</v>
          </cell>
          <cell r="D200">
            <v>15046</v>
          </cell>
          <cell r="E200">
            <v>15046</v>
          </cell>
          <cell r="F200">
            <v>15046</v>
          </cell>
        </row>
        <row r="201">
          <cell r="A201">
            <v>2000</v>
          </cell>
          <cell r="B201">
            <v>17763.181525314172</v>
          </cell>
          <cell r="C201">
            <v>23155.794000000002</v>
          </cell>
          <cell r="D201">
            <v>19892.984278865235</v>
          </cell>
          <cell r="E201">
            <v>17975.203225841655</v>
          </cell>
          <cell r="F201">
            <v>17860.218453188601</v>
          </cell>
        </row>
        <row r="202">
          <cell r="A202">
            <v>2001</v>
          </cell>
          <cell r="B202">
            <v>18189.49788192171</v>
          </cell>
          <cell r="C202">
            <v>24314.336000000003</v>
          </cell>
          <cell r="D202">
            <v>20702.628739015046</v>
          </cell>
          <cell r="E202">
            <v>18398.914087888807</v>
          </cell>
          <cell r="F202">
            <v>18257.550429669835</v>
          </cell>
        </row>
        <row r="203">
          <cell r="A203">
            <v>2002</v>
          </cell>
          <cell r="B203">
            <v>18626.045831087828</v>
          </cell>
          <cell r="C203">
            <v>25472.878000000001</v>
          </cell>
          <cell r="D203">
            <v>21545.225728692956</v>
          </cell>
          <cell r="E203">
            <v>18823.938264524833</v>
          </cell>
          <cell r="F203">
            <v>18654.882406151064</v>
          </cell>
        </row>
        <row r="204">
          <cell r="A204">
            <v>2003</v>
          </cell>
          <cell r="B204">
            <v>19073.070931033937</v>
          </cell>
          <cell r="C204">
            <v>26631.420000000002</v>
          </cell>
          <cell r="D204">
            <v>22422.11641585076</v>
          </cell>
          <cell r="E204">
            <v>19250.275755749739</v>
          </cell>
          <cell r="F204">
            <v>19052.214382632294</v>
          </cell>
        </row>
        <row r="205">
          <cell r="A205">
            <v>2004</v>
          </cell>
          <cell r="B205">
            <v>19530.824633378754</v>
          </cell>
          <cell r="C205">
            <v>27789.962</v>
          </cell>
          <cell r="D205">
            <v>23334.696553975882</v>
          </cell>
          <cell r="E205">
            <v>19677.926561563509</v>
          </cell>
          <cell r="F205">
            <v>19449.546359113523</v>
          </cell>
        </row>
        <row r="206">
          <cell r="A206">
            <v>2005</v>
          </cell>
          <cell r="B206">
            <v>19999.564424579843</v>
          </cell>
          <cell r="C206">
            <v>28948.503999999997</v>
          </cell>
          <cell r="D206">
            <v>24284.418703722702</v>
          </cell>
          <cell r="E206">
            <v>20106.890681966153</v>
          </cell>
          <cell r="F206">
            <v>19846.878335594753</v>
          </cell>
        </row>
        <row r="207">
          <cell r="A207">
            <v>2006</v>
          </cell>
          <cell r="B207">
            <v>20479.553970769761</v>
          </cell>
          <cell r="C207">
            <v>30107.046000000006</v>
          </cell>
          <cell r="D207">
            <v>25272.794544964214</v>
          </cell>
          <cell r="E207">
            <v>20537.168116957677</v>
          </cell>
          <cell r="F207">
            <v>20244.210312075986</v>
          </cell>
        </row>
        <row r="208">
          <cell r="A208">
            <v>2007</v>
          </cell>
          <cell r="B208">
            <v>20971.063266068231</v>
          </cell>
          <cell r="C208">
            <v>31265.588000000003</v>
          </cell>
          <cell r="D208">
            <v>26301.397282944257</v>
          </cell>
          <cell r="E208">
            <v>20968.758866538064</v>
          </cell>
          <cell r="F208">
            <v>20641.542288557212</v>
          </cell>
        </row>
        <row r="209">
          <cell r="A209">
            <v>2008</v>
          </cell>
          <cell r="B209">
            <v>21474.368784453873</v>
          </cell>
          <cell r="C209">
            <v>32424.130000000005</v>
          </cell>
          <cell r="D209">
            <v>27371.864152360089</v>
          </cell>
          <cell r="E209">
            <v>21401.662930707327</v>
          </cell>
          <cell r="F209">
            <v>21038.874265038445</v>
          </cell>
        </row>
        <row r="210">
          <cell r="A210">
            <v>2009</v>
          </cell>
          <cell r="B210">
            <v>21989.753635280762</v>
          </cell>
          <cell r="C210">
            <v>33582.672000000006</v>
          </cell>
          <cell r="D210">
            <v>28485.89902336114</v>
          </cell>
          <cell r="E210">
            <v>21835.880309465469</v>
          </cell>
          <cell r="F210">
            <v>21436.206241519674</v>
          </cell>
        </row>
        <row r="211">
          <cell r="A211">
            <v>2010</v>
          </cell>
          <cell r="B211">
            <v>22517.507722527502</v>
          </cell>
          <cell r="C211">
            <v>34741.214</v>
          </cell>
          <cell r="D211">
            <v>29645.275113611937</v>
          </cell>
          <cell r="E211">
            <v>22271.411002812481</v>
          </cell>
          <cell r="F211">
            <v>21833.538218000904</v>
          </cell>
        </row>
        <row r="212">
          <cell r="A212">
            <v>2011</v>
          </cell>
          <cell r="B212">
            <v>23057.927907868157</v>
          </cell>
          <cell r="C212">
            <v>35899.756000000001</v>
          </cell>
          <cell r="D212">
            <v>30851.837810735942</v>
          </cell>
          <cell r="E212">
            <v>22708.255010748362</v>
          </cell>
          <cell r="F212">
            <v>22230.870194482137</v>
          </cell>
        </row>
        <row r="213">
          <cell r="A213">
            <v>2012</v>
          </cell>
          <cell r="B213">
            <v>23611.318177656998</v>
          </cell>
          <cell r="C213">
            <v>37058.298000000003</v>
          </cell>
          <cell r="D213">
            <v>32107.507609632892</v>
          </cell>
          <cell r="E213">
            <v>23146.412333273114</v>
          </cell>
          <cell r="F213">
            <v>22628.202170963363</v>
          </cell>
        </row>
        <row r="214">
          <cell r="A214">
            <v>2013</v>
          </cell>
          <cell r="B214">
            <v>24177.989813920765</v>
          </cell>
          <cell r="C214">
            <v>38216.840000000004</v>
          </cell>
          <cell r="D214">
            <v>33414.283169344948</v>
          </cell>
          <cell r="E214">
            <v>23585.882970386745</v>
          </cell>
          <cell r="F214">
            <v>23025.534147444596</v>
          </cell>
        </row>
        <row r="215">
          <cell r="A215">
            <v>2014</v>
          </cell>
          <cell r="B215">
            <v>24758.261569454866</v>
          </cell>
          <cell r="C215">
            <v>39375.381999999998</v>
          </cell>
          <cell r="D215">
            <v>34774.24449433729</v>
          </cell>
          <cell r="E215">
            <v>24026.666922089244</v>
          </cell>
          <cell r="F215">
            <v>23422.866123925825</v>
          </cell>
        </row>
        <row r="216">
          <cell r="A216">
            <v>2015</v>
          </cell>
          <cell r="B216">
            <v>25352.459847121776</v>
          </cell>
          <cell r="C216">
            <v>40533.923999999999</v>
          </cell>
          <cell r="D216">
            <v>36189.556245256819</v>
          </cell>
          <cell r="E216">
            <v>24468.764188380617</v>
          </cell>
          <cell r="F216">
            <v>23820.198100407055</v>
          </cell>
        </row>
        <row r="217">
          <cell r="A217">
            <v>2016</v>
          </cell>
          <cell r="B217">
            <v>25960.918883452705</v>
          </cell>
          <cell r="C217">
            <v>41692.466</v>
          </cell>
          <cell r="D217">
            <v>37662.471184438764</v>
          </cell>
          <cell r="E217">
            <v>24912.174769260866</v>
          </cell>
          <cell r="F217">
            <v>24217.530076888288</v>
          </cell>
        </row>
        <row r="218">
          <cell r="A218">
            <v>2017</v>
          </cell>
          <cell r="B218">
            <v>26583.980936655564</v>
          </cell>
          <cell r="C218">
            <v>42851.007999999994</v>
          </cell>
          <cell r="D218">
            <v>39195.333761645416</v>
          </cell>
          <cell r="E218">
            <v>25356.898664729983</v>
          </cell>
          <cell r="F218">
            <v>24614.862053369514</v>
          </cell>
        </row>
        <row r="219">
          <cell r="A219">
            <v>2018</v>
          </cell>
          <cell r="B219">
            <v>27221.996479135298</v>
          </cell>
          <cell r="C219">
            <v>44009.549999999996</v>
          </cell>
          <cell r="D219">
            <v>40790.58384574439</v>
          </cell>
          <cell r="E219">
            <v>25802.935874787971</v>
          </cell>
          <cell r="F219">
            <v>25012.194029850747</v>
          </cell>
        </row>
        <row r="220">
          <cell r="A220">
            <v>2019</v>
          </cell>
          <cell r="B220">
            <v>27875.324394634546</v>
          </cell>
          <cell r="C220">
            <v>45168.092000000004</v>
          </cell>
          <cell r="D220">
            <v>42450.76060826618</v>
          </cell>
          <cell r="E220">
            <v>26250.286399434837</v>
          </cell>
          <cell r="F220">
            <v>25409.526006331977</v>
          </cell>
        </row>
        <row r="221">
          <cell r="A221">
            <v>2020</v>
          </cell>
          <cell r="B221">
            <v>28544.332180105775</v>
          </cell>
          <cell r="C221">
            <v>46326.634000000005</v>
          </cell>
          <cell r="D221">
            <v>44178.50656502261</v>
          </cell>
          <cell r="E221">
            <v>26698.950238670575</v>
          </cell>
          <cell r="F221">
            <v>25806.857982813206</v>
          </cell>
        </row>
        <row r="222">
          <cell r="A222">
            <v>2021</v>
          </cell>
          <cell r="B222">
            <v>29229.396152428315</v>
          </cell>
          <cell r="C222">
            <v>47485.175999999999</v>
          </cell>
          <cell r="D222">
            <v>45976.571782219027</v>
          </cell>
          <cell r="E222">
            <v>27148.927392495181</v>
          </cell>
          <cell r="F222">
            <v>26204.189959294436</v>
          </cell>
        </row>
        <row r="223">
          <cell r="A223">
            <v>2022</v>
          </cell>
          <cell r="B223">
            <v>29930.901660086594</v>
          </cell>
          <cell r="C223">
            <v>48643.718000000001</v>
          </cell>
          <cell r="D223">
            <v>47847.818253755337</v>
          </cell>
          <cell r="E223">
            <v>27600.217860908666</v>
          </cell>
          <cell r="F223">
            <v>26601.521935775665</v>
          </cell>
        </row>
        <row r="224">
          <cell r="A224">
            <v>2023</v>
          </cell>
          <cell r="B224">
            <v>30649.243299928672</v>
          </cell>
          <cell r="C224">
            <v>49802.26</v>
          </cell>
          <cell r="D224">
            <v>49795.22445668318</v>
          </cell>
          <cell r="E224">
            <v>28052.821643911022</v>
          </cell>
          <cell r="F224">
            <v>26998.853912256898</v>
          </cell>
        </row>
        <row r="225">
          <cell r="A225">
            <v>2024</v>
          </cell>
          <cell r="B225">
            <v>31384.825139126962</v>
          </cell>
          <cell r="C225">
            <v>50960.802000000003</v>
          </cell>
          <cell r="D225">
            <v>51821.890092070185</v>
          </cell>
          <cell r="E225">
            <v>28506.738741502246</v>
          </cell>
          <cell r="F225">
            <v>27396.185888738128</v>
          </cell>
        </row>
        <row r="226">
          <cell r="A226">
            <v>2025</v>
          </cell>
          <cell r="B226">
            <v>32138.060942466003</v>
          </cell>
          <cell r="C226">
            <v>52119.343999999997</v>
          </cell>
          <cell r="D226">
            <v>53931.041018817428</v>
          </cell>
          <cell r="E226">
            <v>28961.969153682348</v>
          </cell>
          <cell r="F226">
            <v>27793.517865219357</v>
          </cell>
        </row>
      </sheetData>
      <sheetData sheetId="4" refreshError="1"/>
      <sheetData sheetId="5" refreshError="1"/>
      <sheetData sheetId="6" refreshError="1"/>
      <sheetData sheetId="7" refreshError="1"/>
      <sheetData sheetId="8" refreshError="1">
        <row r="14">
          <cell r="W14">
            <v>75799.392351844712</v>
          </cell>
          <cell r="X14">
            <v>51181.613999999994</v>
          </cell>
        </row>
        <row r="15">
          <cell r="W15">
            <v>77976.692869429011</v>
          </cell>
          <cell r="X15">
            <v>51181.613999999994</v>
          </cell>
        </row>
        <row r="16">
          <cell r="W16">
            <v>80158.759448021287</v>
          </cell>
          <cell r="X16">
            <v>51181.613999999994</v>
          </cell>
        </row>
        <row r="17">
          <cell r="W17">
            <v>82345.592087621611</v>
          </cell>
          <cell r="X17">
            <v>51181.613999999994</v>
          </cell>
        </row>
        <row r="18">
          <cell r="W18">
            <v>84537.190788229927</v>
          </cell>
          <cell r="X18">
            <v>51181.613999999994</v>
          </cell>
        </row>
        <row r="19">
          <cell r="W19">
            <v>86733.55554984622</v>
          </cell>
          <cell r="X19">
            <v>51181.613999999994</v>
          </cell>
        </row>
        <row r="20">
          <cell r="W20">
            <v>88532.41808453764</v>
          </cell>
          <cell r="X20">
            <v>51181.613999999994</v>
          </cell>
        </row>
        <row r="21">
          <cell r="W21">
            <v>90336.771198604198</v>
          </cell>
          <cell r="X21">
            <v>51181.613999999994</v>
          </cell>
        </row>
        <row r="22">
          <cell r="W22">
            <v>92146.614892045996</v>
          </cell>
          <cell r="X22">
            <v>51181.613999999994</v>
          </cell>
        </row>
        <row r="23">
          <cell r="W23">
            <v>93961.949164863036</v>
          </cell>
          <cell r="X23">
            <v>51181.613999999994</v>
          </cell>
        </row>
        <row r="24">
          <cell r="W24">
            <v>95782.774017055301</v>
          </cell>
          <cell r="X24">
            <v>51181.613999999994</v>
          </cell>
        </row>
        <row r="25">
          <cell r="W25">
            <v>97609.089448622763</v>
          </cell>
          <cell r="X25">
            <v>51181.613999999994</v>
          </cell>
        </row>
        <row r="26">
          <cell r="W26">
            <v>99440.895459565407</v>
          </cell>
          <cell r="X26">
            <v>51181.613999999994</v>
          </cell>
        </row>
        <row r="27">
          <cell r="W27">
            <v>101278.19204988334</v>
          </cell>
          <cell r="X27">
            <v>51181.613999999994</v>
          </cell>
        </row>
        <row r="28">
          <cell r="W28">
            <v>103120.97921957645</v>
          </cell>
          <cell r="X28">
            <v>51181.613999999994</v>
          </cell>
        </row>
        <row r="29">
          <cell r="W29">
            <v>104969.25696864481</v>
          </cell>
          <cell r="X29">
            <v>51181.613999999994</v>
          </cell>
        </row>
        <row r="30">
          <cell r="W30">
            <v>106823.02529708839</v>
          </cell>
          <cell r="X30">
            <v>51181.613999999994</v>
          </cell>
        </row>
        <row r="31">
          <cell r="W31">
            <v>108682.28420490715</v>
          </cell>
          <cell r="X31">
            <v>51181.613999999994</v>
          </cell>
        </row>
        <row r="32">
          <cell r="W32">
            <v>110547.03369210115</v>
          </cell>
          <cell r="X32">
            <v>51181.613999999994</v>
          </cell>
        </row>
        <row r="33">
          <cell r="W33">
            <v>112417.27375867037</v>
          </cell>
          <cell r="X33">
            <v>51181.613999999994</v>
          </cell>
        </row>
        <row r="34">
          <cell r="W34">
            <v>114293.00440461483</v>
          </cell>
          <cell r="X34">
            <v>51181.613999999994</v>
          </cell>
        </row>
        <row r="35">
          <cell r="W35">
            <v>116174.22562993449</v>
          </cell>
          <cell r="X35">
            <v>51181.613999999994</v>
          </cell>
        </row>
        <row r="36">
          <cell r="W36">
            <v>118060.93743462936</v>
          </cell>
          <cell r="X36">
            <v>51181.613999999994</v>
          </cell>
        </row>
        <row r="37">
          <cell r="W37">
            <v>119953.13981869946</v>
          </cell>
          <cell r="X37">
            <v>51181.613999999994</v>
          </cell>
        </row>
        <row r="38">
          <cell r="W38">
            <v>121850.83278214477</v>
          </cell>
          <cell r="X38">
            <v>51181.613999999994</v>
          </cell>
        </row>
        <row r="39">
          <cell r="W39">
            <v>123754.0163249653</v>
          </cell>
          <cell r="X39">
            <v>51181.613999999994</v>
          </cell>
        </row>
      </sheetData>
      <sheetData sheetId="9" refreshError="1"/>
      <sheetData sheetId="10" refreshError="1"/>
      <sheetData sheetId="11" refreshError="1"/>
      <sheetData sheetId="12" refreshError="1">
        <row r="14">
          <cell r="W14">
            <v>75799.392351844712</v>
          </cell>
          <cell r="X14">
            <v>51181.613999999994</v>
          </cell>
        </row>
        <row r="15">
          <cell r="W15">
            <v>77809.782869429007</v>
          </cell>
          <cell r="X15">
            <v>51311.700000000004</v>
          </cell>
        </row>
        <row r="16">
          <cell r="W16">
            <v>79574.234448021292</v>
          </cell>
          <cell r="X16">
            <v>52034.400000000001</v>
          </cell>
        </row>
        <row r="17">
          <cell r="W17">
            <v>81343.452087621612</v>
          </cell>
          <cell r="X17">
            <v>52757.1</v>
          </cell>
        </row>
        <row r="18">
          <cell r="W18">
            <v>82699.820788229918</v>
          </cell>
          <cell r="X18">
            <v>53479.80000000001</v>
          </cell>
        </row>
        <row r="19">
          <cell r="W19">
            <v>84060.955549846214</v>
          </cell>
          <cell r="X19">
            <v>54202.500000000007</v>
          </cell>
        </row>
        <row r="20">
          <cell r="W20">
            <v>85859.818084537634</v>
          </cell>
          <cell r="X20">
            <v>54925.200000000004</v>
          </cell>
        </row>
        <row r="21">
          <cell r="W21">
            <v>87664.171198604192</v>
          </cell>
          <cell r="X21">
            <v>55647.9</v>
          </cell>
        </row>
        <row r="22">
          <cell r="W22">
            <v>89474.014892045991</v>
          </cell>
          <cell r="X22">
            <v>56370.6</v>
          </cell>
        </row>
        <row r="23">
          <cell r="W23">
            <v>91289.34916486303</v>
          </cell>
          <cell r="X23">
            <v>57093.30000000001</v>
          </cell>
        </row>
        <row r="24">
          <cell r="W24">
            <v>93110.174017055295</v>
          </cell>
          <cell r="X24">
            <v>57816.000000000007</v>
          </cell>
        </row>
        <row r="25">
          <cell r="W25">
            <v>94936.489448622757</v>
          </cell>
          <cell r="X25">
            <v>57816.000000000007</v>
          </cell>
        </row>
        <row r="26">
          <cell r="W26">
            <v>96768.295459565416</v>
          </cell>
          <cell r="X26">
            <v>57816.000000000007</v>
          </cell>
        </row>
        <row r="27">
          <cell r="W27">
            <v>98605.592049883329</v>
          </cell>
          <cell r="X27">
            <v>57816.000000000007</v>
          </cell>
        </row>
        <row r="28">
          <cell r="W28">
            <v>100448.37921957645</v>
          </cell>
          <cell r="X28">
            <v>57816.000000000007</v>
          </cell>
        </row>
        <row r="29">
          <cell r="W29">
            <v>102296.65696864482</v>
          </cell>
          <cell r="X29">
            <v>57816.000000000007</v>
          </cell>
        </row>
        <row r="30">
          <cell r="W30">
            <v>104150.42529708838</v>
          </cell>
          <cell r="X30">
            <v>57816.000000000007</v>
          </cell>
        </row>
        <row r="31">
          <cell r="W31">
            <v>106009.68420490716</v>
          </cell>
          <cell r="X31">
            <v>57816.000000000007</v>
          </cell>
        </row>
        <row r="32">
          <cell r="W32">
            <v>107874.43369210114</v>
          </cell>
          <cell r="X32">
            <v>57816.000000000007</v>
          </cell>
        </row>
        <row r="33">
          <cell r="W33">
            <v>109744.67375867037</v>
          </cell>
          <cell r="X33">
            <v>57816.000000000007</v>
          </cell>
        </row>
        <row r="34">
          <cell r="W34">
            <v>111620.40440461483</v>
          </cell>
          <cell r="X34">
            <v>57816.000000000007</v>
          </cell>
        </row>
        <row r="35">
          <cell r="W35">
            <v>113501.62562993448</v>
          </cell>
          <cell r="X35">
            <v>57816.000000000007</v>
          </cell>
        </row>
        <row r="36">
          <cell r="W36">
            <v>115388.33743462936</v>
          </cell>
          <cell r="X36">
            <v>57816.000000000007</v>
          </cell>
        </row>
        <row r="37">
          <cell r="W37">
            <v>117280.53981869946</v>
          </cell>
          <cell r="X37">
            <v>57816.000000000007</v>
          </cell>
        </row>
        <row r="38">
          <cell r="W38">
            <v>119178.23278214477</v>
          </cell>
          <cell r="X38">
            <v>57816.000000000007</v>
          </cell>
        </row>
        <row r="39">
          <cell r="W39">
            <v>121081.41632496531</v>
          </cell>
          <cell r="X39">
            <v>57816.000000000007</v>
          </cell>
        </row>
      </sheetData>
      <sheetData sheetId="13" refreshError="1"/>
      <sheetData sheetId="14" refreshError="1"/>
      <sheetData sheetId="15" refreshError="1"/>
      <sheetData sheetId="16" refreshError="1"/>
      <sheetData sheetId="17" refreshError="1"/>
      <sheetData sheetId="18" refreshError="1">
        <row r="10">
          <cell r="S10">
            <v>47.494175798867118</v>
          </cell>
          <cell r="T10">
            <v>27.5</v>
          </cell>
        </row>
        <row r="11">
          <cell r="S11">
            <v>48.790584826167816</v>
          </cell>
          <cell r="T11">
            <v>30.5</v>
          </cell>
        </row>
        <row r="12">
          <cell r="S12">
            <v>49.811060064386588</v>
          </cell>
          <cell r="T12">
            <v>30.5</v>
          </cell>
        </row>
        <row r="13">
          <cell r="S13">
            <v>51.396939308161038</v>
          </cell>
          <cell r="T13">
            <v>30.5</v>
          </cell>
        </row>
        <row r="14">
          <cell r="S14">
            <v>52.030634076209033</v>
          </cell>
          <cell r="T14">
            <v>60.53</v>
          </cell>
        </row>
        <row r="15">
          <cell r="S15">
            <v>52.620078011939782</v>
          </cell>
          <cell r="T15">
            <v>60.53</v>
          </cell>
        </row>
        <row r="16">
          <cell r="S16">
            <v>53.323530592052258</v>
          </cell>
          <cell r="T16">
            <v>60.53</v>
          </cell>
        </row>
        <row r="17">
          <cell r="S17">
            <v>54.023865612182547</v>
          </cell>
          <cell r="T17">
            <v>60.53</v>
          </cell>
        </row>
        <row r="18">
          <cell r="S18">
            <v>54.721256176526531</v>
          </cell>
          <cell r="T18">
            <v>60.53</v>
          </cell>
        </row>
        <row r="19">
          <cell r="S19">
            <v>55.415866624510663</v>
          </cell>
          <cell r="T19">
            <v>60.53</v>
          </cell>
        </row>
        <row r="20">
          <cell r="S20">
            <v>56.107853078590082</v>
          </cell>
          <cell r="T20">
            <v>60.53</v>
          </cell>
        </row>
        <row r="21">
          <cell r="S21">
            <v>57.208384132165165</v>
          </cell>
          <cell r="T21">
            <v>60.53</v>
          </cell>
        </row>
        <row r="22">
          <cell r="S22">
            <v>58.312223788953091</v>
          </cell>
          <cell r="T22">
            <v>60.53</v>
          </cell>
        </row>
        <row r="23">
          <cell r="S23">
            <v>59.419372048953868</v>
          </cell>
          <cell r="T23">
            <v>60.53</v>
          </cell>
        </row>
        <row r="24">
          <cell r="S24">
            <v>60.529828912167474</v>
          </cell>
          <cell r="T24">
            <v>72.960000000000008</v>
          </cell>
        </row>
        <row r="25">
          <cell r="S25">
            <v>61.643594378593924</v>
          </cell>
          <cell r="T25">
            <v>72.960000000000008</v>
          </cell>
        </row>
        <row r="26">
          <cell r="S26">
            <v>62.76066844823324</v>
          </cell>
          <cell r="T26">
            <v>72.960000000000008</v>
          </cell>
        </row>
        <row r="27">
          <cell r="S27">
            <v>63.88105112108537</v>
          </cell>
          <cell r="T27">
            <v>72.960000000000008</v>
          </cell>
        </row>
        <row r="28">
          <cell r="S28">
            <v>65.004742397150324</v>
          </cell>
          <cell r="T28">
            <v>72.960000000000008</v>
          </cell>
        </row>
        <row r="29">
          <cell r="S29">
            <v>66.131742276428156</v>
          </cell>
          <cell r="T29">
            <v>72.960000000000008</v>
          </cell>
        </row>
        <row r="30">
          <cell r="S30">
            <v>67.262050758918846</v>
          </cell>
          <cell r="T30">
            <v>72.960000000000008</v>
          </cell>
        </row>
        <row r="31">
          <cell r="S31">
            <v>68.395667844622338</v>
          </cell>
          <cell r="T31">
            <v>72.960000000000008</v>
          </cell>
        </row>
        <row r="32">
          <cell r="S32">
            <v>69.532593533538702</v>
          </cell>
          <cell r="T32">
            <v>72.960000000000008</v>
          </cell>
        </row>
        <row r="33">
          <cell r="S33">
            <v>70.672827825667895</v>
          </cell>
          <cell r="T33">
            <v>72.960000000000008</v>
          </cell>
        </row>
        <row r="34">
          <cell r="S34">
            <v>71.816370721009918</v>
          </cell>
          <cell r="T34">
            <v>72.960000000000008</v>
          </cell>
        </row>
        <row r="35">
          <cell r="S35">
            <v>72.963222219564798</v>
          </cell>
          <cell r="T35">
            <v>72.960000000000008</v>
          </cell>
        </row>
      </sheetData>
      <sheetData sheetId="19" refreshError="1">
        <row r="12">
          <cell r="O12">
            <v>0</v>
          </cell>
          <cell r="P12">
            <v>0</v>
          </cell>
        </row>
        <row r="13">
          <cell r="O13">
            <v>0</v>
          </cell>
          <cell r="P13">
            <v>0</v>
          </cell>
        </row>
        <row r="14">
          <cell r="O14">
            <v>0</v>
          </cell>
          <cell r="P14">
            <v>0</v>
          </cell>
        </row>
        <row r="15">
          <cell r="O15">
            <v>0</v>
          </cell>
          <cell r="P15">
            <v>0</v>
          </cell>
        </row>
        <row r="16">
          <cell r="O16">
            <v>0</v>
          </cell>
          <cell r="P16">
            <v>0</v>
          </cell>
        </row>
        <row r="17">
          <cell r="O17">
            <v>0</v>
          </cell>
          <cell r="P17">
            <v>0</v>
          </cell>
        </row>
        <row r="18">
          <cell r="O18">
            <v>0</v>
          </cell>
          <cell r="P18">
            <v>0</v>
          </cell>
        </row>
        <row r="19">
          <cell r="O19">
            <v>0</v>
          </cell>
          <cell r="P19">
            <v>0</v>
          </cell>
        </row>
        <row r="20">
          <cell r="O20">
            <v>0</v>
          </cell>
          <cell r="P20">
            <v>0</v>
          </cell>
        </row>
        <row r="21">
          <cell r="O21">
            <v>0</v>
          </cell>
          <cell r="P21">
            <v>0</v>
          </cell>
        </row>
        <row r="22">
          <cell r="O22">
            <v>0</v>
          </cell>
          <cell r="P22">
            <v>0</v>
          </cell>
        </row>
        <row r="23">
          <cell r="O23">
            <v>0</v>
          </cell>
          <cell r="P23">
            <v>0</v>
          </cell>
        </row>
        <row r="24">
          <cell r="O24">
            <v>0</v>
          </cell>
          <cell r="P24">
            <v>0</v>
          </cell>
        </row>
        <row r="25">
          <cell r="O25">
            <v>0</v>
          </cell>
          <cell r="P25">
            <v>0</v>
          </cell>
        </row>
        <row r="26">
          <cell r="O26">
            <v>0</v>
          </cell>
          <cell r="P26">
            <v>0</v>
          </cell>
        </row>
        <row r="27">
          <cell r="O27">
            <v>0</v>
          </cell>
          <cell r="P27">
            <v>0</v>
          </cell>
        </row>
        <row r="28">
          <cell r="O28">
            <v>0</v>
          </cell>
          <cell r="P28">
            <v>0</v>
          </cell>
        </row>
        <row r="29">
          <cell r="O29">
            <v>0</v>
          </cell>
          <cell r="P29">
            <v>0</v>
          </cell>
        </row>
        <row r="30">
          <cell r="O30">
            <v>0</v>
          </cell>
          <cell r="P30">
            <v>0</v>
          </cell>
        </row>
        <row r="31">
          <cell r="O31">
            <v>0</v>
          </cell>
          <cell r="P31">
            <v>0</v>
          </cell>
        </row>
        <row r="32">
          <cell r="O32">
            <v>0</v>
          </cell>
          <cell r="P32">
            <v>0</v>
          </cell>
        </row>
        <row r="33">
          <cell r="O33">
            <v>0</v>
          </cell>
          <cell r="P33">
            <v>0</v>
          </cell>
        </row>
        <row r="34">
          <cell r="O34">
            <v>0</v>
          </cell>
          <cell r="P34">
            <v>0</v>
          </cell>
        </row>
        <row r="35">
          <cell r="O35">
            <v>0</v>
          </cell>
          <cell r="P35">
            <v>0</v>
          </cell>
        </row>
        <row r="36">
          <cell r="O36">
            <v>0</v>
          </cell>
          <cell r="P36">
            <v>0</v>
          </cell>
        </row>
        <row r="37">
          <cell r="O37">
            <v>0</v>
          </cell>
          <cell r="P37">
            <v>0</v>
          </cell>
        </row>
        <row r="42">
          <cell r="P42" t="str">
            <v xml:space="preserve"> </v>
          </cell>
        </row>
      </sheetData>
      <sheetData sheetId="20" refreshError="1">
        <row r="11">
          <cell r="O11">
            <v>0</v>
          </cell>
          <cell r="P11">
            <v>0</v>
          </cell>
        </row>
        <row r="12">
          <cell r="O12">
            <v>0</v>
          </cell>
          <cell r="P12">
            <v>0</v>
          </cell>
        </row>
        <row r="13">
          <cell r="O13">
            <v>0</v>
          </cell>
          <cell r="P13">
            <v>0</v>
          </cell>
        </row>
        <row r="14">
          <cell r="O14">
            <v>0</v>
          </cell>
          <cell r="P14">
            <v>0</v>
          </cell>
        </row>
        <row r="15">
          <cell r="O15">
            <v>0</v>
          </cell>
          <cell r="P15">
            <v>0</v>
          </cell>
        </row>
        <row r="16">
          <cell r="O16">
            <v>0</v>
          </cell>
          <cell r="P16">
            <v>0</v>
          </cell>
        </row>
        <row r="17">
          <cell r="O17">
            <v>0</v>
          </cell>
          <cell r="P17">
            <v>0</v>
          </cell>
        </row>
        <row r="18">
          <cell r="O18">
            <v>0</v>
          </cell>
          <cell r="P18">
            <v>0</v>
          </cell>
        </row>
        <row r="19">
          <cell r="O19">
            <v>0</v>
          </cell>
          <cell r="P19">
            <v>0</v>
          </cell>
        </row>
        <row r="20">
          <cell r="O20">
            <v>0</v>
          </cell>
          <cell r="P20">
            <v>0</v>
          </cell>
        </row>
        <row r="21">
          <cell r="O21">
            <v>0</v>
          </cell>
          <cell r="P21">
            <v>0</v>
          </cell>
        </row>
        <row r="22">
          <cell r="O22">
            <v>0</v>
          </cell>
          <cell r="P22">
            <v>0</v>
          </cell>
        </row>
        <row r="23">
          <cell r="O23">
            <v>0</v>
          </cell>
          <cell r="P23">
            <v>0</v>
          </cell>
        </row>
        <row r="24">
          <cell r="O24">
            <v>0</v>
          </cell>
          <cell r="P24">
            <v>0</v>
          </cell>
        </row>
        <row r="25">
          <cell r="O25">
            <v>0</v>
          </cell>
          <cell r="P25">
            <v>0</v>
          </cell>
        </row>
        <row r="26">
          <cell r="O26">
            <v>0</v>
          </cell>
          <cell r="P26">
            <v>0</v>
          </cell>
        </row>
        <row r="27">
          <cell r="O27">
            <v>0</v>
          </cell>
          <cell r="P27">
            <v>0</v>
          </cell>
        </row>
        <row r="28">
          <cell r="O28">
            <v>0</v>
          </cell>
          <cell r="P28">
            <v>0</v>
          </cell>
        </row>
        <row r="29">
          <cell r="O29">
            <v>0</v>
          </cell>
          <cell r="P29">
            <v>0</v>
          </cell>
        </row>
        <row r="30">
          <cell r="O30">
            <v>0</v>
          </cell>
          <cell r="P30">
            <v>0</v>
          </cell>
        </row>
        <row r="31">
          <cell r="O31">
            <v>0</v>
          </cell>
          <cell r="P31">
            <v>0</v>
          </cell>
        </row>
        <row r="32">
          <cell r="O32">
            <v>0</v>
          </cell>
          <cell r="P32">
            <v>0</v>
          </cell>
        </row>
        <row r="33">
          <cell r="O33">
            <v>0</v>
          </cell>
          <cell r="P33">
            <v>0</v>
          </cell>
        </row>
        <row r="34">
          <cell r="O34">
            <v>0</v>
          </cell>
          <cell r="P34">
            <v>0</v>
          </cell>
        </row>
        <row r="35">
          <cell r="O35">
            <v>0</v>
          </cell>
          <cell r="P35">
            <v>0</v>
          </cell>
        </row>
        <row r="36">
          <cell r="O36">
            <v>0</v>
          </cell>
          <cell r="P36">
            <v>0</v>
          </cell>
        </row>
      </sheetData>
      <sheetData sheetId="21" refreshError="1">
        <row r="11">
          <cell r="T11">
            <v>19.994175798867118</v>
          </cell>
          <cell r="U11">
            <v>0</v>
          </cell>
        </row>
        <row r="12">
          <cell r="T12">
            <v>18.290584826167816</v>
          </cell>
          <cell r="U12">
            <v>0</v>
          </cell>
        </row>
        <row r="13">
          <cell r="T13">
            <v>19.311060064386588</v>
          </cell>
          <cell r="U13">
            <v>0</v>
          </cell>
        </row>
        <row r="14">
          <cell r="T14">
            <v>20.896939308161038</v>
          </cell>
          <cell r="U14">
            <v>0</v>
          </cell>
        </row>
        <row r="15">
          <cell r="T15">
            <v>-8.4993659237909682</v>
          </cell>
          <cell r="U15">
            <v>0</v>
          </cell>
        </row>
        <row r="16">
          <cell r="T16">
            <v>-7.9099219880602192</v>
          </cell>
          <cell r="U16">
            <v>0</v>
          </cell>
        </row>
        <row r="17">
          <cell r="T17">
            <v>-7.2064694079477434</v>
          </cell>
          <cell r="U17">
            <v>0</v>
          </cell>
        </row>
        <row r="18">
          <cell r="T18">
            <v>-6.506134387817454</v>
          </cell>
          <cell r="U18">
            <v>0</v>
          </cell>
        </row>
        <row r="19">
          <cell r="T19">
            <v>-5.8087438234734705</v>
          </cell>
          <cell r="U19">
            <v>0</v>
          </cell>
        </row>
        <row r="20">
          <cell r="T20">
            <v>-5.1141333754893381</v>
          </cell>
          <cell r="U20">
            <v>35</v>
          </cell>
        </row>
        <row r="21">
          <cell r="T21">
            <v>-4.4221469214099187</v>
          </cell>
          <cell r="U21">
            <v>35</v>
          </cell>
        </row>
        <row r="22">
          <cell r="T22">
            <v>-3.3216158678348364</v>
          </cell>
          <cell r="U22">
            <v>35</v>
          </cell>
        </row>
        <row r="23">
          <cell r="T23">
            <v>-2.2177762110469104</v>
          </cell>
          <cell r="U23">
            <v>35</v>
          </cell>
        </row>
        <row r="24">
          <cell r="T24">
            <v>-1.1106279510461334</v>
          </cell>
          <cell r="U24">
            <v>35</v>
          </cell>
        </row>
        <row r="25">
          <cell r="T25">
            <v>-12.430171087832534</v>
          </cell>
          <cell r="U25">
            <v>35</v>
          </cell>
        </row>
        <row r="26">
          <cell r="T26">
            <v>-11.316405621406084</v>
          </cell>
          <cell r="U26">
            <v>35</v>
          </cell>
        </row>
        <row r="27">
          <cell r="T27">
            <v>-10.199331551766768</v>
          </cell>
          <cell r="U27">
            <v>35</v>
          </cell>
        </row>
        <row r="28">
          <cell r="T28">
            <v>-9.0789488789146375</v>
          </cell>
          <cell r="U28">
            <v>35</v>
          </cell>
        </row>
        <row r="29">
          <cell r="T29">
            <v>-7.9552576028496844</v>
          </cell>
          <cell r="U29">
            <v>35</v>
          </cell>
        </row>
        <row r="30">
          <cell r="T30">
            <v>-6.828257723571852</v>
          </cell>
          <cell r="U30">
            <v>35</v>
          </cell>
        </row>
        <row r="31">
          <cell r="T31">
            <v>-5.6979492410811616</v>
          </cell>
          <cell r="U31">
            <v>35</v>
          </cell>
        </row>
        <row r="32">
          <cell r="T32">
            <v>-4.5643321553776701</v>
          </cell>
          <cell r="U32">
            <v>35</v>
          </cell>
        </row>
        <row r="33">
          <cell r="T33">
            <v>-3.4274064664613064</v>
          </cell>
          <cell r="U33">
            <v>35</v>
          </cell>
        </row>
        <row r="34">
          <cell r="T34">
            <v>-2.2871721743321132</v>
          </cell>
          <cell r="U34">
            <v>35</v>
          </cell>
        </row>
        <row r="35">
          <cell r="T35">
            <v>-1.1436292789900904</v>
          </cell>
          <cell r="U35">
            <v>35</v>
          </cell>
        </row>
        <row r="36">
          <cell r="T36">
            <v>3.2222195647904073E-3</v>
          </cell>
          <cell r="U36">
            <v>35</v>
          </cell>
        </row>
      </sheetData>
      <sheetData sheetId="22" refreshError="1">
        <row r="12">
          <cell r="O12">
            <v>47.494175798867118</v>
          </cell>
          <cell r="P12">
            <v>22</v>
          </cell>
        </row>
        <row r="13">
          <cell r="O13">
            <v>48.790584826167816</v>
          </cell>
          <cell r="P13">
            <v>27.58</v>
          </cell>
        </row>
        <row r="14">
          <cell r="O14">
            <v>49.811060064386588</v>
          </cell>
          <cell r="P14">
            <v>27.58</v>
          </cell>
        </row>
        <row r="15">
          <cell r="O15">
            <v>51.396939308161038</v>
          </cell>
          <cell r="P15">
            <v>27.58</v>
          </cell>
        </row>
        <row r="16">
          <cell r="O16">
            <v>52.030634076209033</v>
          </cell>
          <cell r="P16">
            <v>72.960000000000008</v>
          </cell>
        </row>
        <row r="17">
          <cell r="O17">
            <v>52.620078011939782</v>
          </cell>
          <cell r="P17">
            <v>72.960000000000008</v>
          </cell>
        </row>
        <row r="18">
          <cell r="O18">
            <v>53.323530592052258</v>
          </cell>
          <cell r="P18">
            <v>72.960000000000008</v>
          </cell>
        </row>
        <row r="19">
          <cell r="O19">
            <v>54.023865612182547</v>
          </cell>
          <cell r="P19">
            <v>72.960000000000008</v>
          </cell>
        </row>
        <row r="20">
          <cell r="O20">
            <v>54.721256176526531</v>
          </cell>
          <cell r="P20">
            <v>72.960000000000008</v>
          </cell>
        </row>
        <row r="21">
          <cell r="O21">
            <v>55.415866624510663</v>
          </cell>
          <cell r="P21">
            <v>72.960000000000008</v>
          </cell>
        </row>
        <row r="22">
          <cell r="O22">
            <v>56.107853078590082</v>
          </cell>
          <cell r="P22">
            <v>72.960000000000008</v>
          </cell>
        </row>
        <row r="23">
          <cell r="O23">
            <v>57.208384132165165</v>
          </cell>
          <cell r="P23">
            <v>72.960000000000008</v>
          </cell>
        </row>
        <row r="24">
          <cell r="O24">
            <v>58.312223788953091</v>
          </cell>
          <cell r="P24">
            <v>72.960000000000008</v>
          </cell>
        </row>
        <row r="25">
          <cell r="O25">
            <v>59.419372048953868</v>
          </cell>
          <cell r="P25">
            <v>72.960000000000008</v>
          </cell>
        </row>
        <row r="26">
          <cell r="O26">
            <v>60.529828912167474</v>
          </cell>
          <cell r="P26">
            <v>72.960000000000008</v>
          </cell>
        </row>
        <row r="27">
          <cell r="O27">
            <v>61.643594378593924</v>
          </cell>
          <cell r="P27">
            <v>72.960000000000008</v>
          </cell>
        </row>
        <row r="28">
          <cell r="O28">
            <v>62.76066844823324</v>
          </cell>
          <cell r="P28">
            <v>72.960000000000008</v>
          </cell>
        </row>
        <row r="29">
          <cell r="O29">
            <v>63.88105112108537</v>
          </cell>
          <cell r="P29">
            <v>72.960000000000008</v>
          </cell>
        </row>
        <row r="30">
          <cell r="O30">
            <v>65.004742397150324</v>
          </cell>
          <cell r="P30">
            <v>72.960000000000008</v>
          </cell>
        </row>
        <row r="31">
          <cell r="O31">
            <v>66.131742276428156</v>
          </cell>
          <cell r="P31">
            <v>72.960000000000008</v>
          </cell>
        </row>
        <row r="32">
          <cell r="O32">
            <v>67.262050758918846</v>
          </cell>
          <cell r="P32">
            <v>72.960000000000008</v>
          </cell>
        </row>
        <row r="33">
          <cell r="O33">
            <v>68.395667844622338</v>
          </cell>
          <cell r="P33">
            <v>72.960000000000008</v>
          </cell>
        </row>
        <row r="34">
          <cell r="O34">
            <v>69.532593533538702</v>
          </cell>
          <cell r="P34">
            <v>72.960000000000008</v>
          </cell>
        </row>
        <row r="35">
          <cell r="O35">
            <v>70.672827825667895</v>
          </cell>
          <cell r="P35">
            <v>72.960000000000008</v>
          </cell>
        </row>
        <row r="36">
          <cell r="O36">
            <v>71.816370721009918</v>
          </cell>
          <cell r="P36">
            <v>72.960000000000008</v>
          </cell>
        </row>
        <row r="37">
          <cell r="O37">
            <v>72.963222219564798</v>
          </cell>
          <cell r="P37">
            <v>72.960000000000008</v>
          </cell>
        </row>
      </sheetData>
      <sheetData sheetId="23" refreshError="1">
        <row r="14">
          <cell r="O14">
            <v>1042</v>
          </cell>
          <cell r="P14">
            <v>400</v>
          </cell>
        </row>
        <row r="15">
          <cell r="O15">
            <v>1070</v>
          </cell>
          <cell r="P15">
            <v>550</v>
          </cell>
        </row>
        <row r="16">
          <cell r="O16">
            <v>1092</v>
          </cell>
          <cell r="P16">
            <v>550</v>
          </cell>
        </row>
        <row r="17">
          <cell r="O17">
            <v>1127</v>
          </cell>
          <cell r="P17">
            <v>550</v>
          </cell>
        </row>
        <row r="18">
          <cell r="O18">
            <v>1141</v>
          </cell>
          <cell r="P18">
            <v>1450</v>
          </cell>
        </row>
        <row r="19">
          <cell r="O19">
            <v>1154</v>
          </cell>
          <cell r="P19">
            <v>1450</v>
          </cell>
        </row>
        <row r="20">
          <cell r="O20">
            <v>1170</v>
          </cell>
          <cell r="P20">
            <v>1450</v>
          </cell>
        </row>
        <row r="21">
          <cell r="O21">
            <v>1185</v>
          </cell>
          <cell r="P21">
            <v>1450</v>
          </cell>
        </row>
        <row r="22">
          <cell r="O22">
            <v>1200</v>
          </cell>
          <cell r="P22">
            <v>1450</v>
          </cell>
        </row>
        <row r="23">
          <cell r="O23">
            <v>1215</v>
          </cell>
          <cell r="P23">
            <v>1450</v>
          </cell>
        </row>
        <row r="24">
          <cell r="O24">
            <v>1231</v>
          </cell>
          <cell r="P24">
            <v>1450</v>
          </cell>
        </row>
        <row r="25">
          <cell r="O25">
            <v>1255</v>
          </cell>
          <cell r="P25">
            <v>1450</v>
          </cell>
        </row>
        <row r="26">
          <cell r="O26">
            <v>1279</v>
          </cell>
          <cell r="P26">
            <v>1450</v>
          </cell>
        </row>
        <row r="27">
          <cell r="O27">
            <v>1303</v>
          </cell>
          <cell r="P27">
            <v>1450</v>
          </cell>
        </row>
        <row r="28">
          <cell r="O28">
            <v>1328</v>
          </cell>
          <cell r="P28">
            <v>1450</v>
          </cell>
        </row>
        <row r="29">
          <cell r="O29">
            <v>1352</v>
          </cell>
          <cell r="P29">
            <v>1450</v>
          </cell>
        </row>
        <row r="30">
          <cell r="O30">
            <v>1376</v>
          </cell>
          <cell r="P30">
            <v>1450</v>
          </cell>
        </row>
        <row r="31">
          <cell r="O31">
            <v>1401</v>
          </cell>
          <cell r="P31">
            <v>1450</v>
          </cell>
        </row>
        <row r="32">
          <cell r="O32">
            <v>1426</v>
          </cell>
          <cell r="P32">
            <v>1650</v>
          </cell>
        </row>
        <row r="33">
          <cell r="O33">
            <v>1450</v>
          </cell>
          <cell r="P33">
            <v>1650</v>
          </cell>
        </row>
        <row r="34">
          <cell r="O34">
            <v>1475</v>
          </cell>
          <cell r="P34">
            <v>1650</v>
          </cell>
        </row>
        <row r="35">
          <cell r="O35">
            <v>1500</v>
          </cell>
          <cell r="P35">
            <v>1650</v>
          </cell>
        </row>
        <row r="36">
          <cell r="O36">
            <v>1525</v>
          </cell>
          <cell r="P36">
            <v>1650</v>
          </cell>
        </row>
        <row r="37">
          <cell r="O37">
            <v>1550</v>
          </cell>
          <cell r="P37">
            <v>1650</v>
          </cell>
        </row>
        <row r="38">
          <cell r="O38">
            <v>1575</v>
          </cell>
          <cell r="P38">
            <v>1650</v>
          </cell>
        </row>
        <row r="39">
          <cell r="O39">
            <v>1600</v>
          </cell>
          <cell r="P39">
            <v>1650</v>
          </cell>
        </row>
      </sheetData>
      <sheetData sheetId="24" refreshError="1"/>
      <sheetData sheetId="25" refreshError="1"/>
      <sheetData sheetId="26" refreshError="1"/>
      <sheetData sheetId="27" refreshError="1"/>
      <sheetData sheetId="28" refreshError="1">
        <row r="11">
          <cell r="S11">
            <v>2885</v>
          </cell>
          <cell r="T11">
            <v>2885</v>
          </cell>
        </row>
        <row r="12">
          <cell r="S12">
            <v>2967.5667883691622</v>
          </cell>
          <cell r="T12">
            <v>2967.5667883691622</v>
          </cell>
        </row>
        <row r="13">
          <cell r="S13">
            <v>3112.0220517964444</v>
          </cell>
          <cell r="T13">
            <v>3112.0220517964444</v>
          </cell>
        </row>
        <row r="14">
          <cell r="S14">
            <v>3337.7494253920922</v>
          </cell>
          <cell r="T14">
            <v>3337.7494253920922</v>
          </cell>
        </row>
        <row r="15">
          <cell r="S15">
            <v>3491.2450351161069</v>
          </cell>
          <cell r="T15">
            <v>3491.2450351161069</v>
          </cell>
        </row>
        <row r="16">
          <cell r="S16">
            <v>3648.4277447116006</v>
          </cell>
          <cell r="T16">
            <v>3648.4277447116006</v>
          </cell>
        </row>
        <row r="17">
          <cell r="S17">
            <v>3767.9078601676383</v>
          </cell>
          <cell r="T17">
            <v>3767.9078601676383</v>
          </cell>
        </row>
        <row r="18">
          <cell r="S18">
            <v>3889.3665639546412</v>
          </cell>
          <cell r="T18">
            <v>3889.3665639546412</v>
          </cell>
        </row>
        <row r="19">
          <cell r="S19">
            <v>4012.8117995076245</v>
          </cell>
          <cell r="T19">
            <v>4012.8117995076245</v>
          </cell>
        </row>
        <row r="20">
          <cell r="S20">
            <v>4138.2515102616007</v>
          </cell>
          <cell r="T20">
            <v>4138.2515102616007</v>
          </cell>
        </row>
        <row r="21">
          <cell r="S21">
            <v>4265.6936396515839</v>
          </cell>
          <cell r="T21">
            <v>4265.6936396515839</v>
          </cell>
        </row>
        <row r="22">
          <cell r="S22">
            <v>4349.3633589134961</v>
          </cell>
          <cell r="T22">
            <v>4349.3633589134961</v>
          </cell>
        </row>
        <row r="23">
          <cell r="S23">
            <v>4433.2846202841647</v>
          </cell>
          <cell r="T23">
            <v>4433.2846202841647</v>
          </cell>
        </row>
        <row r="24">
          <cell r="S24">
            <v>4517.4574237635907</v>
          </cell>
          <cell r="T24">
            <v>4517.4574237635907</v>
          </cell>
        </row>
        <row r="25">
          <cell r="S25">
            <v>4601.8817693517703</v>
          </cell>
          <cell r="T25">
            <v>4601.8817693517703</v>
          </cell>
        </row>
        <row r="26">
          <cell r="S26">
            <v>4686.5576570487065</v>
          </cell>
          <cell r="T26">
            <v>4686.5576570487065</v>
          </cell>
        </row>
        <row r="27">
          <cell r="S27">
            <v>4771.4850868543999</v>
          </cell>
          <cell r="T27">
            <v>4771.4850868543999</v>
          </cell>
        </row>
        <row r="28">
          <cell r="S28">
            <v>4856.6640587688471</v>
          </cell>
          <cell r="T28">
            <v>4856.6640587688471</v>
          </cell>
        </row>
        <row r="29">
          <cell r="S29">
            <v>4942.0945727920507</v>
          </cell>
          <cell r="T29">
            <v>4942.0945727920507</v>
          </cell>
        </row>
        <row r="30">
          <cell r="S30">
            <v>5027.7766289240108</v>
          </cell>
          <cell r="T30">
            <v>5027.7766289240108</v>
          </cell>
        </row>
        <row r="31">
          <cell r="S31">
            <v>5113.7102271647273</v>
          </cell>
          <cell r="T31">
            <v>5113.7102271647273</v>
          </cell>
        </row>
        <row r="32">
          <cell r="S32">
            <v>5199.8953675141984</v>
          </cell>
          <cell r="T32">
            <v>5199.8953675141984</v>
          </cell>
        </row>
        <row r="33">
          <cell r="S33">
            <v>5286.3320499724259</v>
          </cell>
          <cell r="T33">
            <v>5286.3320499724259</v>
          </cell>
        </row>
        <row r="34">
          <cell r="S34">
            <v>5373.0202745394099</v>
          </cell>
          <cell r="T34">
            <v>5373.0202745394099</v>
          </cell>
        </row>
        <row r="35">
          <cell r="S35">
            <v>5459.9600412151476</v>
          </cell>
          <cell r="T35">
            <v>5459.9600412151476</v>
          </cell>
        </row>
        <row r="36">
          <cell r="S36">
            <v>5547.1513499996436</v>
          </cell>
          <cell r="T36">
            <v>5547.1513499996436</v>
          </cell>
        </row>
      </sheetData>
      <sheetData sheetId="29" refreshError="1">
        <row r="11">
          <cell r="S11">
            <v>2885</v>
          </cell>
          <cell r="T11">
            <v>2805</v>
          </cell>
        </row>
        <row r="12">
          <cell r="S12">
            <v>2967.5667883691622</v>
          </cell>
          <cell r="T12">
            <v>2890.0202871366382</v>
          </cell>
        </row>
        <row r="13">
          <cell r="S13">
            <v>3112.0220517964444</v>
          </cell>
          <cell r="T13">
            <v>3044.5056711991183</v>
          </cell>
        </row>
        <row r="14">
          <cell r="S14">
            <v>3337.7494253920922</v>
          </cell>
          <cell r="T14">
            <v>3279.7954417213523</v>
          </cell>
        </row>
        <row r="15">
          <cell r="S15">
            <v>3491.2450351161069</v>
          </cell>
          <cell r="T15">
            <v>3461.0199213230135</v>
          </cell>
        </row>
        <row r="16">
          <cell r="S16">
            <v>3648.4277447116006</v>
          </cell>
          <cell r="T16">
            <v>3648.4277447116006</v>
          </cell>
        </row>
        <row r="17">
          <cell r="S17">
            <v>3767.9078601676383</v>
          </cell>
          <cell r="T17">
            <v>3767.9078601676383</v>
          </cell>
        </row>
        <row r="18">
          <cell r="S18">
            <v>3889.3665639546412</v>
          </cell>
          <cell r="T18">
            <v>3889.3665639546412</v>
          </cell>
        </row>
        <row r="19">
          <cell r="S19">
            <v>4012.8117995076245</v>
          </cell>
          <cell r="T19">
            <v>4012.8117995076245</v>
          </cell>
        </row>
        <row r="20">
          <cell r="S20">
            <v>4138.2515102616007</v>
          </cell>
          <cell r="T20">
            <v>4138.2515102616007</v>
          </cell>
        </row>
        <row r="21">
          <cell r="S21">
            <v>4265.6936396515839</v>
          </cell>
          <cell r="T21">
            <v>4265.6936396515839</v>
          </cell>
        </row>
        <row r="22">
          <cell r="S22">
            <v>4349.3633589134961</v>
          </cell>
          <cell r="T22">
            <v>4349.3633589134961</v>
          </cell>
        </row>
        <row r="23">
          <cell r="S23">
            <v>4433.2846202841647</v>
          </cell>
          <cell r="T23">
            <v>4433.2846202841647</v>
          </cell>
        </row>
        <row r="24">
          <cell r="S24">
            <v>4517.4574237635907</v>
          </cell>
          <cell r="T24">
            <v>4517.4574237635907</v>
          </cell>
        </row>
        <row r="25">
          <cell r="S25">
            <v>4601.8817693517703</v>
          </cell>
          <cell r="T25">
            <v>4601.8817693517703</v>
          </cell>
        </row>
        <row r="26">
          <cell r="S26">
            <v>4686.5576570487065</v>
          </cell>
          <cell r="T26">
            <v>4686.5576570487065</v>
          </cell>
        </row>
        <row r="27">
          <cell r="S27">
            <v>4771.4850868543999</v>
          </cell>
          <cell r="T27">
            <v>4771.4850868543999</v>
          </cell>
        </row>
        <row r="28">
          <cell r="S28">
            <v>4856.6640587688471</v>
          </cell>
          <cell r="T28">
            <v>4856.6640587688471</v>
          </cell>
        </row>
        <row r="29">
          <cell r="S29">
            <v>4942.0945727920507</v>
          </cell>
          <cell r="T29">
            <v>4942.0945727920507</v>
          </cell>
        </row>
        <row r="30">
          <cell r="S30">
            <v>5027.7766289240108</v>
          </cell>
          <cell r="T30">
            <v>5027.7766289240108</v>
          </cell>
        </row>
        <row r="31">
          <cell r="S31">
            <v>5113.7102271647273</v>
          </cell>
          <cell r="T31">
            <v>5113.7102271647273</v>
          </cell>
        </row>
        <row r="32">
          <cell r="S32">
            <v>5199.8953675141984</v>
          </cell>
          <cell r="T32">
            <v>5199.8953675141984</v>
          </cell>
        </row>
        <row r="33">
          <cell r="S33">
            <v>5286.3320499724259</v>
          </cell>
          <cell r="T33">
            <v>5286.3320499724259</v>
          </cell>
        </row>
        <row r="34">
          <cell r="S34">
            <v>5373.0202745394099</v>
          </cell>
          <cell r="T34">
            <v>5373.0202745394099</v>
          </cell>
        </row>
        <row r="35">
          <cell r="S35">
            <v>5459.9600412151476</v>
          </cell>
          <cell r="T35">
            <v>5459.9600412151476</v>
          </cell>
        </row>
        <row r="36">
          <cell r="S36">
            <v>5547.1513499996436</v>
          </cell>
          <cell r="T36">
            <v>5547.1513499996436</v>
          </cell>
        </row>
      </sheetData>
      <sheetData sheetId="30" refreshError="1"/>
      <sheetData sheetId="31" refreshError="1"/>
      <sheetData sheetId="32" refreshError="1">
        <row r="12">
          <cell r="X12">
            <v>15.797456608648472</v>
          </cell>
          <cell r="Y12">
            <v>0</v>
          </cell>
        </row>
        <row r="13">
          <cell r="X13">
            <v>17.401832487566939</v>
          </cell>
          <cell r="Y13">
            <v>0</v>
          </cell>
        </row>
        <row r="14">
          <cell r="X14">
            <v>18.825282310871792</v>
          </cell>
          <cell r="Y14">
            <v>25</v>
          </cell>
        </row>
        <row r="15">
          <cell r="X15">
            <v>20.303460109995477</v>
          </cell>
          <cell r="Y15">
            <v>25</v>
          </cell>
        </row>
        <row r="16">
          <cell r="X16">
            <v>22.999986797742444</v>
          </cell>
          <cell r="Y16">
            <v>25</v>
          </cell>
        </row>
        <row r="17">
          <cell r="X17">
            <v>24.500932181847574</v>
          </cell>
          <cell r="Y17">
            <v>25</v>
          </cell>
        </row>
        <row r="18">
          <cell r="X18">
            <v>25.117760594429942</v>
          </cell>
          <cell r="Y18">
            <v>25</v>
          </cell>
        </row>
        <row r="19">
          <cell r="X19">
            <v>25.746995111959102</v>
          </cell>
          <cell r="Y19">
            <v>25</v>
          </cell>
        </row>
        <row r="20">
          <cell r="X20">
            <v>26.388685876712469</v>
          </cell>
          <cell r="Y20">
            <v>25</v>
          </cell>
        </row>
        <row r="21">
          <cell r="X21">
            <v>27.042883030967459</v>
          </cell>
          <cell r="Y21">
            <v>25</v>
          </cell>
        </row>
        <row r="22">
          <cell r="X22">
            <v>27.709636717001452</v>
          </cell>
          <cell r="Y22">
            <v>25</v>
          </cell>
        </row>
        <row r="23">
          <cell r="X23">
            <v>28.209997109211709</v>
          </cell>
          <cell r="Y23">
            <v>25</v>
          </cell>
        </row>
        <row r="24">
          <cell r="X24">
            <v>28.711861769743951</v>
          </cell>
          <cell r="Y24">
            <v>25</v>
          </cell>
        </row>
        <row r="25">
          <cell r="X25">
            <v>29.215230698598173</v>
          </cell>
          <cell r="Y25">
            <v>25</v>
          </cell>
        </row>
        <row r="26">
          <cell r="X26">
            <v>29.720103895774376</v>
          </cell>
          <cell r="Y26">
            <v>25</v>
          </cell>
        </row>
        <row r="27">
          <cell r="X27">
            <v>30.226481361272544</v>
          </cell>
          <cell r="Y27">
            <v>25</v>
          </cell>
        </row>
        <row r="28">
          <cell r="X28">
            <v>30.7343630950927</v>
          </cell>
          <cell r="Y28">
            <v>25</v>
          </cell>
        </row>
        <row r="29">
          <cell r="X29">
            <v>31.243749097234833</v>
          </cell>
          <cell r="Y29">
            <v>25</v>
          </cell>
        </row>
        <row r="30">
          <cell r="X30">
            <v>31.754639367698939</v>
          </cell>
          <cell r="Y30">
            <v>25</v>
          </cell>
        </row>
        <row r="31">
          <cell r="X31">
            <v>32.267033906485032</v>
          </cell>
          <cell r="Y31">
            <v>25</v>
          </cell>
        </row>
        <row r="32">
          <cell r="X32">
            <v>32.780932713593103</v>
          </cell>
          <cell r="Y32">
            <v>25</v>
          </cell>
        </row>
        <row r="33">
          <cell r="X33">
            <v>33.296335789023146</v>
          </cell>
          <cell r="Y33">
            <v>33</v>
          </cell>
        </row>
        <row r="34">
          <cell r="X34">
            <v>33.813243132775163</v>
          </cell>
          <cell r="Y34">
            <v>33</v>
          </cell>
        </row>
        <row r="35">
          <cell r="X35">
            <v>34.33165474484916</v>
          </cell>
          <cell r="Y35">
            <v>33</v>
          </cell>
        </row>
        <row r="36">
          <cell r="X36">
            <v>34.851570625245138</v>
          </cell>
          <cell r="Y36">
            <v>33</v>
          </cell>
        </row>
        <row r="37">
          <cell r="X37">
            <v>35.372990773963096</v>
          </cell>
          <cell r="Y37">
            <v>33</v>
          </cell>
        </row>
      </sheetData>
      <sheetData sheetId="33" refreshError="1">
        <row r="10">
          <cell r="V10">
            <v>28.435421895567252</v>
          </cell>
          <cell r="W10">
            <v>21.4</v>
          </cell>
        </row>
        <row r="11">
          <cell r="V11">
            <v>31.32329847762049</v>
          </cell>
          <cell r="W11">
            <v>21.4</v>
          </cell>
        </row>
        <row r="12">
          <cell r="V12">
            <v>33.885508159569227</v>
          </cell>
          <cell r="W12">
            <v>25</v>
          </cell>
        </row>
        <row r="13">
          <cell r="V13">
            <v>36.546228197991859</v>
          </cell>
          <cell r="W13">
            <v>25</v>
          </cell>
        </row>
        <row r="14">
          <cell r="V14">
            <v>41.3999762359364</v>
          </cell>
          <cell r="W14">
            <v>25</v>
          </cell>
        </row>
        <row r="15">
          <cell r="V15">
            <v>44.101677927325632</v>
          </cell>
          <cell r="W15">
            <v>25</v>
          </cell>
        </row>
        <row r="16">
          <cell r="V16">
            <v>45.211969069973897</v>
          </cell>
          <cell r="W16">
            <v>25</v>
          </cell>
        </row>
        <row r="17">
          <cell r="V17">
            <v>46.344591201526384</v>
          </cell>
          <cell r="W17">
            <v>60</v>
          </cell>
        </row>
        <row r="18">
          <cell r="V18">
            <v>47.499634578082443</v>
          </cell>
          <cell r="W18">
            <v>60</v>
          </cell>
        </row>
        <row r="19">
          <cell r="V19">
            <v>48.677189455741427</v>
          </cell>
          <cell r="W19">
            <v>60</v>
          </cell>
        </row>
        <row r="20">
          <cell r="V20">
            <v>49.877346090602614</v>
          </cell>
          <cell r="W20">
            <v>60</v>
          </cell>
        </row>
        <row r="21">
          <cell r="V21">
            <v>50.777994796581076</v>
          </cell>
          <cell r="W21">
            <v>60</v>
          </cell>
        </row>
        <row r="22">
          <cell r="V22">
            <v>51.681351185539114</v>
          </cell>
          <cell r="W22">
            <v>60</v>
          </cell>
        </row>
        <row r="23">
          <cell r="V23">
            <v>52.587415257476714</v>
          </cell>
          <cell r="W23">
            <v>60</v>
          </cell>
        </row>
        <row r="24">
          <cell r="V24">
            <v>53.496187012393875</v>
          </cell>
          <cell r="W24">
            <v>60</v>
          </cell>
        </row>
        <row r="25">
          <cell r="V25">
            <v>54.407666450290577</v>
          </cell>
          <cell r="W25">
            <v>60</v>
          </cell>
        </row>
        <row r="26">
          <cell r="V26">
            <v>55.321853571166862</v>
          </cell>
          <cell r="W26">
            <v>60</v>
          </cell>
        </row>
        <row r="27">
          <cell r="V27">
            <v>56.238748375022702</v>
          </cell>
          <cell r="W27">
            <v>60</v>
          </cell>
        </row>
        <row r="28">
          <cell r="V28">
            <v>57.158350861858089</v>
          </cell>
          <cell r="W28">
            <v>60</v>
          </cell>
        </row>
        <row r="29">
          <cell r="V29">
            <v>58.08066103167306</v>
          </cell>
          <cell r="W29">
            <v>60</v>
          </cell>
        </row>
        <row r="30">
          <cell r="V30">
            <v>59.005678884467585</v>
          </cell>
          <cell r="W30">
            <v>60</v>
          </cell>
        </row>
        <row r="31">
          <cell r="V31">
            <v>59.933404420241665</v>
          </cell>
          <cell r="W31">
            <v>60</v>
          </cell>
        </row>
        <row r="32">
          <cell r="V32">
            <v>60.863837638995292</v>
          </cell>
          <cell r="W32">
            <v>60</v>
          </cell>
        </row>
        <row r="33">
          <cell r="V33">
            <v>61.796978540728489</v>
          </cell>
          <cell r="W33">
            <v>60</v>
          </cell>
        </row>
        <row r="34">
          <cell r="V34">
            <v>62.732827125441247</v>
          </cell>
          <cell r="W34">
            <v>60</v>
          </cell>
        </row>
        <row r="35">
          <cell r="V35">
            <v>63.671383393133574</v>
          </cell>
          <cell r="W35">
            <v>60</v>
          </cell>
        </row>
      </sheetData>
      <sheetData sheetId="34" refreshError="1">
        <row r="11">
          <cell r="Q11">
            <v>2000</v>
          </cell>
          <cell r="R11">
            <v>1977</v>
          </cell>
          <cell r="S11">
            <v>1977</v>
          </cell>
        </row>
        <row r="12">
          <cell r="Q12">
            <v>2001</v>
          </cell>
          <cell r="R12">
            <v>2225.6750912768716</v>
          </cell>
          <cell r="S12">
            <v>2225.6750912768716</v>
          </cell>
        </row>
        <row r="13">
          <cell r="Q13">
            <v>2002</v>
          </cell>
          <cell r="R13">
            <v>2466.8467483752306</v>
          </cell>
          <cell r="S13">
            <v>2466.8467483752306</v>
          </cell>
        </row>
        <row r="14">
          <cell r="Q14">
            <v>2003</v>
          </cell>
          <cell r="R14">
            <v>2716.7727881098422</v>
          </cell>
          <cell r="S14">
            <v>2716.7727881098422</v>
          </cell>
        </row>
        <row r="15">
          <cell r="Q15">
            <v>2004</v>
          </cell>
          <cell r="R15">
            <v>3173.8591228328241</v>
          </cell>
          <cell r="S15">
            <v>3173.8591228328241</v>
          </cell>
        </row>
        <row r="16">
          <cell r="Q16">
            <v>2005</v>
          </cell>
          <cell r="R16">
            <v>3445.7373144498447</v>
          </cell>
          <cell r="S16">
            <v>3445.7373144498447</v>
          </cell>
        </row>
        <row r="17">
          <cell r="Q17">
            <v>2006</v>
          </cell>
          <cell r="R17">
            <v>3560.8799557628226</v>
          </cell>
          <cell r="S17">
            <v>3560.8799557628226</v>
          </cell>
        </row>
        <row r="18">
          <cell r="Q18">
            <v>2007</v>
          </cell>
          <cell r="R18">
            <v>3677.9879463484108</v>
          </cell>
          <cell r="S18">
            <v>3677.9879463484108</v>
          </cell>
        </row>
        <row r="19">
          <cell r="Q19">
            <v>2008</v>
          </cell>
          <cell r="R19">
            <v>3797.0692296416223</v>
          </cell>
          <cell r="S19">
            <v>3797.0692296416223</v>
          </cell>
        </row>
        <row r="20">
          <cell r="Q20">
            <v>2009</v>
          </cell>
          <cell r="R20">
            <v>3918.1317490774732</v>
          </cell>
          <cell r="S20">
            <v>3918.1317490774732</v>
          </cell>
        </row>
        <row r="21">
          <cell r="Q21">
            <v>2010</v>
          </cell>
          <cell r="R21">
            <v>4041.1834480909743</v>
          </cell>
          <cell r="S21">
            <v>4041.1834480909743</v>
          </cell>
        </row>
        <row r="22">
          <cell r="Q22">
            <v>2011</v>
          </cell>
          <cell r="R22">
            <v>4120.4494979180499</v>
          </cell>
          <cell r="S22">
            <v>4120.4494979180499</v>
          </cell>
        </row>
        <row r="23">
          <cell r="Q23">
            <v>2012</v>
          </cell>
          <cell r="R23">
            <v>4199.9538507955249</v>
          </cell>
          <cell r="S23">
            <v>4199.9538507955249</v>
          </cell>
        </row>
        <row r="24">
          <cell r="Q24">
            <v>2013</v>
          </cell>
          <cell r="R24">
            <v>4279.6965067234014</v>
          </cell>
          <cell r="S24">
            <v>4279.6965067234014</v>
          </cell>
        </row>
        <row r="25">
          <cell r="Q25">
            <v>2014</v>
          </cell>
          <cell r="R25">
            <v>4359.6774657016776</v>
          </cell>
          <cell r="S25">
            <v>4359.6774657016776</v>
          </cell>
        </row>
        <row r="26">
          <cell r="Q26">
            <v>2015</v>
          </cell>
          <cell r="R26">
            <v>4439.8967277303536</v>
          </cell>
          <cell r="S26">
            <v>4439.8967277303536</v>
          </cell>
        </row>
        <row r="27">
          <cell r="Q27">
            <v>2016</v>
          </cell>
          <cell r="R27">
            <v>4520.3542928094312</v>
          </cell>
          <cell r="S27">
            <v>4520.3542928094312</v>
          </cell>
        </row>
        <row r="28">
          <cell r="Q28">
            <v>2017</v>
          </cell>
          <cell r="R28">
            <v>4601.0501609389084</v>
          </cell>
          <cell r="S28">
            <v>4601.0501609389084</v>
          </cell>
        </row>
        <row r="29">
          <cell r="Q29">
            <v>2018</v>
          </cell>
          <cell r="R29">
            <v>4681.9843321187846</v>
          </cell>
          <cell r="S29">
            <v>4681.9843321187846</v>
          </cell>
        </row>
        <row r="30">
          <cell r="Q30">
            <v>2019</v>
          </cell>
          <cell r="R30">
            <v>4763.1568063490631</v>
          </cell>
          <cell r="S30">
            <v>4763.1568063490631</v>
          </cell>
        </row>
        <row r="31">
          <cell r="Q31">
            <v>2020</v>
          </cell>
          <cell r="R31">
            <v>4844.5675836297414</v>
          </cell>
          <cell r="S31">
            <v>4844.5675836297414</v>
          </cell>
        </row>
        <row r="32">
          <cell r="Q32">
            <v>2021</v>
          </cell>
          <cell r="R32">
            <v>4926.2166639608195</v>
          </cell>
          <cell r="S32">
            <v>4926.2166639608195</v>
          </cell>
        </row>
        <row r="33">
          <cell r="Q33">
            <v>2022</v>
          </cell>
          <cell r="R33">
            <v>5008.1040473422981</v>
          </cell>
          <cell r="S33">
            <v>5008.1040473422981</v>
          </cell>
        </row>
        <row r="34">
          <cell r="Q34">
            <v>2023</v>
          </cell>
          <cell r="R34">
            <v>5090.2297337741775</v>
          </cell>
          <cell r="S34">
            <v>5090.2297337741775</v>
          </cell>
        </row>
        <row r="35">
          <cell r="Q35">
            <v>2024</v>
          </cell>
          <cell r="R35">
            <v>5172.5937232564565</v>
          </cell>
          <cell r="S35">
            <v>5172.5937232564565</v>
          </cell>
        </row>
        <row r="36">
          <cell r="Q36">
            <v>2025</v>
          </cell>
          <cell r="R36">
            <v>5255.1960157891363</v>
          </cell>
          <cell r="S36">
            <v>5255.1960157891363</v>
          </cell>
        </row>
      </sheetData>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Hoja2"/>
      <sheetName val="Hoja3"/>
      <sheetName val="GGRALES "/>
      <sheetName val="Documentos Oficina Tecnica envi"/>
      <sheetName val="Sheet11(2)"/>
      <sheetName val="RESUMEN"/>
      <sheetName val="GGRALES_"/>
      <sheetName val="Documentos_Oficina_Tecnica_envi"/>
      <sheetName val="Encofrado_BVR_Unispan"/>
      <sheetName val="puni"/>
      <sheetName val="CCcosto"/>
      <sheetName val="Datos"/>
      <sheetName val="PlanCta07"/>
      <sheetName val="A"/>
      <sheetName val="VENTA"/>
      <sheetName val="Curva S DAMRAISE"/>
      <sheetName val="GGRALES_1"/>
      <sheetName val="FINAL"/>
    </sheetNames>
    <sheetDataSet>
      <sheetData sheetId="0"/>
      <sheetData sheetId="1"/>
      <sheetData sheetId="2"/>
      <sheetData sheetId="3" refreshError="1"/>
      <sheetData sheetId="4" refreshError="1"/>
      <sheetData sheetId="5" refreshError="1"/>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raje Mix"/>
      <sheetName val="itemizado"/>
      <sheetName val="Tiraje_Mix"/>
      <sheetName val="puni"/>
      <sheetName val="Tiraje_Mix1"/>
      <sheetName val="Hoja3"/>
      <sheetName val="VENTA"/>
      <sheetName val="Hoja1"/>
      <sheetName val="Hoja2"/>
      <sheetName val="INDIRECTOS"/>
      <sheetName val="RESUMEN_DE_COTIZACION"/>
      <sheetName val="Avance_financiero"/>
      <sheetName val="BASES"/>
      <sheetName val="N°1"/>
      <sheetName val="N°10"/>
      <sheetName val="N°2"/>
      <sheetName val="N°3"/>
      <sheetName val="N°4"/>
      <sheetName val="N°5"/>
      <sheetName val="N°6"/>
      <sheetName val="N°7"/>
      <sheetName val="N°8"/>
      <sheetName val="N°9"/>
      <sheetName val="PRECIOS_MATERIALES"/>
      <sheetName val="OBRA_CIVIL"/>
      <sheetName val="ESTRUCTURA_DE_HORMIGON"/>
      <sheetName val="INFRAESTRUCTURA"/>
      <sheetName val="INSTALACION_ELECTRICA"/>
      <sheetName val="AREAS - Chile"/>
      <sheetName val="Áreas"/>
      <sheetName val="#¡REF"/>
      <sheetName val="Joe_Materiales"/>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b"/>
      <sheetName val="mt"/>
      <sheetName val="eq"/>
      <sheetName val="puni"/>
      <sheetName val="presu"/>
      <sheetName val="gg"/>
      <sheetName val="주관사업"/>
      <sheetName val="Hoja3"/>
      <sheetName val="Hoja2"/>
      <sheetName val="Viguetas 36 REAL"/>
      <sheetName val="Encofrado BVR Unispan"/>
      <sheetName val="Viguetas_36_REAL"/>
      <sheetName val="Sheet1"/>
      <sheetName val="EQUIPMENT -2"/>
      <sheetName val="EQUIPMENT_-2"/>
      <sheetName val="RESUMEN DE COTIZACION"/>
      <sheetName val="OBRA CIVIL"/>
      <sheetName val="ESTRUCTURA DE HORMIGON"/>
      <sheetName val="INFRAESTRUCTURA"/>
      <sheetName val="INSTALACION ELECTRICA"/>
      <sheetName val="Tiraje Mix"/>
      <sheetName val="VIZ4"/>
      <sheetName val="VIZ7"/>
      <sheetName val="UZ"/>
      <sheetName val="Viguetas_36_REAL1"/>
      <sheetName val="ESTRIBADO"/>
      <sheetName val="Encofrado_BVR_Unispan"/>
      <sheetName val="EQUIPMENT_-21"/>
      <sheetName val="RESUMEN_DE_COTIZACION"/>
      <sheetName val="OBRA_CIVIL"/>
      <sheetName val="ESTRUCTURA_DE_HORMIGON"/>
      <sheetName val="INSTALACION_ELECTRICA"/>
      <sheetName val="Tiraje_Mix"/>
      <sheetName val="Viguetas_36_REAL2"/>
      <sheetName val="Encofrado_BVR_Unispan1"/>
      <sheetName val="EQUIPMENT_-22"/>
      <sheetName val="RESUMEN_DE_COTIZACION1"/>
      <sheetName val="OBRA_CIVIL1"/>
      <sheetName val="ESTRUCTURA_DE_HORMIGON1"/>
      <sheetName val="INSTALACION_ELECTRICA1"/>
      <sheetName val="Tiraje_Mix1"/>
    </sheetNames>
    <sheetDataSet>
      <sheetData sheetId="0">
        <row r="51">
          <cell r="H51">
            <v>247.68</v>
          </cell>
        </row>
      </sheetData>
      <sheetData sheetId="1">
        <row r="51">
          <cell r="H51">
            <v>247.68</v>
          </cell>
        </row>
      </sheetData>
      <sheetData sheetId="2"/>
      <sheetData sheetId="3" refreshError="1">
        <row r="51">
          <cell r="H51">
            <v>247.68</v>
          </cell>
        </row>
        <row r="97">
          <cell r="H97">
            <v>56.13</v>
          </cell>
        </row>
        <row r="143">
          <cell r="H143">
            <v>116.34</v>
          </cell>
        </row>
        <row r="189">
          <cell r="H189">
            <v>173.26</v>
          </cell>
        </row>
        <row r="235">
          <cell r="H235">
            <v>173.26</v>
          </cell>
        </row>
        <row r="281">
          <cell r="H281">
            <v>256.11</v>
          </cell>
        </row>
        <row r="327">
          <cell r="H327">
            <v>207.55</v>
          </cell>
        </row>
        <row r="373">
          <cell r="H373">
            <v>196.69</v>
          </cell>
        </row>
        <row r="425">
          <cell r="H425">
            <v>0.78</v>
          </cell>
        </row>
      </sheetData>
      <sheetData sheetId="4"/>
      <sheetData sheetId="5"/>
      <sheetData sheetId="6" refreshError="1"/>
      <sheetData sheetId="7" refreshError="1"/>
      <sheetData sheetId="8" refreshError="1"/>
      <sheetData sheetId="9" refreshError="1"/>
      <sheetData sheetId="10"/>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refreshError="1"/>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b"/>
      <sheetName val="mt"/>
      <sheetName val="eq"/>
      <sheetName val="puni"/>
      <sheetName val="presu"/>
      <sheetName val="gg"/>
      <sheetName val="EQUIPMENT -2"/>
      <sheetName val="EQUIPMENT_-2"/>
      <sheetName val="RESUMEN DE COTIZACION"/>
      <sheetName val="OBRA CIVIL"/>
      <sheetName val="ESTRUCTURA DE HORMIGON"/>
      <sheetName val="INFRAESTRUCTURA"/>
      <sheetName val="INSTALACION ELECTRICA"/>
      <sheetName val="Encofrado BVR Unispan"/>
      <sheetName val="주관사업"/>
      <sheetName val="Hoja3"/>
      <sheetName val="Hoja2"/>
      <sheetName val="Viguetas 36 REAL"/>
      <sheetName val="Viguetas_36_REAL"/>
      <sheetName val="Sheet1"/>
      <sheetName val="Tiraje Mix"/>
      <sheetName val="VIZ4"/>
      <sheetName val="VIZ7"/>
      <sheetName val="UZ"/>
      <sheetName val="EQUIPMENT_-21"/>
      <sheetName val="RESUMEN_DE_COTIZACION"/>
      <sheetName val="OBRA_CIVIL"/>
      <sheetName val="ESTRUCTURA_DE_HORMIGON"/>
      <sheetName val="INSTALACION_ELECTRICA"/>
      <sheetName val="Encofrado_BVR_Unispan"/>
      <sheetName val="Viguetas_36_REAL1"/>
      <sheetName val="EQUIPMENT_-22"/>
      <sheetName val="RESUMEN_DE_COTIZACION1"/>
      <sheetName val="OBRA_CIVIL1"/>
      <sheetName val="ESTRUCTURA_DE_HORMIGON1"/>
      <sheetName val="INSTALACION_ELECTRICA1"/>
      <sheetName val="Encofrado_BVR_Unispan1"/>
      <sheetName val="Viguetas_36_REAL2"/>
    </sheetNames>
    <sheetDataSet>
      <sheetData sheetId="0" refreshError="1"/>
      <sheetData sheetId="1" refreshError="1"/>
      <sheetData sheetId="2" refreshError="1"/>
      <sheetData sheetId="3" refreshError="1">
        <row r="51">
          <cell r="H51">
            <v>247.68</v>
          </cell>
        </row>
        <row r="143">
          <cell r="H143">
            <v>116.34</v>
          </cell>
        </row>
        <row r="281">
          <cell r="H281">
            <v>256.11</v>
          </cell>
        </row>
      </sheetData>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sheetName val="Tramo B2 Interno"/>
      <sheetName val="Tramo B2 Oferta"/>
      <sheetName val="Crono"/>
      <sheetName val="Recursos"/>
      <sheetName val="Costos"/>
      <sheetName val="GG Interno"/>
      <sheetName val="GG total"/>
      <sheetName val="GG Oferta"/>
      <sheetName val="Metrados"/>
      <sheetName val="Compara"/>
      <sheetName val="Hoja1"/>
      <sheetName val="RECUR"/>
      <sheetName val="Presup B2"/>
      <sheetName val="PROJ_MGMT"/>
      <sheetName val="Salary Schedu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alisis 06.11.02"/>
      <sheetName val="Amortizacion"/>
      <sheetName val="Valor Sotano 3"/>
      <sheetName val="Valor piso 14"/>
      <sheetName val="Valor piso 15"/>
      <sheetName val="Valor piso 12"/>
      <sheetName val="Valor piso 17"/>
      <sheetName val="ANA_IE17_O2"/>
      <sheetName val="ANA_IE17_CORREGIDO"/>
      <sheetName val="PRES_IE17"/>
      <sheetName val="Hoja1"/>
      <sheetName val="Valor 17 (2)"/>
      <sheetName val="PREC_19"/>
      <sheetName val="VALO P19 (2)"/>
      <sheetName val="ANA_IE19 (2)"/>
      <sheetName val="Valoriz piso 19"/>
      <sheetName val="Valor piso 16"/>
      <sheetName val="VALO P16 (2)"/>
      <sheetName val="ANA_IE16"/>
      <sheetName val="Valor piso 18"/>
      <sheetName val="Valor piso 21"/>
      <sheetName val="Valor piso 22"/>
      <sheetName val="resumen TOTAL"/>
      <sheetName val="Ana (Sant.P22) "/>
      <sheetName val="Analisis ARQ"/>
      <sheetName val="Analisis Pintura"/>
      <sheetName val="Analisis (Real)"/>
      <sheetName val="Analisis"/>
      <sheetName val="Analisis 11.10.02"/>
      <sheetName val="Analisis 23.10.02 (2)"/>
      <sheetName val="Analisis 23.10.02"/>
      <sheetName val="VALO P 17 (2)"/>
      <sheetName val="ANA_IE17"/>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1">
          <cell r="B1" t="str">
            <v xml:space="preserve"> ANALISIS DE PRECIOS UNITARIOS </v>
          </cell>
        </row>
        <row r="2">
          <cell r="B2" t="str">
            <v>INSTALACIONES ELECTRICAS</v>
          </cell>
        </row>
        <row r="4">
          <cell r="A4" t="str">
            <v>OBRA</v>
          </cell>
          <cell r="C4" t="str">
            <v>: BELCORP - CHOCAVENTO</v>
          </cell>
        </row>
        <row r="5">
          <cell r="A5" t="str">
            <v>REFERENCIA</v>
          </cell>
          <cell r="C5" t="str">
            <v>: ANALISIS DE PRECIOS UNITARIOS</v>
          </cell>
        </row>
        <row r="6">
          <cell r="C6" t="str">
            <v>: DEL PRESUPUESTO HV-01-P17</v>
          </cell>
        </row>
        <row r="7">
          <cell r="A7" t="str">
            <v>FECHA</v>
          </cell>
          <cell r="C7" t="str">
            <v>: 13 DE NOVIEMBRE DEL 2002</v>
          </cell>
        </row>
        <row r="8">
          <cell r="A8" t="str">
            <v>ITEM</v>
          </cell>
          <cell r="B8" t="str">
            <v>DESCRIPCION</v>
          </cell>
          <cell r="C8" t="str">
            <v>UND.</v>
          </cell>
          <cell r="D8" t="str">
            <v>CUAD.</v>
          </cell>
          <cell r="E8" t="str">
            <v>CANT.</v>
          </cell>
          <cell r="F8" t="str">
            <v xml:space="preserve">PREC. </v>
          </cell>
          <cell r="G8" t="str">
            <v>PAR.</v>
          </cell>
          <cell r="H8" t="str">
            <v>REND.</v>
          </cell>
        </row>
        <row r="9">
          <cell r="A9" t="str">
            <v>1,01,01</v>
          </cell>
          <cell r="B9" t="str">
            <v>Tubería de PVC SAP de 50 mm Ø energia</v>
          </cell>
          <cell r="F9" t="str">
            <v>( ml )</v>
          </cell>
          <cell r="G9">
            <v>7.35</v>
          </cell>
        </row>
        <row r="10">
          <cell r="A10" t="str">
            <v>1,01,01</v>
          </cell>
          <cell r="C10" t="str">
            <v>und.</v>
          </cell>
          <cell r="D10" t="str">
            <v>cuad.</v>
          </cell>
          <cell r="E10" t="str">
            <v>cant.</v>
          </cell>
          <cell r="F10" t="str">
            <v>prec. $</v>
          </cell>
          <cell r="G10" t="str">
            <v>parcial $</v>
          </cell>
        </row>
        <row r="11">
          <cell r="A11" t="str">
            <v>1,01,01</v>
          </cell>
          <cell r="B11" t="str">
            <v>Materiales</v>
          </cell>
          <cell r="G11">
            <v>4.8</v>
          </cell>
        </row>
        <row r="12">
          <cell r="A12" t="str">
            <v>1,01,01</v>
          </cell>
          <cell r="B12" t="str">
            <v>Tubería PVC SAP de 50 mm</v>
          </cell>
          <cell r="C12" t="str">
            <v>ml</v>
          </cell>
          <cell r="E12">
            <v>1</v>
          </cell>
          <cell r="F12">
            <v>1.48</v>
          </cell>
          <cell r="G12">
            <v>1.48</v>
          </cell>
        </row>
        <row r="13">
          <cell r="A13" t="str">
            <v>1,01,01</v>
          </cell>
          <cell r="B13" t="str">
            <v>Curva PVC SAP de 50 mm</v>
          </cell>
          <cell r="C13" t="str">
            <v>und</v>
          </cell>
          <cell r="E13">
            <v>0.4</v>
          </cell>
          <cell r="F13">
            <v>2.56</v>
          </cell>
          <cell r="G13">
            <v>1.02</v>
          </cell>
        </row>
        <row r="14">
          <cell r="A14" t="str">
            <v>1,01,01</v>
          </cell>
          <cell r="B14" t="str">
            <v>Unión PVC SAP de 50 mm</v>
          </cell>
          <cell r="C14" t="str">
            <v>und</v>
          </cell>
          <cell r="E14">
            <v>0.8</v>
          </cell>
          <cell r="F14">
            <v>1.3</v>
          </cell>
          <cell r="G14">
            <v>1.04</v>
          </cell>
        </row>
        <row r="15">
          <cell r="A15" t="str">
            <v>1,01,01</v>
          </cell>
          <cell r="B15" t="str">
            <v>Conexión PVC SAP de 50 mm</v>
          </cell>
          <cell r="C15" t="str">
            <v>und</v>
          </cell>
          <cell r="E15">
            <v>0.8</v>
          </cell>
          <cell r="F15">
            <v>0.53</v>
          </cell>
          <cell r="G15">
            <v>0.42</v>
          </cell>
        </row>
        <row r="16">
          <cell r="A16" t="str">
            <v>1,01,01</v>
          </cell>
          <cell r="B16" t="str">
            <v>Pegamento de 1/4 de galón</v>
          </cell>
          <cell r="C16" t="str">
            <v>und</v>
          </cell>
          <cell r="E16">
            <v>0.01</v>
          </cell>
          <cell r="F16">
            <v>6.3959999999999999</v>
          </cell>
          <cell r="G16">
            <v>0.06</v>
          </cell>
        </row>
        <row r="17">
          <cell r="A17" t="str">
            <v>1,01,01</v>
          </cell>
          <cell r="B17" t="str">
            <v>Abrazadera galv. 50mm</v>
          </cell>
          <cell r="C17" t="str">
            <v>und</v>
          </cell>
          <cell r="E17">
            <v>0.66666666666666663</v>
          </cell>
          <cell r="F17">
            <v>0.85</v>
          </cell>
          <cell r="G17">
            <v>0.56999999999999995</v>
          </cell>
        </row>
        <row r="18">
          <cell r="A18" t="str">
            <v>1,01,01</v>
          </cell>
          <cell r="B18" t="str">
            <v>Tarugo plastico verde de 1/4</v>
          </cell>
          <cell r="C18" t="str">
            <v>und</v>
          </cell>
          <cell r="E18">
            <v>1.3333333333333333</v>
          </cell>
          <cell r="F18">
            <v>0.115</v>
          </cell>
          <cell r="G18">
            <v>0.15</v>
          </cell>
        </row>
        <row r="19">
          <cell r="A19" t="str">
            <v>1,01,01</v>
          </cell>
          <cell r="B19" t="str">
            <v>Tornillo autoroscante de 8x1"</v>
          </cell>
          <cell r="C19" t="str">
            <v>und</v>
          </cell>
          <cell r="E19">
            <v>1.3333333333333333</v>
          </cell>
          <cell r="F19">
            <v>4.2000000000000003E-2</v>
          </cell>
          <cell r="G19">
            <v>0.06</v>
          </cell>
        </row>
        <row r="20">
          <cell r="A20" t="str">
            <v>1,01,01</v>
          </cell>
          <cell r="B20" t="str">
            <v>Mano de obra</v>
          </cell>
          <cell r="G20">
            <v>2.0699999999999998</v>
          </cell>
        </row>
        <row r="21">
          <cell r="A21" t="str">
            <v>1,01,01</v>
          </cell>
          <cell r="B21" t="str">
            <v>Operario</v>
          </cell>
          <cell r="C21" t="str">
            <v>HH</v>
          </cell>
          <cell r="D21">
            <v>1</v>
          </cell>
          <cell r="E21">
            <v>0.4</v>
          </cell>
          <cell r="F21">
            <v>2.84</v>
          </cell>
          <cell r="G21">
            <v>1.1399999999999999</v>
          </cell>
          <cell r="H21">
            <v>20</v>
          </cell>
        </row>
        <row r="22">
          <cell r="A22" t="str">
            <v>1,01,01</v>
          </cell>
          <cell r="B22" t="str">
            <v>Peón</v>
          </cell>
          <cell r="C22" t="str">
            <v>HH</v>
          </cell>
          <cell r="D22">
            <v>1</v>
          </cell>
          <cell r="E22">
            <v>0.4</v>
          </cell>
          <cell r="F22">
            <v>2.3199999999999998</v>
          </cell>
          <cell r="G22">
            <v>0.93</v>
          </cell>
          <cell r="H22">
            <v>20</v>
          </cell>
        </row>
        <row r="23">
          <cell r="A23" t="str">
            <v>1,01,01</v>
          </cell>
          <cell r="B23" t="str">
            <v>Equipos y/o herramientas</v>
          </cell>
          <cell r="G23">
            <v>0.48</v>
          </cell>
        </row>
        <row r="24">
          <cell r="A24" t="str">
            <v>1,01,01</v>
          </cell>
          <cell r="B24" t="str">
            <v>Escalera</v>
          </cell>
          <cell r="C24" t="str">
            <v>DIA</v>
          </cell>
          <cell r="D24">
            <v>1</v>
          </cell>
          <cell r="E24">
            <v>0.05</v>
          </cell>
          <cell r="F24">
            <v>1</v>
          </cell>
          <cell r="G24">
            <v>0.05</v>
          </cell>
        </row>
        <row r="25">
          <cell r="A25" t="str">
            <v>1,01,01</v>
          </cell>
          <cell r="B25" t="str">
            <v>Taladro Hilti</v>
          </cell>
          <cell r="C25" t="str">
            <v>DIA</v>
          </cell>
          <cell r="D25">
            <v>1</v>
          </cell>
          <cell r="E25">
            <v>0.05</v>
          </cell>
          <cell r="F25">
            <v>6.5</v>
          </cell>
          <cell r="G25">
            <v>0.33</v>
          </cell>
        </row>
        <row r="26">
          <cell r="A26" t="str">
            <v>1,01,01</v>
          </cell>
          <cell r="B26" t="str">
            <v>Desgaste de herramientas</v>
          </cell>
          <cell r="C26" t="str">
            <v>%MO</v>
          </cell>
          <cell r="E26">
            <v>0.05</v>
          </cell>
          <cell r="F26">
            <v>2.0699999999999998</v>
          </cell>
          <cell r="G26">
            <v>0.1</v>
          </cell>
        </row>
        <row r="27">
          <cell r="A27" t="str">
            <v>1,01,02</v>
          </cell>
          <cell r="B27" t="str">
            <v>Tubería de PVC SAP de 35 mm Ø energia</v>
          </cell>
          <cell r="F27" t="str">
            <v>( ml )</v>
          </cell>
          <cell r="G27">
            <v>4.87</v>
          </cell>
        </row>
        <row r="28">
          <cell r="A28" t="str">
            <v>1,01,02</v>
          </cell>
          <cell r="C28" t="str">
            <v>und.</v>
          </cell>
          <cell r="D28" t="str">
            <v>cuad.</v>
          </cell>
          <cell r="E28" t="str">
            <v>cant.</v>
          </cell>
          <cell r="F28" t="str">
            <v>prec. $</v>
          </cell>
          <cell r="G28" t="str">
            <v>parcial $</v>
          </cell>
        </row>
        <row r="29">
          <cell r="A29" t="str">
            <v>1,01,02</v>
          </cell>
          <cell r="B29" t="str">
            <v>Materiales</v>
          </cell>
          <cell r="G29">
            <v>2.7500000000000004</v>
          </cell>
        </row>
        <row r="30">
          <cell r="A30" t="str">
            <v>1,01,02</v>
          </cell>
          <cell r="B30" t="str">
            <v>Tubería PVC SAP de 35 mm</v>
          </cell>
          <cell r="C30" t="str">
            <v>ml</v>
          </cell>
          <cell r="E30">
            <v>1</v>
          </cell>
          <cell r="F30">
            <v>0.87</v>
          </cell>
          <cell r="G30">
            <v>0.87</v>
          </cell>
        </row>
        <row r="31">
          <cell r="A31" t="str">
            <v>1,01,02</v>
          </cell>
          <cell r="B31" t="str">
            <v>Curva PVC SAP de 35 mm</v>
          </cell>
          <cell r="C31" t="str">
            <v>und</v>
          </cell>
          <cell r="E31">
            <v>0.4</v>
          </cell>
          <cell r="F31">
            <v>1.39</v>
          </cell>
          <cell r="G31">
            <v>0.56000000000000005</v>
          </cell>
        </row>
        <row r="32">
          <cell r="A32" t="str">
            <v>1,01,02</v>
          </cell>
          <cell r="B32" t="str">
            <v>Unión PVC SAP de 35 mm</v>
          </cell>
          <cell r="C32" t="str">
            <v>und</v>
          </cell>
          <cell r="E32">
            <v>0.8</v>
          </cell>
          <cell r="F32">
            <v>0.53</v>
          </cell>
          <cell r="G32">
            <v>0.42</v>
          </cell>
        </row>
        <row r="33">
          <cell r="A33" t="str">
            <v>1,01,02</v>
          </cell>
          <cell r="B33" t="str">
            <v>Conexión PVC SAP de 35 mm</v>
          </cell>
          <cell r="C33" t="str">
            <v>und</v>
          </cell>
          <cell r="E33">
            <v>0.8</v>
          </cell>
          <cell r="F33">
            <v>0.31</v>
          </cell>
          <cell r="G33">
            <v>0.25</v>
          </cell>
        </row>
        <row r="34">
          <cell r="A34" t="str">
            <v>1,01,02</v>
          </cell>
          <cell r="B34" t="str">
            <v>Pegamento PVC de 1/4 de galón</v>
          </cell>
          <cell r="C34" t="str">
            <v>und</v>
          </cell>
          <cell r="E34">
            <v>0.01</v>
          </cell>
          <cell r="F34">
            <v>6.3959999999999999</v>
          </cell>
          <cell r="G34">
            <v>0.06</v>
          </cell>
        </row>
        <row r="35">
          <cell r="A35" t="str">
            <v>1,01,02</v>
          </cell>
          <cell r="B35" t="str">
            <v>Abrazadera galv. 35mm</v>
          </cell>
          <cell r="C35" t="str">
            <v>und</v>
          </cell>
          <cell r="E35">
            <v>1</v>
          </cell>
          <cell r="F35">
            <v>0.43</v>
          </cell>
          <cell r="G35">
            <v>0.43</v>
          </cell>
        </row>
        <row r="36">
          <cell r="A36" t="str">
            <v>1,01,02</v>
          </cell>
          <cell r="B36" t="str">
            <v>Tarugo plastico verde de 1/4</v>
          </cell>
          <cell r="C36" t="str">
            <v>und</v>
          </cell>
          <cell r="E36">
            <v>1</v>
          </cell>
          <cell r="F36">
            <v>0.115</v>
          </cell>
          <cell r="G36">
            <v>0.12</v>
          </cell>
        </row>
        <row r="37">
          <cell r="A37" t="str">
            <v>1,01,02</v>
          </cell>
          <cell r="B37" t="str">
            <v>Tornillo autoroscante de 8x1"</v>
          </cell>
          <cell r="C37" t="str">
            <v>und</v>
          </cell>
          <cell r="E37">
            <v>1</v>
          </cell>
          <cell r="F37">
            <v>4.2000000000000003E-2</v>
          </cell>
          <cell r="G37">
            <v>0.04</v>
          </cell>
        </row>
        <row r="38">
          <cell r="A38" t="str">
            <v>1,01,02</v>
          </cell>
          <cell r="B38" t="str">
            <v>Mano de obra</v>
          </cell>
          <cell r="G38">
            <v>1.65</v>
          </cell>
        </row>
        <row r="39">
          <cell r="A39" t="str">
            <v>1,01,02</v>
          </cell>
          <cell r="B39" t="str">
            <v>Operario</v>
          </cell>
          <cell r="C39" t="str">
            <v>HH</v>
          </cell>
          <cell r="D39">
            <v>1</v>
          </cell>
          <cell r="E39">
            <v>0.32</v>
          </cell>
          <cell r="F39">
            <v>2.84</v>
          </cell>
          <cell r="G39">
            <v>0.91</v>
          </cell>
          <cell r="H39">
            <v>25</v>
          </cell>
        </row>
        <row r="40">
          <cell r="A40" t="str">
            <v>1,01,02</v>
          </cell>
          <cell r="B40" t="str">
            <v>Peón</v>
          </cell>
          <cell r="C40" t="str">
            <v>HH</v>
          </cell>
          <cell r="D40">
            <v>1</v>
          </cell>
          <cell r="E40">
            <v>0.32</v>
          </cell>
          <cell r="F40">
            <v>2.3199999999999998</v>
          </cell>
          <cell r="G40">
            <v>0.74</v>
          </cell>
          <cell r="H40">
            <v>25</v>
          </cell>
        </row>
        <row r="41">
          <cell r="A41" t="str">
            <v>1,01,02</v>
          </cell>
          <cell r="B41" t="str">
            <v>Equipos y/o herramientas</v>
          </cell>
          <cell r="G41">
            <v>0.47</v>
          </cell>
        </row>
        <row r="42">
          <cell r="A42" t="str">
            <v>1,01,02</v>
          </cell>
          <cell r="B42" t="str">
            <v>Escalera</v>
          </cell>
          <cell r="C42" t="str">
            <v>DIA</v>
          </cell>
          <cell r="D42">
            <v>1</v>
          </cell>
          <cell r="E42">
            <v>0.04</v>
          </cell>
          <cell r="F42">
            <v>1</v>
          </cell>
          <cell r="G42">
            <v>0.04</v>
          </cell>
        </row>
        <row r="43">
          <cell r="A43" t="str">
            <v>1,01,02</v>
          </cell>
          <cell r="B43" t="str">
            <v>Taladro Hilti</v>
          </cell>
          <cell r="C43" t="str">
            <v>DIA</v>
          </cell>
          <cell r="D43">
            <v>1</v>
          </cell>
          <cell r="E43">
            <v>0.04</v>
          </cell>
          <cell r="F43">
            <v>6.5</v>
          </cell>
          <cell r="G43">
            <v>0.26</v>
          </cell>
        </row>
        <row r="44">
          <cell r="A44" t="str">
            <v>1,01,02</v>
          </cell>
          <cell r="B44" t="str">
            <v>Desgaste de herramientas</v>
          </cell>
          <cell r="C44" t="str">
            <v>%MO</v>
          </cell>
          <cell r="E44">
            <v>0.1</v>
          </cell>
          <cell r="F44">
            <v>1.65</v>
          </cell>
          <cell r="G44">
            <v>0.17</v>
          </cell>
        </row>
        <row r="45">
          <cell r="A45" t="str">
            <v>1,02,01</v>
          </cell>
          <cell r="B45" t="str">
            <v>Caja F°G° 100x100x50 mm energia</v>
          </cell>
          <cell r="F45" t="str">
            <v>( und )</v>
          </cell>
          <cell r="G45">
            <v>4.58</v>
          </cell>
        </row>
        <row r="46">
          <cell r="A46" t="str">
            <v>1,02,01</v>
          </cell>
          <cell r="C46" t="str">
            <v>und.</v>
          </cell>
          <cell r="D46" t="str">
            <v>cuad.</v>
          </cell>
          <cell r="E46" t="str">
            <v>cant.</v>
          </cell>
          <cell r="F46" t="str">
            <v>prec. $</v>
          </cell>
          <cell r="G46" t="str">
            <v>parcial $</v>
          </cell>
        </row>
        <row r="47">
          <cell r="A47" t="str">
            <v>1,02,01</v>
          </cell>
          <cell r="B47" t="str">
            <v>Materiales</v>
          </cell>
          <cell r="G47">
            <v>2.0299999999999998</v>
          </cell>
        </row>
        <row r="48">
          <cell r="A48" t="str">
            <v>1,02,01</v>
          </cell>
          <cell r="B48" t="str">
            <v>Caja cuadrada de 100x100x50 mm</v>
          </cell>
          <cell r="C48" t="str">
            <v>und</v>
          </cell>
          <cell r="E48">
            <v>1</v>
          </cell>
          <cell r="F48">
            <v>1.72</v>
          </cell>
          <cell r="G48">
            <v>1.72</v>
          </cell>
        </row>
        <row r="49">
          <cell r="A49" t="str">
            <v>1,02,01</v>
          </cell>
          <cell r="B49" t="str">
            <v>Tarugo plastico verde de 1/4</v>
          </cell>
          <cell r="C49" t="str">
            <v>und</v>
          </cell>
          <cell r="E49">
            <v>2</v>
          </cell>
          <cell r="F49">
            <v>0.115</v>
          </cell>
          <cell r="G49">
            <v>0.23</v>
          </cell>
        </row>
        <row r="50">
          <cell r="A50" t="str">
            <v>1,02,01</v>
          </cell>
          <cell r="B50" t="str">
            <v>Tornillo autoroscante de 8x1"</v>
          </cell>
          <cell r="C50" t="str">
            <v>und</v>
          </cell>
          <cell r="E50">
            <v>2</v>
          </cell>
          <cell r="F50">
            <v>4.2000000000000003E-2</v>
          </cell>
          <cell r="G50">
            <v>0.08</v>
          </cell>
        </row>
        <row r="51">
          <cell r="A51" t="str">
            <v>1,02,01</v>
          </cell>
          <cell r="B51" t="str">
            <v>Mano de obra</v>
          </cell>
          <cell r="G51">
            <v>2.0699999999999998</v>
          </cell>
        </row>
        <row r="52">
          <cell r="A52" t="str">
            <v>1,02,01</v>
          </cell>
          <cell r="B52" t="str">
            <v>Operario</v>
          </cell>
          <cell r="C52" t="str">
            <v>HH</v>
          </cell>
          <cell r="D52">
            <v>1</v>
          </cell>
          <cell r="E52">
            <v>0.4</v>
          </cell>
          <cell r="F52">
            <v>2.84</v>
          </cell>
          <cell r="G52">
            <v>1.1399999999999999</v>
          </cell>
          <cell r="H52">
            <v>20</v>
          </cell>
        </row>
        <row r="53">
          <cell r="A53" t="str">
            <v>1,02,01</v>
          </cell>
          <cell r="B53" t="str">
            <v>Peón</v>
          </cell>
          <cell r="C53" t="str">
            <v>HH</v>
          </cell>
          <cell r="D53">
            <v>1</v>
          </cell>
          <cell r="E53">
            <v>0.4</v>
          </cell>
          <cell r="F53">
            <v>2.3199999999999998</v>
          </cell>
          <cell r="G53">
            <v>0.93</v>
          </cell>
          <cell r="H53">
            <v>20</v>
          </cell>
        </row>
        <row r="54">
          <cell r="A54" t="str">
            <v>1,02,01</v>
          </cell>
          <cell r="B54" t="str">
            <v>Equipos y/o herramientas</v>
          </cell>
          <cell r="G54">
            <v>0.48</v>
          </cell>
        </row>
        <row r="55">
          <cell r="A55" t="str">
            <v>1,02,01</v>
          </cell>
          <cell r="B55" t="str">
            <v>Escalera</v>
          </cell>
          <cell r="C55" t="str">
            <v>DIA</v>
          </cell>
          <cell r="D55">
            <v>1</v>
          </cell>
          <cell r="E55">
            <v>0.05</v>
          </cell>
          <cell r="F55">
            <v>1</v>
          </cell>
          <cell r="G55">
            <v>0.05</v>
          </cell>
        </row>
        <row r="56">
          <cell r="A56" t="str">
            <v>1,02,01</v>
          </cell>
          <cell r="B56" t="str">
            <v>Taladro Hilti</v>
          </cell>
          <cell r="C56" t="str">
            <v>DIA</v>
          </cell>
          <cell r="D56">
            <v>1</v>
          </cell>
          <cell r="E56">
            <v>0.05</v>
          </cell>
          <cell r="F56">
            <v>6.5</v>
          </cell>
          <cell r="G56">
            <v>0.33</v>
          </cell>
        </row>
        <row r="57">
          <cell r="A57" t="str">
            <v>1,02,01</v>
          </cell>
          <cell r="B57" t="str">
            <v>Desgaste de herramientas</v>
          </cell>
          <cell r="C57" t="str">
            <v>%MO</v>
          </cell>
          <cell r="E57">
            <v>0.05</v>
          </cell>
          <cell r="F57">
            <v>2.0699999999999998</v>
          </cell>
          <cell r="G57">
            <v>0.1</v>
          </cell>
        </row>
        <row r="58">
          <cell r="A58" t="str">
            <v>1,02,02</v>
          </cell>
          <cell r="B58" t="str">
            <v>Caja F°G° 150x150x75 mm energia</v>
          </cell>
          <cell r="F58" t="str">
            <v>( und )</v>
          </cell>
          <cell r="G58">
            <v>9.4200000000000017</v>
          </cell>
        </row>
        <row r="59">
          <cell r="A59" t="str">
            <v>1,02,02</v>
          </cell>
          <cell r="C59" t="str">
            <v>und.</v>
          </cell>
          <cell r="D59" t="str">
            <v>cuad.</v>
          </cell>
          <cell r="E59" t="str">
            <v>cant.</v>
          </cell>
          <cell r="F59" t="str">
            <v>prec. $</v>
          </cell>
          <cell r="G59" t="str">
            <v>parcial $</v>
          </cell>
        </row>
        <row r="60">
          <cell r="A60" t="str">
            <v>1,02,02</v>
          </cell>
          <cell r="B60" t="str">
            <v>Materiales</v>
          </cell>
          <cell r="G60">
            <v>6.03</v>
          </cell>
        </row>
        <row r="61">
          <cell r="A61" t="str">
            <v>1,02,02</v>
          </cell>
          <cell r="B61" t="str">
            <v>Caja de F°G° de 150x150 x75 mm</v>
          </cell>
          <cell r="C61" t="str">
            <v>und</v>
          </cell>
          <cell r="E61">
            <v>1</v>
          </cell>
          <cell r="F61">
            <v>5.4</v>
          </cell>
          <cell r="G61">
            <v>5.4</v>
          </cell>
        </row>
        <row r="62">
          <cell r="A62" t="str">
            <v>1,02,02</v>
          </cell>
          <cell r="B62" t="str">
            <v>Tarugo plastico verde de 1/4</v>
          </cell>
          <cell r="C62" t="str">
            <v>und</v>
          </cell>
          <cell r="E62">
            <v>4</v>
          </cell>
          <cell r="F62">
            <v>0.115</v>
          </cell>
          <cell r="G62">
            <v>0.46</v>
          </cell>
        </row>
        <row r="63">
          <cell r="A63" t="str">
            <v>1,02,02</v>
          </cell>
          <cell r="B63" t="str">
            <v>Tornillo autoroscante de 8x1"</v>
          </cell>
          <cell r="C63" t="str">
            <v>und</v>
          </cell>
          <cell r="E63">
            <v>4</v>
          </cell>
          <cell r="F63">
            <v>4.2000000000000003E-2</v>
          </cell>
          <cell r="G63">
            <v>0.17</v>
          </cell>
        </row>
        <row r="64">
          <cell r="A64" t="str">
            <v>1,02,02</v>
          </cell>
          <cell r="B64" t="str">
            <v>Mano de obra</v>
          </cell>
          <cell r="G64">
            <v>2.75</v>
          </cell>
        </row>
        <row r="65">
          <cell r="A65" t="str">
            <v>1,02,02</v>
          </cell>
          <cell r="B65" t="str">
            <v>Operario</v>
          </cell>
          <cell r="C65" t="str">
            <v>HH</v>
          </cell>
          <cell r="D65">
            <v>1</v>
          </cell>
          <cell r="E65">
            <v>0.53333333333333333</v>
          </cell>
          <cell r="F65">
            <v>2.84</v>
          </cell>
          <cell r="G65">
            <v>1.51</v>
          </cell>
          <cell r="H65">
            <v>15</v>
          </cell>
        </row>
        <row r="66">
          <cell r="A66" t="str">
            <v>1,02,02</v>
          </cell>
          <cell r="B66" t="str">
            <v>Peón</v>
          </cell>
          <cell r="C66" t="str">
            <v>HH</v>
          </cell>
          <cell r="D66">
            <v>1</v>
          </cell>
          <cell r="E66">
            <v>0.53333333333333333</v>
          </cell>
          <cell r="F66">
            <v>2.3199999999999998</v>
          </cell>
          <cell r="G66">
            <v>1.24</v>
          </cell>
          <cell r="H66">
            <v>15</v>
          </cell>
        </row>
        <row r="67">
          <cell r="A67" t="str">
            <v>1,02,02</v>
          </cell>
          <cell r="B67" t="str">
            <v>Equipos y/o herramientas</v>
          </cell>
          <cell r="G67">
            <v>0.64</v>
          </cell>
        </row>
        <row r="68">
          <cell r="A68" t="str">
            <v>1,02,02</v>
          </cell>
          <cell r="B68" t="str">
            <v>Escalera</v>
          </cell>
          <cell r="C68" t="str">
            <v>DIA</v>
          </cell>
          <cell r="D68">
            <v>1</v>
          </cell>
          <cell r="E68">
            <v>6.6666666666666666E-2</v>
          </cell>
          <cell r="F68">
            <v>1</v>
          </cell>
          <cell r="G68">
            <v>7.0000000000000007E-2</v>
          </cell>
        </row>
        <row r="69">
          <cell r="A69" t="str">
            <v>1,02,02</v>
          </cell>
          <cell r="B69" t="str">
            <v>Taladro Hilti</v>
          </cell>
          <cell r="C69" t="str">
            <v>DIA</v>
          </cell>
          <cell r="D69">
            <v>1</v>
          </cell>
          <cell r="E69">
            <v>6.6666666666666666E-2</v>
          </cell>
          <cell r="F69">
            <v>6.5</v>
          </cell>
          <cell r="G69">
            <v>0.43</v>
          </cell>
        </row>
        <row r="70">
          <cell r="A70" t="str">
            <v>1,02,02</v>
          </cell>
          <cell r="B70" t="str">
            <v>Desgaste de herramientas</v>
          </cell>
          <cell r="C70" t="str">
            <v>%MO</v>
          </cell>
          <cell r="E70">
            <v>0.05</v>
          </cell>
          <cell r="F70">
            <v>2.75</v>
          </cell>
          <cell r="G70">
            <v>0.14000000000000001</v>
          </cell>
        </row>
        <row r="71">
          <cell r="A71" t="str">
            <v>1,03,01</v>
          </cell>
          <cell r="B71" t="str">
            <v>Salida de centro de luz adosado en techo</v>
          </cell>
          <cell r="F71" t="str">
            <v>( pto )</v>
          </cell>
          <cell r="G71">
            <v>32.57</v>
          </cell>
        </row>
        <row r="72">
          <cell r="A72" t="str">
            <v>1,03,01</v>
          </cell>
          <cell r="C72" t="str">
            <v>und.</v>
          </cell>
          <cell r="D72" t="str">
            <v>cuad.</v>
          </cell>
          <cell r="E72" t="str">
            <v>cant.</v>
          </cell>
          <cell r="F72" t="str">
            <v>prec. $</v>
          </cell>
          <cell r="G72" t="str">
            <v>parcial $</v>
          </cell>
        </row>
        <row r="73">
          <cell r="A73" t="str">
            <v>1,03,01</v>
          </cell>
          <cell r="B73" t="str">
            <v>Materiales</v>
          </cell>
          <cell r="G73">
            <v>24.16</v>
          </cell>
        </row>
        <row r="74">
          <cell r="A74" t="str">
            <v>1,03,01</v>
          </cell>
          <cell r="B74" t="str">
            <v>Tubería PVC SAP de 20 mm</v>
          </cell>
          <cell r="C74" t="str">
            <v>ml</v>
          </cell>
          <cell r="E74">
            <v>6.2</v>
          </cell>
          <cell r="F74">
            <v>0.41</v>
          </cell>
          <cell r="G74">
            <v>2.54</v>
          </cell>
        </row>
        <row r="75">
          <cell r="A75" t="str">
            <v>1,03,01</v>
          </cell>
          <cell r="B75" t="str">
            <v>Curva PVC SAP de 20 mm</v>
          </cell>
          <cell r="C75" t="str">
            <v>und</v>
          </cell>
          <cell r="E75">
            <v>0.4</v>
          </cell>
          <cell r="F75">
            <v>0.59</v>
          </cell>
          <cell r="G75">
            <v>0.24</v>
          </cell>
        </row>
        <row r="76">
          <cell r="A76" t="str">
            <v>1,03,01</v>
          </cell>
          <cell r="B76" t="str">
            <v>Unión PVC SAP de 20 mm</v>
          </cell>
          <cell r="C76" t="str">
            <v>und</v>
          </cell>
          <cell r="E76">
            <v>2.4</v>
          </cell>
          <cell r="F76">
            <v>0.25</v>
          </cell>
          <cell r="G76">
            <v>0.6</v>
          </cell>
        </row>
        <row r="77">
          <cell r="A77" t="str">
            <v>1,03,01</v>
          </cell>
          <cell r="B77" t="str">
            <v>Conexión PVC SAP de 20 mm</v>
          </cell>
          <cell r="C77" t="str">
            <v>und</v>
          </cell>
          <cell r="E77">
            <v>2.4</v>
          </cell>
          <cell r="F77">
            <v>0.17399999999999999</v>
          </cell>
          <cell r="G77">
            <v>0.42</v>
          </cell>
        </row>
        <row r="78">
          <cell r="A78" t="str">
            <v>1,03,01</v>
          </cell>
          <cell r="B78" t="str">
            <v>Caja octogonal de 100x50 mm</v>
          </cell>
          <cell r="C78" t="str">
            <v>und</v>
          </cell>
          <cell r="E78">
            <v>1</v>
          </cell>
          <cell r="F78">
            <v>0.85</v>
          </cell>
          <cell r="G78">
            <v>0.85</v>
          </cell>
        </row>
        <row r="79">
          <cell r="A79" t="str">
            <v>1,03,01</v>
          </cell>
          <cell r="B79" t="str">
            <v>Caja rectangular de 100x50 mm</v>
          </cell>
          <cell r="C79" t="str">
            <v>und</v>
          </cell>
          <cell r="E79">
            <v>0.11</v>
          </cell>
          <cell r="F79">
            <v>0.78</v>
          </cell>
          <cell r="G79">
            <v>0.09</v>
          </cell>
        </row>
        <row r="80">
          <cell r="A80" t="str">
            <v>1,03,01</v>
          </cell>
          <cell r="B80" t="str">
            <v>Cable de 4mm2 THW</v>
          </cell>
          <cell r="C80" t="str">
            <v>ml</v>
          </cell>
          <cell r="E80">
            <v>55.5</v>
          </cell>
          <cell r="F80">
            <v>0.32</v>
          </cell>
          <cell r="G80">
            <v>17.760000000000002</v>
          </cell>
        </row>
        <row r="81">
          <cell r="A81" t="str">
            <v>1,03,01</v>
          </cell>
          <cell r="B81" t="str">
            <v>Cinta aislante de 3/4" x 20 m.</v>
          </cell>
          <cell r="C81" t="str">
            <v>und</v>
          </cell>
          <cell r="E81">
            <v>0.06</v>
          </cell>
          <cell r="F81">
            <v>2.5</v>
          </cell>
          <cell r="G81">
            <v>0.15</v>
          </cell>
        </row>
        <row r="82">
          <cell r="A82" t="str">
            <v>1,03,01</v>
          </cell>
          <cell r="B82" t="str">
            <v>Cinta autovulcanizante de 3/4" x 20 m. 3M</v>
          </cell>
          <cell r="C82" t="str">
            <v>und</v>
          </cell>
          <cell r="E82">
            <v>0.04</v>
          </cell>
          <cell r="F82">
            <v>6.27</v>
          </cell>
          <cell r="G82">
            <v>0.25</v>
          </cell>
        </row>
        <row r="83">
          <cell r="A83" t="str">
            <v>1,03,01</v>
          </cell>
          <cell r="B83" t="str">
            <v>Abrazadera de F°G° 20 mm</v>
          </cell>
          <cell r="C83" t="str">
            <v>und</v>
          </cell>
          <cell r="E83">
            <v>4.133</v>
          </cell>
          <cell r="F83">
            <v>0.13300000000000001</v>
          </cell>
          <cell r="G83">
            <v>0.55000000000000004</v>
          </cell>
        </row>
        <row r="84">
          <cell r="A84" t="str">
            <v>1,03,01</v>
          </cell>
          <cell r="B84" t="str">
            <v>Tarugo plastico verde de 1/4</v>
          </cell>
          <cell r="C84" t="str">
            <v>und</v>
          </cell>
          <cell r="E84">
            <v>4.133</v>
          </cell>
          <cell r="F84">
            <v>0.115</v>
          </cell>
          <cell r="G84">
            <v>0.48</v>
          </cell>
        </row>
        <row r="85">
          <cell r="A85" t="str">
            <v>1,03,01</v>
          </cell>
          <cell r="B85" t="str">
            <v>Tornillo autoroscante de 8x1"</v>
          </cell>
          <cell r="C85" t="str">
            <v>und</v>
          </cell>
          <cell r="E85">
            <v>4.133</v>
          </cell>
          <cell r="F85">
            <v>4.2000000000000003E-2</v>
          </cell>
          <cell r="G85">
            <v>0.17</v>
          </cell>
        </row>
        <row r="86">
          <cell r="A86" t="str">
            <v>1,03,01</v>
          </cell>
          <cell r="B86" t="str">
            <v>Pegamento de 1/4 de galón</v>
          </cell>
          <cell r="C86" t="str">
            <v>und</v>
          </cell>
          <cell r="E86">
            <v>0.01</v>
          </cell>
          <cell r="F86">
            <v>6.3959999999999999</v>
          </cell>
          <cell r="G86">
            <v>0.06</v>
          </cell>
        </row>
        <row r="87">
          <cell r="A87" t="str">
            <v>1,03,01</v>
          </cell>
          <cell r="B87" t="str">
            <v>Mano de obra</v>
          </cell>
          <cell r="G87">
            <v>6.88</v>
          </cell>
        </row>
        <row r="88">
          <cell r="A88" t="str">
            <v>1,03,01</v>
          </cell>
          <cell r="B88" t="str">
            <v>Operario</v>
          </cell>
          <cell r="C88" t="str">
            <v>HH</v>
          </cell>
          <cell r="D88">
            <v>1</v>
          </cell>
          <cell r="E88">
            <v>1.3333333333333333</v>
          </cell>
          <cell r="F88">
            <v>2.84</v>
          </cell>
          <cell r="G88">
            <v>3.79</v>
          </cell>
          <cell r="H88">
            <v>6</v>
          </cell>
        </row>
        <row r="89">
          <cell r="A89" t="str">
            <v>1,03,01</v>
          </cell>
          <cell r="B89" t="str">
            <v>Peón</v>
          </cell>
          <cell r="C89" t="str">
            <v>HH</v>
          </cell>
          <cell r="D89">
            <v>1</v>
          </cell>
          <cell r="E89">
            <v>1.3333333333333333</v>
          </cell>
          <cell r="F89">
            <v>2.3199999999999998</v>
          </cell>
          <cell r="G89">
            <v>3.09</v>
          </cell>
          <cell r="H89">
            <v>6</v>
          </cell>
        </row>
        <row r="90">
          <cell r="A90" t="str">
            <v>1,03,01</v>
          </cell>
          <cell r="B90" t="str">
            <v>Equipos y/o herramientas</v>
          </cell>
          <cell r="G90">
            <v>1.5300000000000002</v>
          </cell>
        </row>
        <row r="91">
          <cell r="A91" t="str">
            <v>1,03,01</v>
          </cell>
          <cell r="B91" t="str">
            <v>Cuerpo de andamio de 2 m</v>
          </cell>
          <cell r="C91" t="str">
            <v>DIA</v>
          </cell>
          <cell r="D91">
            <v>1</v>
          </cell>
          <cell r="E91">
            <v>0.16666666666666666</v>
          </cell>
          <cell r="F91">
            <v>0.65</v>
          </cell>
          <cell r="G91">
            <v>0.11</v>
          </cell>
        </row>
        <row r="92">
          <cell r="A92" t="str">
            <v>1,03,01</v>
          </cell>
          <cell r="B92" t="str">
            <v>Taladro Hilti</v>
          </cell>
          <cell r="C92" t="str">
            <v>DIA</v>
          </cell>
          <cell r="D92">
            <v>1</v>
          </cell>
          <cell r="E92">
            <v>0.16666666666666666</v>
          </cell>
          <cell r="F92">
            <v>6.5</v>
          </cell>
          <cell r="G92">
            <v>1.08</v>
          </cell>
        </row>
        <row r="93">
          <cell r="A93" t="str">
            <v>1,03,01</v>
          </cell>
          <cell r="B93" t="str">
            <v>Desgaste de herramientas</v>
          </cell>
          <cell r="C93" t="str">
            <v>%MO</v>
          </cell>
          <cell r="E93">
            <v>0.05</v>
          </cell>
          <cell r="F93">
            <v>6.88</v>
          </cell>
          <cell r="G93">
            <v>0.34</v>
          </cell>
        </row>
        <row r="94">
          <cell r="A94" t="str">
            <v>1,03,02</v>
          </cell>
          <cell r="B94" t="str">
            <v xml:space="preserve">Salida de tomacorriente doble + LT normal en pared </v>
          </cell>
          <cell r="F94" t="str">
            <v>( pto )</v>
          </cell>
          <cell r="G94">
            <v>27.79</v>
          </cell>
        </row>
        <row r="95">
          <cell r="A95" t="str">
            <v>1,03,02</v>
          </cell>
          <cell r="C95" t="str">
            <v>und.</v>
          </cell>
          <cell r="D95" t="str">
            <v>cuad.</v>
          </cell>
          <cell r="E95" t="str">
            <v>cant.</v>
          </cell>
          <cell r="F95" t="str">
            <v>prec. $</v>
          </cell>
          <cell r="G95" t="str">
            <v>parcial $</v>
          </cell>
        </row>
        <row r="96">
          <cell r="A96" t="str">
            <v>1,03,02</v>
          </cell>
          <cell r="B96" t="str">
            <v>Materiales</v>
          </cell>
          <cell r="G96">
            <v>19.32</v>
          </cell>
        </row>
        <row r="97">
          <cell r="A97" t="str">
            <v>1,03,02</v>
          </cell>
          <cell r="B97" t="str">
            <v>Tubería PVC SAP de 20 mm</v>
          </cell>
          <cell r="C97" t="str">
            <v>ml</v>
          </cell>
          <cell r="E97">
            <v>5.75</v>
          </cell>
          <cell r="F97">
            <v>0.41</v>
          </cell>
          <cell r="G97">
            <v>2.36</v>
          </cell>
        </row>
        <row r="98">
          <cell r="A98" t="str">
            <v>1,03,02</v>
          </cell>
          <cell r="B98" t="str">
            <v>Curva PVC SAP de 20 mm</v>
          </cell>
          <cell r="C98" t="str">
            <v>und</v>
          </cell>
          <cell r="E98">
            <v>1.3513513513513513</v>
          </cell>
          <cell r="F98">
            <v>0.59</v>
          </cell>
          <cell r="G98">
            <v>0.8</v>
          </cell>
        </row>
        <row r="99">
          <cell r="A99" t="str">
            <v>1,03,02</v>
          </cell>
          <cell r="B99" t="str">
            <v>Unión PVC SAP de 20 mm</v>
          </cell>
          <cell r="C99" t="str">
            <v>und</v>
          </cell>
          <cell r="E99">
            <v>2.1621621621621623</v>
          </cell>
          <cell r="F99">
            <v>0.25</v>
          </cell>
          <cell r="G99">
            <v>0.54</v>
          </cell>
        </row>
        <row r="100">
          <cell r="A100" t="str">
            <v>1,03,02</v>
          </cell>
          <cell r="B100" t="str">
            <v>Conexión PVC SAP de 20 mm</v>
          </cell>
          <cell r="C100" t="str">
            <v>und</v>
          </cell>
          <cell r="E100">
            <v>2.1621621621621623</v>
          </cell>
          <cell r="F100">
            <v>0.17399999999999999</v>
          </cell>
          <cell r="G100">
            <v>0.38</v>
          </cell>
        </row>
        <row r="101">
          <cell r="A101" t="str">
            <v>1,03,02</v>
          </cell>
          <cell r="B101" t="str">
            <v>Caja rectangular de 100x50 mm</v>
          </cell>
          <cell r="C101" t="str">
            <v>und</v>
          </cell>
          <cell r="E101">
            <v>1</v>
          </cell>
          <cell r="F101">
            <v>0.78</v>
          </cell>
          <cell r="G101">
            <v>0.78</v>
          </cell>
        </row>
        <row r="102">
          <cell r="A102" t="str">
            <v>1,03,02</v>
          </cell>
          <cell r="B102" t="str">
            <v>Conductor de 4mm2 THW</v>
          </cell>
          <cell r="C102" t="str">
            <v>ml</v>
          </cell>
          <cell r="E102">
            <v>40.25</v>
          </cell>
          <cell r="F102">
            <v>0.32</v>
          </cell>
          <cell r="G102">
            <v>12.88</v>
          </cell>
        </row>
        <row r="103">
          <cell r="A103" t="str">
            <v>1,03,02</v>
          </cell>
          <cell r="B103" t="str">
            <v>Cinta aislante de 3/4" x 20 m.</v>
          </cell>
          <cell r="C103" t="str">
            <v>und</v>
          </cell>
          <cell r="E103">
            <v>0.06</v>
          </cell>
          <cell r="F103">
            <v>2.5</v>
          </cell>
          <cell r="G103">
            <v>0.15</v>
          </cell>
        </row>
        <row r="104">
          <cell r="A104" t="str">
            <v>1,03,02</v>
          </cell>
          <cell r="B104" t="str">
            <v>Cinta autovulcanizante de 3/4" x 20 m. 3M</v>
          </cell>
          <cell r="C104" t="str">
            <v>und</v>
          </cell>
          <cell r="E104">
            <v>0.04</v>
          </cell>
          <cell r="F104">
            <v>6.27</v>
          </cell>
          <cell r="G104">
            <v>0.25</v>
          </cell>
        </row>
        <row r="105">
          <cell r="A105" t="str">
            <v>1,03,02</v>
          </cell>
          <cell r="B105" t="str">
            <v>Abrazadera de 20 mm</v>
          </cell>
          <cell r="C105" t="str">
            <v>und</v>
          </cell>
          <cell r="E105">
            <v>3.2432432432432434</v>
          </cell>
          <cell r="F105">
            <v>0.14000000000000001</v>
          </cell>
          <cell r="G105">
            <v>0.45</v>
          </cell>
        </row>
        <row r="106">
          <cell r="A106" t="str">
            <v>1,03,02</v>
          </cell>
          <cell r="B106" t="str">
            <v>Tarugo plastico verde de 1/4</v>
          </cell>
          <cell r="C106" t="str">
            <v>und</v>
          </cell>
          <cell r="E106">
            <v>3.2432432432432434</v>
          </cell>
          <cell r="F106">
            <v>0.115</v>
          </cell>
          <cell r="G106">
            <v>0.37</v>
          </cell>
        </row>
        <row r="107">
          <cell r="A107" t="str">
            <v>1,03,02</v>
          </cell>
          <cell r="B107" t="str">
            <v>Tornillo autoroscante de 8x1"</v>
          </cell>
          <cell r="C107" t="str">
            <v>und</v>
          </cell>
          <cell r="E107">
            <v>3.2432432432432434</v>
          </cell>
          <cell r="F107">
            <v>4.2000000000000003E-2</v>
          </cell>
          <cell r="G107">
            <v>0.14000000000000001</v>
          </cell>
        </row>
        <row r="108">
          <cell r="A108" t="str">
            <v>1,03,02</v>
          </cell>
          <cell r="B108" t="str">
            <v>Tornillo autoroscante de8x1/2"</v>
          </cell>
          <cell r="C108" t="str">
            <v>und</v>
          </cell>
          <cell r="E108">
            <v>3.7837837837837838</v>
          </cell>
          <cell r="F108">
            <v>4.2000000000000003E-2</v>
          </cell>
          <cell r="G108">
            <v>0.16</v>
          </cell>
        </row>
        <row r="109">
          <cell r="A109" t="str">
            <v>1,03,02</v>
          </cell>
          <cell r="B109" t="str">
            <v>Pegamento de 1/4 de galón</v>
          </cell>
          <cell r="C109" t="str">
            <v>und</v>
          </cell>
          <cell r="E109">
            <v>0.01</v>
          </cell>
          <cell r="F109">
            <v>6.3959999999999999</v>
          </cell>
          <cell r="G109">
            <v>0.06</v>
          </cell>
        </row>
        <row r="110">
          <cell r="A110" t="str">
            <v>1,03,02</v>
          </cell>
          <cell r="B110" t="str">
            <v>Mano de obra</v>
          </cell>
          <cell r="G110">
            <v>6.88</v>
          </cell>
        </row>
        <row r="111">
          <cell r="A111" t="str">
            <v>1,03,02</v>
          </cell>
          <cell r="B111" t="str">
            <v>Operario</v>
          </cell>
          <cell r="C111" t="str">
            <v>HH</v>
          </cell>
          <cell r="D111">
            <v>1</v>
          </cell>
          <cell r="E111">
            <v>1.3333333333333333</v>
          </cell>
          <cell r="F111">
            <v>2.84</v>
          </cell>
          <cell r="G111">
            <v>3.79</v>
          </cell>
          <cell r="H111">
            <v>6</v>
          </cell>
        </row>
        <row r="112">
          <cell r="A112" t="str">
            <v>1,03,02</v>
          </cell>
          <cell r="B112" t="str">
            <v>Peón</v>
          </cell>
          <cell r="C112" t="str">
            <v>HH</v>
          </cell>
          <cell r="D112">
            <v>1</v>
          </cell>
          <cell r="E112">
            <v>1.3333333333333333</v>
          </cell>
          <cell r="F112">
            <v>2.3199999999999998</v>
          </cell>
          <cell r="G112">
            <v>3.09</v>
          </cell>
          <cell r="H112">
            <v>6</v>
          </cell>
        </row>
        <row r="113">
          <cell r="A113" t="str">
            <v>1,03,02</v>
          </cell>
          <cell r="B113" t="str">
            <v>Equipos</v>
          </cell>
          <cell r="G113">
            <v>1.59</v>
          </cell>
        </row>
        <row r="114">
          <cell r="A114" t="str">
            <v>1,03,02</v>
          </cell>
          <cell r="B114" t="str">
            <v>Escalera</v>
          </cell>
          <cell r="C114" t="str">
            <v>DIA</v>
          </cell>
          <cell r="D114">
            <v>1</v>
          </cell>
          <cell r="E114">
            <v>0.16666666666666666</v>
          </cell>
          <cell r="F114">
            <v>1</v>
          </cell>
          <cell r="G114">
            <v>0.17</v>
          </cell>
        </row>
        <row r="115">
          <cell r="A115" t="str">
            <v>1,03,02</v>
          </cell>
          <cell r="B115" t="str">
            <v>Taladro Hilti</v>
          </cell>
          <cell r="C115" t="str">
            <v>DIA</v>
          </cell>
          <cell r="D115">
            <v>1</v>
          </cell>
          <cell r="E115">
            <v>0.16666666666666666</v>
          </cell>
          <cell r="F115">
            <v>6.5</v>
          </cell>
          <cell r="G115">
            <v>1.08</v>
          </cell>
        </row>
        <row r="116">
          <cell r="A116" t="str">
            <v>1,03,02</v>
          </cell>
          <cell r="B116" t="str">
            <v>Desgaste de herramientas</v>
          </cell>
          <cell r="C116" t="str">
            <v>%MO</v>
          </cell>
          <cell r="E116">
            <v>0.05</v>
          </cell>
          <cell r="F116">
            <v>6.88</v>
          </cell>
          <cell r="G116">
            <v>0.34</v>
          </cell>
        </row>
        <row r="117">
          <cell r="A117" t="str">
            <v>1,03,03</v>
          </cell>
          <cell r="B117" t="str">
            <v>Suministro e instalación de caja especial empotrada en piso</v>
          </cell>
          <cell r="F117" t="str">
            <v>( pto )</v>
          </cell>
          <cell r="G117">
            <v>99.83</v>
          </cell>
        </row>
        <row r="118">
          <cell r="A118" t="str">
            <v>1,03,03</v>
          </cell>
          <cell r="C118" t="str">
            <v>und.</v>
          </cell>
          <cell r="D118" t="str">
            <v>cuad.</v>
          </cell>
          <cell r="E118" t="str">
            <v>cant.</v>
          </cell>
          <cell r="F118" t="str">
            <v>prec. $</v>
          </cell>
          <cell r="G118" t="str">
            <v>parcial $</v>
          </cell>
        </row>
        <row r="119">
          <cell r="A119" t="str">
            <v>1,03,03</v>
          </cell>
          <cell r="B119" t="str">
            <v>Materiales</v>
          </cell>
          <cell r="G119">
            <v>85.75</v>
          </cell>
        </row>
        <row r="120">
          <cell r="A120" t="str">
            <v>1,03,03</v>
          </cell>
          <cell r="B120" t="str">
            <v xml:space="preserve">Caja especial para salida de tomac.+LT y data </v>
          </cell>
          <cell r="C120" t="str">
            <v>UND</v>
          </cell>
          <cell r="E120">
            <v>1</v>
          </cell>
          <cell r="F120">
            <v>80.5</v>
          </cell>
          <cell r="G120">
            <v>80.5</v>
          </cell>
        </row>
        <row r="121">
          <cell r="A121" t="str">
            <v>4,01,03</v>
          </cell>
          <cell r="B121" t="str">
            <v>Agregado fino + agregado grueso + aglomerante</v>
          </cell>
          <cell r="C121" t="str">
            <v>GLB</v>
          </cell>
          <cell r="E121">
            <v>1</v>
          </cell>
          <cell r="F121">
            <v>5.25</v>
          </cell>
          <cell r="G121">
            <v>5.25</v>
          </cell>
        </row>
        <row r="122">
          <cell r="A122" t="str">
            <v>1,03,03</v>
          </cell>
          <cell r="B122" t="str">
            <v>Mano de obra</v>
          </cell>
          <cell r="G122">
            <v>10.32</v>
          </cell>
        </row>
        <row r="123">
          <cell r="A123" t="str">
            <v>1,03,03</v>
          </cell>
          <cell r="B123" t="str">
            <v>Operario</v>
          </cell>
          <cell r="C123" t="str">
            <v>HH</v>
          </cell>
          <cell r="D123">
            <v>1</v>
          </cell>
          <cell r="E123">
            <v>2</v>
          </cell>
          <cell r="F123">
            <v>2.84</v>
          </cell>
          <cell r="G123">
            <v>5.68</v>
          </cell>
          <cell r="H123">
            <v>4</v>
          </cell>
        </row>
        <row r="124">
          <cell r="A124" t="str">
            <v>1,03,03</v>
          </cell>
          <cell r="B124" t="str">
            <v>Peón</v>
          </cell>
          <cell r="C124" t="str">
            <v>HH</v>
          </cell>
          <cell r="D124">
            <v>1</v>
          </cell>
          <cell r="E124">
            <v>2</v>
          </cell>
          <cell r="F124">
            <v>2.3199999999999998</v>
          </cell>
          <cell r="G124">
            <v>4.6399999999999997</v>
          </cell>
          <cell r="H124">
            <v>4</v>
          </cell>
        </row>
        <row r="125">
          <cell r="A125" t="str">
            <v>1,03,03</v>
          </cell>
          <cell r="B125" t="str">
            <v>Equipos</v>
          </cell>
          <cell r="G125">
            <v>3.7600000000000002</v>
          </cell>
        </row>
        <row r="126">
          <cell r="A126" t="str">
            <v>1,03,03</v>
          </cell>
          <cell r="B126" t="str">
            <v>Saca No KO tipo copa de 25mm</v>
          </cell>
          <cell r="C126" t="str">
            <v>und</v>
          </cell>
          <cell r="E126">
            <v>6.6666666666666666E-2</v>
          </cell>
          <cell r="F126">
            <v>10.25</v>
          </cell>
          <cell r="G126">
            <v>0.68</v>
          </cell>
        </row>
        <row r="127">
          <cell r="A127" t="str">
            <v>1,03,03</v>
          </cell>
          <cell r="B127" t="str">
            <v>Saca No KO tipo copa de 20mm</v>
          </cell>
          <cell r="C127" t="str">
            <v>und</v>
          </cell>
          <cell r="E127">
            <v>6.6666666666666666E-2</v>
          </cell>
          <cell r="F127">
            <v>10.25</v>
          </cell>
          <cell r="G127">
            <v>0.68</v>
          </cell>
        </row>
        <row r="128">
          <cell r="A128" t="str">
            <v>1,03,03</v>
          </cell>
          <cell r="B128" t="str">
            <v>Escalera</v>
          </cell>
          <cell r="C128" t="str">
            <v>DIA</v>
          </cell>
          <cell r="D128">
            <v>1</v>
          </cell>
          <cell r="E128">
            <v>0.25</v>
          </cell>
          <cell r="F128">
            <v>1</v>
          </cell>
          <cell r="G128">
            <v>0.25</v>
          </cell>
        </row>
        <row r="129">
          <cell r="A129" t="str">
            <v>1,03,03</v>
          </cell>
          <cell r="B129" t="str">
            <v>Taladro Hilti</v>
          </cell>
          <cell r="C129" t="str">
            <v>DIA</v>
          </cell>
          <cell r="D129">
            <v>1</v>
          </cell>
          <cell r="E129">
            <v>0.25</v>
          </cell>
          <cell r="F129">
            <v>6.5</v>
          </cell>
          <cell r="G129">
            <v>1.63</v>
          </cell>
        </row>
        <row r="130">
          <cell r="A130" t="str">
            <v>1,03,03</v>
          </cell>
          <cell r="B130" t="str">
            <v>Desgaste de herramientas</v>
          </cell>
          <cell r="C130" t="str">
            <v>%MO</v>
          </cell>
          <cell r="E130">
            <v>0.05</v>
          </cell>
          <cell r="F130">
            <v>10.32</v>
          </cell>
          <cell r="G130">
            <v>0.52</v>
          </cell>
        </row>
        <row r="131">
          <cell r="A131" t="str">
            <v>1,03,04</v>
          </cell>
          <cell r="B131" t="str">
            <v>Salida de tomacorriente doble + LT estabilizado (solo canalización)</v>
          </cell>
          <cell r="F131" t="str">
            <v>( pto )</v>
          </cell>
          <cell r="G131">
            <v>13.929999999999998</v>
          </cell>
        </row>
        <row r="132">
          <cell r="A132" t="str">
            <v>1,03,04</v>
          </cell>
          <cell r="C132" t="str">
            <v>und.</v>
          </cell>
          <cell r="D132" t="str">
            <v>cuad.</v>
          </cell>
          <cell r="E132" t="str">
            <v>cant.</v>
          </cell>
          <cell r="F132" t="str">
            <v>prec. $</v>
          </cell>
          <cell r="G132" t="str">
            <v>parcial $</v>
          </cell>
        </row>
        <row r="133">
          <cell r="A133" t="str">
            <v>1,03,04</v>
          </cell>
          <cell r="B133" t="str">
            <v>Materiales</v>
          </cell>
          <cell r="G133">
            <v>5.4599999999999982</v>
          </cell>
        </row>
        <row r="134">
          <cell r="A134" t="str">
            <v>1,03,04</v>
          </cell>
          <cell r="B134" t="str">
            <v>Tubería PVC SAP de 20 mm</v>
          </cell>
          <cell r="C134" t="str">
            <v>ml</v>
          </cell>
          <cell r="E134">
            <v>5.04</v>
          </cell>
          <cell r="F134">
            <v>0.41</v>
          </cell>
          <cell r="G134">
            <v>2.0699999999999998</v>
          </cell>
        </row>
        <row r="135">
          <cell r="A135" t="str">
            <v>1,03,04</v>
          </cell>
          <cell r="B135" t="str">
            <v>Curva PVC SAP de 20 mm</v>
          </cell>
          <cell r="C135" t="str">
            <v>und</v>
          </cell>
          <cell r="E135">
            <v>2</v>
          </cell>
          <cell r="F135">
            <v>0.59</v>
          </cell>
          <cell r="G135">
            <v>1.18</v>
          </cell>
        </row>
        <row r="136">
          <cell r="A136" t="str">
            <v>1,03,04</v>
          </cell>
          <cell r="B136" t="str">
            <v>Unión PVC SAP de 20 mm</v>
          </cell>
          <cell r="C136" t="str">
            <v>und</v>
          </cell>
          <cell r="E136">
            <v>2</v>
          </cell>
          <cell r="F136">
            <v>0.25</v>
          </cell>
          <cell r="G136">
            <v>0.5</v>
          </cell>
        </row>
        <row r="137">
          <cell r="A137" t="str">
            <v>1,03,04</v>
          </cell>
          <cell r="B137" t="str">
            <v>Conexión PVC SAP de 20 mm</v>
          </cell>
          <cell r="C137" t="str">
            <v>und</v>
          </cell>
          <cell r="E137">
            <v>2</v>
          </cell>
          <cell r="F137">
            <v>0.17399999999999999</v>
          </cell>
          <cell r="G137">
            <v>0.35</v>
          </cell>
        </row>
        <row r="138">
          <cell r="A138" t="str">
            <v>1,03,04</v>
          </cell>
          <cell r="B138" t="str">
            <v>Caja rectangular de 100x50 mm</v>
          </cell>
          <cell r="C138" t="str">
            <v>und</v>
          </cell>
          <cell r="E138">
            <v>1</v>
          </cell>
          <cell r="F138">
            <v>0.78</v>
          </cell>
          <cell r="G138">
            <v>0.78</v>
          </cell>
        </row>
        <row r="139">
          <cell r="A139" t="str">
            <v>1,03,04</v>
          </cell>
          <cell r="B139" t="str">
            <v>Abrazadera de 20 mm</v>
          </cell>
          <cell r="C139" t="str">
            <v>und</v>
          </cell>
          <cell r="E139">
            <v>1.5384615384615385</v>
          </cell>
          <cell r="F139">
            <v>0.14000000000000001</v>
          </cell>
          <cell r="G139">
            <v>0.22</v>
          </cell>
        </row>
        <row r="140">
          <cell r="A140" t="str">
            <v>1,03,04</v>
          </cell>
          <cell r="B140" t="str">
            <v>Tarugo plastico verde de 1/4</v>
          </cell>
          <cell r="C140" t="str">
            <v>und</v>
          </cell>
          <cell r="E140">
            <v>1.5384615384615385</v>
          </cell>
          <cell r="F140">
            <v>0.115</v>
          </cell>
          <cell r="G140">
            <v>0.18</v>
          </cell>
        </row>
        <row r="141">
          <cell r="A141" t="str">
            <v>1,03,04</v>
          </cell>
          <cell r="B141" t="str">
            <v>Tornillo autoroscante de 8x1"</v>
          </cell>
          <cell r="C141" t="str">
            <v>und</v>
          </cell>
          <cell r="E141">
            <v>1.5384615384615385</v>
          </cell>
          <cell r="F141">
            <v>4.2000000000000003E-2</v>
          </cell>
          <cell r="G141">
            <v>0.06</v>
          </cell>
        </row>
        <row r="142">
          <cell r="A142" t="str">
            <v>1,03,04</v>
          </cell>
          <cell r="B142" t="str">
            <v>Tornillo autoroscante de8x1/2"</v>
          </cell>
          <cell r="C142" t="str">
            <v>und</v>
          </cell>
          <cell r="E142">
            <v>1.5384615384615385</v>
          </cell>
          <cell r="F142">
            <v>4.2000000000000003E-2</v>
          </cell>
          <cell r="G142">
            <v>0.06</v>
          </cell>
        </row>
        <row r="143">
          <cell r="A143" t="str">
            <v>1,03,04</v>
          </cell>
          <cell r="B143" t="str">
            <v>Pegamento de 1/4 de galón</v>
          </cell>
          <cell r="C143" t="str">
            <v>und</v>
          </cell>
          <cell r="E143">
            <v>0.01</v>
          </cell>
          <cell r="F143">
            <v>6.3959999999999999</v>
          </cell>
          <cell r="G143">
            <v>0.06</v>
          </cell>
        </row>
        <row r="144">
          <cell r="A144" t="str">
            <v>1,03,04</v>
          </cell>
          <cell r="B144" t="str">
            <v>Mano de obra</v>
          </cell>
          <cell r="G144">
            <v>6.88</v>
          </cell>
        </row>
        <row r="145">
          <cell r="A145" t="str">
            <v>1,03,04</v>
          </cell>
          <cell r="B145" t="str">
            <v>Operario</v>
          </cell>
          <cell r="C145" t="str">
            <v>HH</v>
          </cell>
          <cell r="D145">
            <v>1</v>
          </cell>
          <cell r="E145">
            <v>1.3333333333333333</v>
          </cell>
          <cell r="F145">
            <v>2.84</v>
          </cell>
          <cell r="G145">
            <v>3.79</v>
          </cell>
          <cell r="H145">
            <v>6</v>
          </cell>
        </row>
        <row r="146">
          <cell r="A146" t="str">
            <v>1,03,04</v>
          </cell>
          <cell r="B146" t="str">
            <v>Peón</v>
          </cell>
          <cell r="C146" t="str">
            <v>HH</v>
          </cell>
          <cell r="D146">
            <v>1</v>
          </cell>
          <cell r="E146">
            <v>1.3333333333333333</v>
          </cell>
          <cell r="F146">
            <v>2.3199999999999998</v>
          </cell>
          <cell r="G146">
            <v>3.09</v>
          </cell>
          <cell r="H146">
            <v>6</v>
          </cell>
        </row>
        <row r="147">
          <cell r="A147" t="str">
            <v>1,03,04</v>
          </cell>
          <cell r="B147" t="str">
            <v>Equipos</v>
          </cell>
          <cell r="G147">
            <v>1.59</v>
          </cell>
        </row>
        <row r="148">
          <cell r="A148" t="str">
            <v>1,03,04</v>
          </cell>
          <cell r="B148" t="str">
            <v>Escalera</v>
          </cell>
          <cell r="C148" t="str">
            <v>DIA</v>
          </cell>
          <cell r="D148">
            <v>1</v>
          </cell>
          <cell r="E148">
            <v>0.16666666666666666</v>
          </cell>
          <cell r="F148">
            <v>1</v>
          </cell>
          <cell r="G148">
            <v>0.17</v>
          </cell>
        </row>
        <row r="149">
          <cell r="A149" t="str">
            <v>1,03,04</v>
          </cell>
          <cell r="B149" t="str">
            <v>Taladro Hilti</v>
          </cell>
          <cell r="C149" t="str">
            <v>DIA</v>
          </cell>
          <cell r="D149">
            <v>1</v>
          </cell>
          <cell r="E149">
            <v>0.16666666666666666</v>
          </cell>
          <cell r="F149">
            <v>6.5</v>
          </cell>
          <cell r="G149">
            <v>1.08</v>
          </cell>
        </row>
        <row r="150">
          <cell r="A150" t="str">
            <v>1,03,04</v>
          </cell>
          <cell r="B150" t="str">
            <v>Desgaste de herramientas</v>
          </cell>
          <cell r="C150" t="str">
            <v>%MO</v>
          </cell>
          <cell r="E150">
            <v>0.05</v>
          </cell>
          <cell r="F150">
            <v>6.88</v>
          </cell>
          <cell r="G150">
            <v>0.34</v>
          </cell>
        </row>
        <row r="151">
          <cell r="A151" t="str">
            <v>1,03,05</v>
          </cell>
          <cell r="B151" t="str">
            <v>Salida para damper motorizado en techo</v>
          </cell>
          <cell r="F151" t="str">
            <v>( pto )</v>
          </cell>
          <cell r="G151">
            <v>23.709999999999997</v>
          </cell>
        </row>
        <row r="152">
          <cell r="A152" t="str">
            <v>1,03,05</v>
          </cell>
          <cell r="C152" t="str">
            <v>und.</v>
          </cell>
          <cell r="D152" t="str">
            <v>cuad.</v>
          </cell>
          <cell r="E152" t="str">
            <v>cant.</v>
          </cell>
          <cell r="F152" t="str">
            <v>prec. $</v>
          </cell>
          <cell r="G152" t="str">
            <v>parcial $</v>
          </cell>
        </row>
        <row r="153">
          <cell r="A153" t="str">
            <v>1,03,05</v>
          </cell>
          <cell r="B153" t="str">
            <v>Materiales</v>
          </cell>
          <cell r="G153">
            <v>15.239999999999998</v>
          </cell>
        </row>
        <row r="154">
          <cell r="A154" t="str">
            <v>1,03,05</v>
          </cell>
          <cell r="B154" t="str">
            <v>Tubería PVC SAP de 20 mm</v>
          </cell>
          <cell r="C154" t="str">
            <v>ml</v>
          </cell>
          <cell r="E154">
            <v>6.5</v>
          </cell>
          <cell r="F154">
            <v>0.41</v>
          </cell>
          <cell r="G154">
            <v>2.67</v>
          </cell>
        </row>
        <row r="155">
          <cell r="A155" t="str">
            <v>1,03,05</v>
          </cell>
          <cell r="B155" t="str">
            <v>Curva PVC SAP de 20 mm</v>
          </cell>
          <cell r="C155" t="str">
            <v>und</v>
          </cell>
          <cell r="E155">
            <v>0.55555555555555558</v>
          </cell>
          <cell r="F155">
            <v>0.59</v>
          </cell>
          <cell r="G155">
            <v>0.33</v>
          </cell>
        </row>
        <row r="156">
          <cell r="A156" t="str">
            <v>1,03,05</v>
          </cell>
          <cell r="B156" t="str">
            <v>Unión PVC SAP de 20 mm</v>
          </cell>
          <cell r="C156" t="str">
            <v>und</v>
          </cell>
          <cell r="E156">
            <v>1.52</v>
          </cell>
          <cell r="F156">
            <v>0.25</v>
          </cell>
          <cell r="G156">
            <v>0.38</v>
          </cell>
        </row>
        <row r="157">
          <cell r="A157" t="str">
            <v>1,03,05</v>
          </cell>
          <cell r="B157" t="str">
            <v>Conexión PVC SAP de 20 mm</v>
          </cell>
          <cell r="C157" t="str">
            <v>und</v>
          </cell>
          <cell r="E157">
            <v>1.52</v>
          </cell>
          <cell r="F157">
            <v>0.17399999999999999</v>
          </cell>
          <cell r="G157">
            <v>0.26</v>
          </cell>
        </row>
        <row r="158">
          <cell r="A158" t="str">
            <v>1,03,05</v>
          </cell>
          <cell r="B158" t="str">
            <v>Caja cuadrada de 100x100x50 mm</v>
          </cell>
          <cell r="C158" t="str">
            <v>und</v>
          </cell>
          <cell r="E158">
            <v>1</v>
          </cell>
          <cell r="F158">
            <v>1.72</v>
          </cell>
          <cell r="G158">
            <v>1.72</v>
          </cell>
        </row>
        <row r="159">
          <cell r="A159" t="str">
            <v>1,03,05</v>
          </cell>
          <cell r="B159" t="str">
            <v>Conductor de 4mm2 THW</v>
          </cell>
          <cell r="C159" t="str">
            <v>ml</v>
          </cell>
          <cell r="E159">
            <v>23</v>
          </cell>
          <cell r="F159">
            <v>0.32</v>
          </cell>
          <cell r="G159">
            <v>7.36</v>
          </cell>
        </row>
        <row r="160">
          <cell r="A160" t="str">
            <v>1,03,05</v>
          </cell>
          <cell r="B160" t="str">
            <v>Cinta aislante de 3/4" x 20 m.</v>
          </cell>
          <cell r="C160" t="str">
            <v>und</v>
          </cell>
          <cell r="E160">
            <v>0.06</v>
          </cell>
          <cell r="F160">
            <v>2.5</v>
          </cell>
          <cell r="G160">
            <v>0.15</v>
          </cell>
        </row>
        <row r="161">
          <cell r="A161" t="str">
            <v>1,03,05</v>
          </cell>
          <cell r="B161" t="str">
            <v>Cinta autovulcanizante de 3/4" x 20 m. 3M</v>
          </cell>
          <cell r="C161" t="str">
            <v>und</v>
          </cell>
          <cell r="E161">
            <v>0.04</v>
          </cell>
          <cell r="F161">
            <v>6.27</v>
          </cell>
          <cell r="G161">
            <v>0.25</v>
          </cell>
        </row>
        <row r="162">
          <cell r="A162" t="str">
            <v>1,03,05</v>
          </cell>
          <cell r="B162" t="str">
            <v>Abrazadera de 20 mm</v>
          </cell>
          <cell r="C162" t="str">
            <v>und</v>
          </cell>
          <cell r="E162">
            <v>6.666666666666667</v>
          </cell>
          <cell r="F162">
            <v>0.14000000000000001</v>
          </cell>
          <cell r="G162">
            <v>0.93</v>
          </cell>
        </row>
        <row r="163">
          <cell r="A163" t="str">
            <v>1,03,05</v>
          </cell>
          <cell r="B163" t="str">
            <v>Tarugo plastico verde de 1/4</v>
          </cell>
          <cell r="C163" t="str">
            <v>und</v>
          </cell>
          <cell r="E163">
            <v>6.666666666666667</v>
          </cell>
          <cell r="F163">
            <v>0.115</v>
          </cell>
          <cell r="G163">
            <v>0.77</v>
          </cell>
        </row>
        <row r="164">
          <cell r="A164" t="str">
            <v>1,03,05</v>
          </cell>
          <cell r="B164" t="str">
            <v>Tornillo autoroscante de 8x1"</v>
          </cell>
          <cell r="C164" t="str">
            <v>und</v>
          </cell>
          <cell r="E164">
            <v>6.666666666666667</v>
          </cell>
          <cell r="F164">
            <v>4.2000000000000003E-2</v>
          </cell>
          <cell r="G164">
            <v>0.28000000000000003</v>
          </cell>
        </row>
        <row r="165">
          <cell r="A165" t="str">
            <v>1,03,05</v>
          </cell>
          <cell r="B165" t="str">
            <v>Tornillo autoroscante de8x1/2"</v>
          </cell>
          <cell r="C165" t="str">
            <v>und</v>
          </cell>
          <cell r="E165">
            <v>2</v>
          </cell>
          <cell r="F165">
            <v>4.2000000000000003E-2</v>
          </cell>
          <cell r="G165">
            <v>0.08</v>
          </cell>
        </row>
        <row r="166">
          <cell r="A166" t="str">
            <v>1,03,05</v>
          </cell>
          <cell r="B166" t="str">
            <v>Pegamento de 1/4 de galón</v>
          </cell>
          <cell r="C166" t="str">
            <v>und</v>
          </cell>
          <cell r="E166">
            <v>0.01</v>
          </cell>
          <cell r="F166">
            <v>6.3959999999999999</v>
          </cell>
          <cell r="G166">
            <v>0.06</v>
          </cell>
        </row>
        <row r="167">
          <cell r="A167" t="str">
            <v>1,03,05</v>
          </cell>
          <cell r="B167" t="str">
            <v>Mano de obra</v>
          </cell>
          <cell r="G167">
            <v>6.88</v>
          </cell>
        </row>
        <row r="168">
          <cell r="A168" t="str">
            <v>1,03,05</v>
          </cell>
          <cell r="B168" t="str">
            <v>Operario</v>
          </cell>
          <cell r="C168" t="str">
            <v>HH</v>
          </cell>
          <cell r="D168">
            <v>1</v>
          </cell>
          <cell r="E168">
            <v>1.3333333333333333</v>
          </cell>
          <cell r="F168">
            <v>2.84</v>
          </cell>
          <cell r="G168">
            <v>3.79</v>
          </cell>
          <cell r="H168">
            <v>6</v>
          </cell>
        </row>
        <row r="169">
          <cell r="A169" t="str">
            <v>1,03,05</v>
          </cell>
          <cell r="B169" t="str">
            <v>Peón</v>
          </cell>
          <cell r="C169" t="str">
            <v>HH</v>
          </cell>
          <cell r="D169">
            <v>1</v>
          </cell>
          <cell r="E169">
            <v>1.3333333333333333</v>
          </cell>
          <cell r="F169">
            <v>2.3199999999999998</v>
          </cell>
          <cell r="G169">
            <v>3.09</v>
          </cell>
          <cell r="H169">
            <v>6</v>
          </cell>
        </row>
        <row r="170">
          <cell r="A170" t="str">
            <v>1,03,05</v>
          </cell>
          <cell r="B170" t="str">
            <v>Equipos</v>
          </cell>
          <cell r="G170">
            <v>1.59</v>
          </cell>
        </row>
        <row r="171">
          <cell r="A171" t="str">
            <v>1,03,05</v>
          </cell>
          <cell r="B171" t="str">
            <v>Escalera</v>
          </cell>
          <cell r="C171" t="str">
            <v>DIA</v>
          </cell>
          <cell r="D171">
            <v>1</v>
          </cell>
          <cell r="E171">
            <v>0.16666666666666666</v>
          </cell>
          <cell r="F171">
            <v>1</v>
          </cell>
          <cell r="G171">
            <v>0.17</v>
          </cell>
        </row>
        <row r="172">
          <cell r="A172" t="str">
            <v>1,03,05</v>
          </cell>
          <cell r="B172" t="str">
            <v>Taladro Hilti</v>
          </cell>
          <cell r="C172" t="str">
            <v>DIA</v>
          </cell>
          <cell r="D172">
            <v>1</v>
          </cell>
          <cell r="E172">
            <v>0.16666666666666666</v>
          </cell>
          <cell r="F172">
            <v>6.5</v>
          </cell>
          <cell r="G172">
            <v>1.08</v>
          </cell>
        </row>
        <row r="173">
          <cell r="A173" t="str">
            <v>1,03,05</v>
          </cell>
          <cell r="B173" t="str">
            <v>Desgaste de herramientas</v>
          </cell>
          <cell r="C173" t="str">
            <v>%MO</v>
          </cell>
          <cell r="E173">
            <v>0.05</v>
          </cell>
          <cell r="F173">
            <v>6.88</v>
          </cell>
          <cell r="G173">
            <v>0.34</v>
          </cell>
        </row>
        <row r="174">
          <cell r="A174" t="str">
            <v>1,03,06</v>
          </cell>
          <cell r="B174" t="str">
            <v>Salida de termostato (solo canalización)</v>
          </cell>
          <cell r="F174" t="str">
            <v>( pto )</v>
          </cell>
          <cell r="G174">
            <v>13.529999999999998</v>
          </cell>
        </row>
        <row r="175">
          <cell r="A175" t="str">
            <v>1,03,06</v>
          </cell>
          <cell r="C175" t="str">
            <v>und.</v>
          </cell>
          <cell r="D175" t="str">
            <v>cuad.</v>
          </cell>
          <cell r="E175" t="str">
            <v>cant.</v>
          </cell>
          <cell r="F175" t="str">
            <v>prec. $</v>
          </cell>
          <cell r="G175" t="str">
            <v>parcial $</v>
          </cell>
        </row>
        <row r="176">
          <cell r="A176" t="str">
            <v>1,03,06</v>
          </cell>
          <cell r="B176" t="str">
            <v>Materiales</v>
          </cell>
          <cell r="G176">
            <v>7.169999999999999</v>
          </cell>
        </row>
        <row r="177">
          <cell r="A177" t="str">
            <v>1,03,06</v>
          </cell>
          <cell r="B177" t="str">
            <v>Tubería PVC SAP de 20 mm</v>
          </cell>
          <cell r="C177" t="str">
            <v>ml</v>
          </cell>
          <cell r="E177">
            <v>5.95</v>
          </cell>
          <cell r="F177">
            <v>0.41</v>
          </cell>
          <cell r="G177">
            <v>2.44</v>
          </cell>
        </row>
        <row r="178">
          <cell r="A178" t="str">
            <v>1,03,06</v>
          </cell>
          <cell r="B178" t="str">
            <v>Curva PVC SAP de 20 mm</v>
          </cell>
          <cell r="C178" t="str">
            <v>und</v>
          </cell>
          <cell r="E178">
            <v>2</v>
          </cell>
          <cell r="F178">
            <v>0.59</v>
          </cell>
          <cell r="G178">
            <v>1.18</v>
          </cell>
        </row>
        <row r="179">
          <cell r="A179" t="str">
            <v>1,03,06</v>
          </cell>
          <cell r="B179" t="str">
            <v>Unión PVC SAP de 20 mm</v>
          </cell>
          <cell r="C179" t="str">
            <v>und</v>
          </cell>
          <cell r="E179">
            <v>2</v>
          </cell>
          <cell r="F179">
            <v>0.25</v>
          </cell>
          <cell r="G179">
            <v>0.5</v>
          </cell>
        </row>
        <row r="180">
          <cell r="A180" t="str">
            <v>1,03,06</v>
          </cell>
          <cell r="B180" t="str">
            <v>Conexión PVC SAP de 20 mm</v>
          </cell>
          <cell r="C180" t="str">
            <v>und</v>
          </cell>
          <cell r="E180">
            <v>2</v>
          </cell>
          <cell r="F180">
            <v>0.17399999999999999</v>
          </cell>
          <cell r="G180">
            <v>0.35</v>
          </cell>
        </row>
        <row r="181">
          <cell r="A181" t="str">
            <v>1,03,06</v>
          </cell>
          <cell r="B181" t="str">
            <v>Caja rectangular de 100x50 mm</v>
          </cell>
          <cell r="C181" t="str">
            <v>und</v>
          </cell>
          <cell r="E181">
            <v>1</v>
          </cell>
          <cell r="F181">
            <v>0.78</v>
          </cell>
          <cell r="G181">
            <v>0.78</v>
          </cell>
        </row>
        <row r="182">
          <cell r="A182" t="str">
            <v>1,03,06</v>
          </cell>
          <cell r="B182" t="str">
            <v>Abrazadera de 20 mm</v>
          </cell>
          <cell r="C182" t="str">
            <v>und</v>
          </cell>
          <cell r="E182">
            <v>6</v>
          </cell>
          <cell r="F182">
            <v>0.14000000000000001</v>
          </cell>
          <cell r="G182">
            <v>0.84</v>
          </cell>
        </row>
        <row r="183">
          <cell r="A183" t="str">
            <v>1,03,06</v>
          </cell>
          <cell r="B183" t="str">
            <v>Tarugo plastico verde de 1/4</v>
          </cell>
          <cell r="C183" t="str">
            <v>und</v>
          </cell>
          <cell r="E183">
            <v>6</v>
          </cell>
          <cell r="F183">
            <v>0.115</v>
          </cell>
          <cell r="G183">
            <v>0.69</v>
          </cell>
        </row>
        <row r="184">
          <cell r="A184" t="str">
            <v>1,03,06</v>
          </cell>
          <cell r="B184" t="str">
            <v>Tornillo autoroscante de 8x1"</v>
          </cell>
          <cell r="C184" t="str">
            <v>und</v>
          </cell>
          <cell r="E184">
            <v>6</v>
          </cell>
          <cell r="F184">
            <v>4.2000000000000003E-2</v>
          </cell>
          <cell r="G184">
            <v>0.25</v>
          </cell>
        </row>
        <row r="185">
          <cell r="A185" t="str">
            <v>1,03,06</v>
          </cell>
          <cell r="B185" t="str">
            <v>Tornillo autoroscante de8x1/2"</v>
          </cell>
          <cell r="C185" t="str">
            <v>und</v>
          </cell>
          <cell r="E185">
            <v>2</v>
          </cell>
          <cell r="F185">
            <v>4.2000000000000003E-2</v>
          </cell>
          <cell r="G185">
            <v>0.08</v>
          </cell>
        </row>
        <row r="186">
          <cell r="A186" t="str">
            <v>1,03,06</v>
          </cell>
          <cell r="B186" t="str">
            <v>Pegamento de 1/4 de galón</v>
          </cell>
          <cell r="C186" t="str">
            <v>und</v>
          </cell>
          <cell r="E186">
            <v>0.01</v>
          </cell>
          <cell r="F186">
            <v>6.3959999999999999</v>
          </cell>
          <cell r="G186">
            <v>0.06</v>
          </cell>
        </row>
        <row r="187">
          <cell r="A187" t="str">
            <v>1,03,06</v>
          </cell>
          <cell r="B187" t="str">
            <v>Mano de obra</v>
          </cell>
          <cell r="G187">
            <v>5.16</v>
          </cell>
        </row>
        <row r="188">
          <cell r="A188" t="str">
            <v>1,03,06</v>
          </cell>
          <cell r="B188" t="str">
            <v>Operario</v>
          </cell>
          <cell r="C188" t="str">
            <v>HH</v>
          </cell>
          <cell r="D188">
            <v>1</v>
          </cell>
          <cell r="E188">
            <v>1</v>
          </cell>
          <cell r="F188">
            <v>2.84</v>
          </cell>
          <cell r="G188">
            <v>2.84</v>
          </cell>
          <cell r="H188">
            <v>8</v>
          </cell>
        </row>
        <row r="189">
          <cell r="A189" t="str">
            <v>1,03,06</v>
          </cell>
          <cell r="B189" t="str">
            <v>Peón</v>
          </cell>
          <cell r="C189" t="str">
            <v>HH</v>
          </cell>
          <cell r="D189">
            <v>1</v>
          </cell>
          <cell r="E189">
            <v>1</v>
          </cell>
          <cell r="F189">
            <v>2.3199999999999998</v>
          </cell>
          <cell r="G189">
            <v>2.3199999999999998</v>
          </cell>
          <cell r="H189">
            <v>8</v>
          </cell>
        </row>
        <row r="190">
          <cell r="A190" t="str">
            <v>1,03,06</v>
          </cell>
          <cell r="B190" t="str">
            <v>Equipos</v>
          </cell>
          <cell r="G190">
            <v>1.2000000000000002</v>
          </cell>
        </row>
        <row r="191">
          <cell r="A191" t="str">
            <v>1,03,06</v>
          </cell>
          <cell r="B191" t="str">
            <v>Escalera</v>
          </cell>
          <cell r="C191" t="str">
            <v>DIA</v>
          </cell>
          <cell r="D191">
            <v>1</v>
          </cell>
          <cell r="E191">
            <v>0.125</v>
          </cell>
          <cell r="F191">
            <v>1</v>
          </cell>
          <cell r="G191">
            <v>0.13</v>
          </cell>
        </row>
        <row r="192">
          <cell r="A192" t="str">
            <v>1,03,06</v>
          </cell>
          <cell r="B192" t="str">
            <v>Taladro Hilti</v>
          </cell>
          <cell r="C192" t="str">
            <v>DIA</v>
          </cell>
          <cell r="D192">
            <v>1</v>
          </cell>
          <cell r="E192">
            <v>0.125</v>
          </cell>
          <cell r="F192">
            <v>6.5</v>
          </cell>
          <cell r="G192">
            <v>0.81</v>
          </cell>
        </row>
        <row r="193">
          <cell r="A193" t="str">
            <v>1,03,06</v>
          </cell>
          <cell r="B193" t="str">
            <v>Desgaste de herramientas</v>
          </cell>
          <cell r="C193" t="str">
            <v>%MO</v>
          </cell>
          <cell r="E193">
            <v>0.05</v>
          </cell>
          <cell r="F193">
            <v>5.16</v>
          </cell>
          <cell r="G193">
            <v>0.26</v>
          </cell>
        </row>
        <row r="194">
          <cell r="A194" t="str">
            <v>1,03,07</v>
          </cell>
          <cell r="B194" t="str">
            <v>Salida para Proyector y Ecran</v>
          </cell>
          <cell r="F194" t="str">
            <v>( pto )</v>
          </cell>
          <cell r="G194">
            <v>28.599999999999998</v>
          </cell>
        </row>
        <row r="195">
          <cell r="A195" t="str">
            <v>1,03,07</v>
          </cell>
          <cell r="C195" t="str">
            <v>und.</v>
          </cell>
          <cell r="D195" t="str">
            <v>cuad.</v>
          </cell>
          <cell r="E195" t="str">
            <v>cant.</v>
          </cell>
          <cell r="F195" t="str">
            <v>prec. $</v>
          </cell>
          <cell r="G195" t="str">
            <v>parcial $</v>
          </cell>
        </row>
        <row r="196">
          <cell r="A196" t="str">
            <v>1,03,07</v>
          </cell>
          <cell r="B196" t="str">
            <v>Materiales</v>
          </cell>
          <cell r="G196">
            <v>18.439999999999998</v>
          </cell>
        </row>
        <row r="197">
          <cell r="A197" t="str">
            <v>1,03,07</v>
          </cell>
          <cell r="B197" t="str">
            <v>Tubería PVC SAP de 20 mm</v>
          </cell>
          <cell r="C197" t="str">
            <v>ml</v>
          </cell>
          <cell r="E197">
            <v>14.85</v>
          </cell>
          <cell r="F197">
            <v>0.41</v>
          </cell>
          <cell r="G197">
            <v>6.09</v>
          </cell>
        </row>
        <row r="198">
          <cell r="A198" t="str">
            <v>1,03,07</v>
          </cell>
          <cell r="B198" t="str">
            <v>Curva PVC SAP de 20 mm</v>
          </cell>
          <cell r="C198" t="str">
            <v>und</v>
          </cell>
          <cell r="E198">
            <v>4.68</v>
          </cell>
          <cell r="F198">
            <v>0.59</v>
          </cell>
          <cell r="G198">
            <v>2.76</v>
          </cell>
        </row>
        <row r="199">
          <cell r="A199" t="str">
            <v>1,03,07</v>
          </cell>
          <cell r="B199" t="str">
            <v>Unión PVC SAP de 20 mm</v>
          </cell>
          <cell r="C199" t="str">
            <v>und</v>
          </cell>
          <cell r="E199">
            <v>5.8</v>
          </cell>
          <cell r="F199">
            <v>0.25</v>
          </cell>
          <cell r="G199">
            <v>1.45</v>
          </cell>
        </row>
        <row r="200">
          <cell r="A200" t="str">
            <v>1,03,07</v>
          </cell>
          <cell r="B200" t="str">
            <v>Conexión PVC SAP de 20 mm</v>
          </cell>
          <cell r="C200" t="str">
            <v>und</v>
          </cell>
          <cell r="E200">
            <v>5.8</v>
          </cell>
          <cell r="F200">
            <v>0.17399999999999999</v>
          </cell>
          <cell r="G200">
            <v>1.01</v>
          </cell>
        </row>
        <row r="201">
          <cell r="A201" t="str">
            <v>1,03,07</v>
          </cell>
          <cell r="B201" t="str">
            <v>Caja octogonal de 100x50 mm</v>
          </cell>
          <cell r="C201" t="str">
            <v>und</v>
          </cell>
          <cell r="E201">
            <v>1</v>
          </cell>
          <cell r="F201">
            <v>0.85</v>
          </cell>
          <cell r="G201">
            <v>0.85</v>
          </cell>
        </row>
        <row r="202">
          <cell r="A202" t="str">
            <v>1,03,07</v>
          </cell>
          <cell r="B202" t="str">
            <v>Caja rectangular de 100x50 mm</v>
          </cell>
          <cell r="C202" t="str">
            <v>und</v>
          </cell>
          <cell r="E202">
            <v>1</v>
          </cell>
          <cell r="F202">
            <v>0.78</v>
          </cell>
          <cell r="G202">
            <v>0.78</v>
          </cell>
        </row>
        <row r="203">
          <cell r="A203" t="str">
            <v>1,03,07</v>
          </cell>
          <cell r="B203" t="str">
            <v xml:space="preserve">Caja de 100x100x50mm NKO 3/4 </v>
          </cell>
          <cell r="C203" t="str">
            <v>und</v>
          </cell>
          <cell r="E203">
            <v>1</v>
          </cell>
          <cell r="F203">
            <v>1.72</v>
          </cell>
          <cell r="G203">
            <v>1.72</v>
          </cell>
        </row>
        <row r="204">
          <cell r="A204" t="str">
            <v>1,03,07</v>
          </cell>
          <cell r="B204" t="str">
            <v>Abrazadera de 20 mm</v>
          </cell>
          <cell r="C204" t="str">
            <v>und</v>
          </cell>
          <cell r="E204">
            <v>12.5</v>
          </cell>
          <cell r="F204">
            <v>0.14000000000000001</v>
          </cell>
          <cell r="G204">
            <v>1.75</v>
          </cell>
        </row>
        <row r="205">
          <cell r="A205" t="str">
            <v>1,03,07</v>
          </cell>
          <cell r="B205" t="str">
            <v>Tarugo plastico verde de 1/4</v>
          </cell>
          <cell r="C205" t="str">
            <v>und</v>
          </cell>
          <cell r="E205">
            <v>12.5</v>
          </cell>
          <cell r="F205">
            <v>0.115</v>
          </cell>
          <cell r="G205">
            <v>1.44</v>
          </cell>
        </row>
        <row r="206">
          <cell r="A206" t="str">
            <v>1,03,07</v>
          </cell>
          <cell r="B206" t="str">
            <v>Tornillo autoroscante de 8x1"</v>
          </cell>
          <cell r="C206" t="str">
            <v>und</v>
          </cell>
          <cell r="E206">
            <v>12.5</v>
          </cell>
          <cell r="F206">
            <v>4.2000000000000003E-2</v>
          </cell>
          <cell r="G206">
            <v>0.53</v>
          </cell>
        </row>
        <row r="207">
          <cell r="A207" t="str">
            <v>1,03,07</v>
          </cell>
          <cell r="B207" t="str">
            <v>Pegamento de 1/4 de galón</v>
          </cell>
          <cell r="C207" t="str">
            <v>und</v>
          </cell>
          <cell r="E207">
            <v>0.01</v>
          </cell>
          <cell r="F207">
            <v>6.3959999999999999</v>
          </cell>
          <cell r="G207">
            <v>0.06</v>
          </cell>
        </row>
        <row r="208">
          <cell r="A208" t="str">
            <v>1,03,07</v>
          </cell>
          <cell r="B208" t="str">
            <v>Mano de obra</v>
          </cell>
          <cell r="G208">
            <v>8.25</v>
          </cell>
        </row>
        <row r="209">
          <cell r="A209" t="str">
            <v>1,03,07</v>
          </cell>
          <cell r="B209" t="str">
            <v>Operario</v>
          </cell>
          <cell r="C209" t="str">
            <v>HH</v>
          </cell>
          <cell r="D209">
            <v>1</v>
          </cell>
          <cell r="E209">
            <v>1.6</v>
          </cell>
          <cell r="F209">
            <v>2.84</v>
          </cell>
          <cell r="G209">
            <v>4.54</v>
          </cell>
          <cell r="H209">
            <v>5</v>
          </cell>
        </row>
        <row r="210">
          <cell r="A210" t="str">
            <v>1,03,07</v>
          </cell>
          <cell r="B210" t="str">
            <v>Peón</v>
          </cell>
          <cell r="C210" t="str">
            <v>HH</v>
          </cell>
          <cell r="D210">
            <v>1</v>
          </cell>
          <cell r="E210">
            <v>1.6</v>
          </cell>
          <cell r="F210">
            <v>2.3199999999999998</v>
          </cell>
          <cell r="G210">
            <v>3.71</v>
          </cell>
          <cell r="H210">
            <v>5</v>
          </cell>
        </row>
        <row r="211">
          <cell r="A211" t="str">
            <v>1,03,07</v>
          </cell>
          <cell r="B211" t="str">
            <v>Equipos</v>
          </cell>
          <cell r="G211">
            <v>1.91</v>
          </cell>
        </row>
        <row r="212">
          <cell r="A212" t="str">
            <v>1,03,07</v>
          </cell>
          <cell r="B212" t="str">
            <v>Escalera</v>
          </cell>
          <cell r="C212" t="str">
            <v>DIA</v>
          </cell>
          <cell r="D212">
            <v>1</v>
          </cell>
          <cell r="E212">
            <v>0.2</v>
          </cell>
          <cell r="F212">
            <v>1</v>
          </cell>
          <cell r="G212">
            <v>0.2</v>
          </cell>
        </row>
        <row r="213">
          <cell r="A213" t="str">
            <v>1,03,07</v>
          </cell>
          <cell r="B213" t="str">
            <v>Taladro Hilti</v>
          </cell>
          <cell r="C213" t="str">
            <v>DIA</v>
          </cell>
          <cell r="D213">
            <v>1</v>
          </cell>
          <cell r="E213">
            <v>0.2</v>
          </cell>
          <cell r="F213">
            <v>6.5</v>
          </cell>
          <cell r="G213">
            <v>1.3</v>
          </cell>
        </row>
        <row r="214">
          <cell r="A214" t="str">
            <v>1,03,07</v>
          </cell>
          <cell r="B214" t="str">
            <v>Desgaste de herramientas</v>
          </cell>
          <cell r="C214" t="str">
            <v>%MO</v>
          </cell>
          <cell r="E214">
            <v>0.05</v>
          </cell>
          <cell r="F214">
            <v>8.25</v>
          </cell>
          <cell r="G214">
            <v>0.41</v>
          </cell>
        </row>
        <row r="215">
          <cell r="A215" t="str">
            <v>1,03,08</v>
          </cell>
          <cell r="B215" t="str">
            <v>Salida para bomba de vacio</v>
          </cell>
          <cell r="F215" t="str">
            <v>( pto )</v>
          </cell>
          <cell r="G215">
            <v>24.419999999999998</v>
          </cell>
        </row>
        <row r="216">
          <cell r="A216" t="str">
            <v>1,03,08</v>
          </cell>
          <cell r="C216" t="str">
            <v>und.</v>
          </cell>
          <cell r="D216" t="str">
            <v>cuad.</v>
          </cell>
          <cell r="E216" t="str">
            <v>cant.</v>
          </cell>
          <cell r="F216" t="str">
            <v>prec. $</v>
          </cell>
          <cell r="G216" t="str">
            <v>parcial $</v>
          </cell>
        </row>
        <row r="217">
          <cell r="A217" t="str">
            <v>1,03,08</v>
          </cell>
          <cell r="B217" t="str">
            <v>Materiales</v>
          </cell>
          <cell r="G217">
            <v>15.95</v>
          </cell>
        </row>
        <row r="218">
          <cell r="A218" t="str">
            <v>1,03,08</v>
          </cell>
          <cell r="B218" t="str">
            <v>Tubería PVC SAP de 20 mm</v>
          </cell>
          <cell r="C218" t="str">
            <v>ml</v>
          </cell>
          <cell r="E218">
            <v>5.33</v>
          </cell>
          <cell r="F218">
            <v>0.41</v>
          </cell>
          <cell r="G218">
            <v>2.19</v>
          </cell>
        </row>
        <row r="219">
          <cell r="A219" t="str">
            <v>1,03,08</v>
          </cell>
          <cell r="B219" t="str">
            <v>Curva PVC SAP de 20 mm</v>
          </cell>
          <cell r="C219" t="str">
            <v>und</v>
          </cell>
          <cell r="E219">
            <v>1.3333333333333333</v>
          </cell>
          <cell r="F219">
            <v>0.59</v>
          </cell>
          <cell r="G219">
            <v>0.79</v>
          </cell>
        </row>
        <row r="220">
          <cell r="A220" t="str">
            <v>1,03,08</v>
          </cell>
          <cell r="B220" t="str">
            <v>Unión PVC SAP de 20 mm</v>
          </cell>
          <cell r="C220" t="str">
            <v>und</v>
          </cell>
          <cell r="E220">
            <v>2.6666666666666665</v>
          </cell>
          <cell r="F220">
            <v>0.25</v>
          </cell>
          <cell r="G220">
            <v>0.67</v>
          </cell>
        </row>
        <row r="221">
          <cell r="A221" t="str">
            <v>1,03,08</v>
          </cell>
          <cell r="B221" t="str">
            <v>Conexión PVC SAP de 20 mm</v>
          </cell>
          <cell r="C221" t="str">
            <v>und</v>
          </cell>
          <cell r="E221">
            <v>2.6666666666666665</v>
          </cell>
          <cell r="F221">
            <v>0.17399999999999999</v>
          </cell>
          <cell r="G221">
            <v>0.46</v>
          </cell>
        </row>
        <row r="222">
          <cell r="A222" t="str">
            <v>1,03,08</v>
          </cell>
          <cell r="B222" t="str">
            <v>Caja rectangular de 100x50 mm</v>
          </cell>
          <cell r="C222" t="str">
            <v>und</v>
          </cell>
          <cell r="E222">
            <v>1</v>
          </cell>
          <cell r="F222">
            <v>0.78</v>
          </cell>
          <cell r="G222">
            <v>0.78</v>
          </cell>
        </row>
        <row r="223">
          <cell r="A223" t="str">
            <v>1,03,08</v>
          </cell>
          <cell r="B223" t="str">
            <v>Conductor de 4mm2 THW</v>
          </cell>
          <cell r="C223" t="str">
            <v>ml</v>
          </cell>
          <cell r="E223">
            <v>30</v>
          </cell>
          <cell r="F223">
            <v>0.32</v>
          </cell>
          <cell r="G223">
            <v>9.6</v>
          </cell>
        </row>
        <row r="224">
          <cell r="A224" t="str">
            <v>1,03,08</v>
          </cell>
          <cell r="B224" t="str">
            <v>Abrazadera de 20 mm</v>
          </cell>
          <cell r="C224" t="str">
            <v>und</v>
          </cell>
          <cell r="E224">
            <v>4.333333333333333</v>
          </cell>
          <cell r="F224">
            <v>0.14000000000000001</v>
          </cell>
          <cell r="G224">
            <v>0.61</v>
          </cell>
        </row>
        <row r="225">
          <cell r="A225" t="str">
            <v>1,03,08</v>
          </cell>
          <cell r="B225" t="str">
            <v>Tarugo plastico verde de 1/4</v>
          </cell>
          <cell r="C225" t="str">
            <v>und</v>
          </cell>
          <cell r="E225">
            <v>4.333333333333333</v>
          </cell>
          <cell r="F225">
            <v>0.115</v>
          </cell>
          <cell r="G225">
            <v>0.5</v>
          </cell>
        </row>
        <row r="226">
          <cell r="A226" t="str">
            <v>1,03,08</v>
          </cell>
          <cell r="B226" t="str">
            <v>Tornillo autoroscante de 8x1"</v>
          </cell>
          <cell r="C226" t="str">
            <v>und</v>
          </cell>
          <cell r="E226">
            <v>4.333333333333333</v>
          </cell>
          <cell r="F226">
            <v>4.2000000000000003E-2</v>
          </cell>
          <cell r="G226">
            <v>0.18</v>
          </cell>
        </row>
        <row r="227">
          <cell r="A227" t="str">
            <v>1,03,08</v>
          </cell>
          <cell r="B227" t="str">
            <v>Tornillo autoroscante de8x1/2"</v>
          </cell>
          <cell r="C227" t="str">
            <v>und</v>
          </cell>
          <cell r="E227">
            <v>2.6666666666666665</v>
          </cell>
          <cell r="F227">
            <v>4.2000000000000003E-2</v>
          </cell>
          <cell r="G227">
            <v>0.11</v>
          </cell>
        </row>
        <row r="228">
          <cell r="A228" t="str">
            <v>1,03,08</v>
          </cell>
          <cell r="B228" t="str">
            <v>Pegamento de 1/4 de galón</v>
          </cell>
          <cell r="C228" t="str">
            <v>und</v>
          </cell>
          <cell r="E228">
            <v>0.01</v>
          </cell>
          <cell r="F228">
            <v>6.3959999999999999</v>
          </cell>
          <cell r="G228">
            <v>0.06</v>
          </cell>
        </row>
        <row r="229">
          <cell r="A229" t="str">
            <v>1,03,08</v>
          </cell>
          <cell r="B229" t="str">
            <v>Mano de obra</v>
          </cell>
          <cell r="G229">
            <v>6.88</v>
          </cell>
        </row>
        <row r="230">
          <cell r="A230" t="str">
            <v>1,03,08</v>
          </cell>
          <cell r="B230" t="str">
            <v>Operario</v>
          </cell>
          <cell r="C230" t="str">
            <v>HH</v>
          </cell>
          <cell r="D230">
            <v>1</v>
          </cell>
          <cell r="E230">
            <v>1.3333333333333333</v>
          </cell>
          <cell r="F230">
            <v>2.84</v>
          </cell>
          <cell r="G230">
            <v>3.79</v>
          </cell>
          <cell r="H230">
            <v>6</v>
          </cell>
        </row>
        <row r="231">
          <cell r="A231" t="str">
            <v>1,03,08</v>
          </cell>
          <cell r="B231" t="str">
            <v>Peón</v>
          </cell>
          <cell r="C231" t="str">
            <v>HH</v>
          </cell>
          <cell r="D231">
            <v>1</v>
          </cell>
          <cell r="E231">
            <v>1.3333333333333333</v>
          </cell>
          <cell r="F231">
            <v>2.3199999999999998</v>
          </cell>
          <cell r="G231">
            <v>3.09</v>
          </cell>
          <cell r="H231">
            <v>6</v>
          </cell>
        </row>
        <row r="232">
          <cell r="A232" t="str">
            <v>1,03,08</v>
          </cell>
          <cell r="B232" t="str">
            <v>Equipos</v>
          </cell>
          <cell r="G232">
            <v>1.59</v>
          </cell>
        </row>
        <row r="233">
          <cell r="A233" t="str">
            <v>1,03,08</v>
          </cell>
          <cell r="B233" t="str">
            <v>Escalera</v>
          </cell>
          <cell r="C233" t="str">
            <v>DIA</v>
          </cell>
          <cell r="D233">
            <v>1</v>
          </cell>
          <cell r="E233">
            <v>0.16666666666666666</v>
          </cell>
          <cell r="F233">
            <v>1</v>
          </cell>
          <cell r="G233">
            <v>0.17</v>
          </cell>
        </row>
        <row r="234">
          <cell r="A234" t="str">
            <v>1,03,08</v>
          </cell>
          <cell r="B234" t="str">
            <v>Taladro Hilti</v>
          </cell>
          <cell r="C234" t="str">
            <v>DIA</v>
          </cell>
          <cell r="D234">
            <v>1</v>
          </cell>
          <cell r="E234">
            <v>0.16666666666666666</v>
          </cell>
          <cell r="F234">
            <v>6.5</v>
          </cell>
          <cell r="G234">
            <v>1.08</v>
          </cell>
        </row>
        <row r="235">
          <cell r="A235" t="str">
            <v>1,03,08</v>
          </cell>
          <cell r="B235" t="str">
            <v>Desgaste de herramientas</v>
          </cell>
          <cell r="C235" t="str">
            <v>%MO</v>
          </cell>
          <cell r="E235">
            <v>0.05</v>
          </cell>
          <cell r="F235">
            <v>6.88</v>
          </cell>
          <cell r="G235">
            <v>0.34</v>
          </cell>
        </row>
        <row r="236">
          <cell r="A236" t="str">
            <v>1,03,09</v>
          </cell>
          <cell r="B236" t="str">
            <v>Salida para estufa</v>
          </cell>
          <cell r="F236" t="str">
            <v>( pto )</v>
          </cell>
          <cell r="G236">
            <v>37.730000000000004</v>
          </cell>
        </row>
        <row r="237">
          <cell r="A237" t="str">
            <v>1,03,09</v>
          </cell>
          <cell r="C237" t="str">
            <v>und.</v>
          </cell>
          <cell r="D237" t="str">
            <v>cuad.</v>
          </cell>
          <cell r="E237" t="str">
            <v>cant.</v>
          </cell>
          <cell r="F237" t="str">
            <v>prec. $</v>
          </cell>
          <cell r="G237" t="str">
            <v>parcial $</v>
          </cell>
        </row>
        <row r="238">
          <cell r="A238" t="str">
            <v>1,03,09</v>
          </cell>
          <cell r="B238" t="str">
            <v>Materiales</v>
          </cell>
          <cell r="G238">
            <v>29.259999999999998</v>
          </cell>
        </row>
        <row r="239">
          <cell r="A239" t="str">
            <v>1,03,09</v>
          </cell>
          <cell r="B239" t="str">
            <v>Tubería PVC SAP de 20 mm</v>
          </cell>
          <cell r="C239" t="str">
            <v>ml</v>
          </cell>
          <cell r="E239">
            <v>5</v>
          </cell>
          <cell r="F239">
            <v>0.41</v>
          </cell>
          <cell r="G239">
            <v>2.0499999999999998</v>
          </cell>
        </row>
        <row r="240">
          <cell r="A240" t="str">
            <v>1,03,09</v>
          </cell>
          <cell r="B240" t="str">
            <v>Curva PVC SAP de 20 mm</v>
          </cell>
          <cell r="C240" t="str">
            <v>und</v>
          </cell>
          <cell r="E240">
            <v>3</v>
          </cell>
          <cell r="F240">
            <v>0.59</v>
          </cell>
          <cell r="G240">
            <v>1.77</v>
          </cell>
        </row>
        <row r="241">
          <cell r="A241" t="str">
            <v>1,03,09</v>
          </cell>
          <cell r="B241" t="str">
            <v>Unión PVC SAP de 20 mm</v>
          </cell>
          <cell r="C241" t="str">
            <v>und</v>
          </cell>
          <cell r="E241">
            <v>3</v>
          </cell>
          <cell r="F241">
            <v>0.25</v>
          </cell>
          <cell r="G241">
            <v>0.75</v>
          </cell>
        </row>
        <row r="242">
          <cell r="A242" t="str">
            <v>1,03,09</v>
          </cell>
          <cell r="B242" t="str">
            <v>Conexión PVC SAP de 20 mm</v>
          </cell>
          <cell r="C242" t="str">
            <v>und</v>
          </cell>
          <cell r="E242">
            <v>3</v>
          </cell>
          <cell r="F242">
            <v>0.17399999999999999</v>
          </cell>
          <cell r="G242">
            <v>0.52</v>
          </cell>
        </row>
        <row r="243">
          <cell r="A243" t="str">
            <v>1,03,09</v>
          </cell>
          <cell r="B243" t="str">
            <v>Caja rectangular de 100x50 mm</v>
          </cell>
          <cell r="C243" t="str">
            <v>und</v>
          </cell>
          <cell r="E243">
            <v>1</v>
          </cell>
          <cell r="F243">
            <v>0.78</v>
          </cell>
          <cell r="G243">
            <v>0.78</v>
          </cell>
        </row>
        <row r="244">
          <cell r="A244" t="str">
            <v>1,03,09</v>
          </cell>
          <cell r="B244" t="str">
            <v>Conductor de 4mm2 THW</v>
          </cell>
          <cell r="C244" t="str">
            <v>ml</v>
          </cell>
          <cell r="E244">
            <v>68</v>
          </cell>
          <cell r="F244">
            <v>0.32</v>
          </cell>
          <cell r="G244">
            <v>21.76</v>
          </cell>
        </row>
        <row r="245">
          <cell r="A245" t="str">
            <v>1,03,09</v>
          </cell>
          <cell r="B245" t="str">
            <v>Abrazadera de 20 mm</v>
          </cell>
          <cell r="C245" t="str">
            <v>und</v>
          </cell>
          <cell r="E245">
            <v>5</v>
          </cell>
          <cell r="F245">
            <v>0.14000000000000001</v>
          </cell>
          <cell r="G245">
            <v>0.7</v>
          </cell>
        </row>
        <row r="246">
          <cell r="A246" t="str">
            <v>1,03,09</v>
          </cell>
          <cell r="B246" t="str">
            <v>Tarugo plastico verde de 1/4</v>
          </cell>
          <cell r="C246" t="str">
            <v>und</v>
          </cell>
          <cell r="E246">
            <v>5</v>
          </cell>
          <cell r="F246">
            <v>0.115</v>
          </cell>
          <cell r="G246">
            <v>0.57999999999999996</v>
          </cell>
        </row>
        <row r="247">
          <cell r="A247" t="str">
            <v>1,03,09</v>
          </cell>
          <cell r="B247" t="str">
            <v>Tornillo autoroscante de 8x1"</v>
          </cell>
          <cell r="C247" t="str">
            <v>und</v>
          </cell>
          <cell r="E247">
            <v>5</v>
          </cell>
          <cell r="F247">
            <v>4.2000000000000003E-2</v>
          </cell>
          <cell r="G247">
            <v>0.21</v>
          </cell>
        </row>
        <row r="248">
          <cell r="A248" t="str">
            <v>1,03,09</v>
          </cell>
          <cell r="B248" t="str">
            <v>Tornillo autoroscante de8x1/2"</v>
          </cell>
          <cell r="C248" t="str">
            <v>und</v>
          </cell>
          <cell r="E248">
            <v>2</v>
          </cell>
          <cell r="F248">
            <v>4.2000000000000003E-2</v>
          </cell>
          <cell r="G248">
            <v>0.08</v>
          </cell>
        </row>
        <row r="249">
          <cell r="A249" t="str">
            <v>1,03,09</v>
          </cell>
          <cell r="B249" t="str">
            <v>Pegamento de 1/4 de galón</v>
          </cell>
          <cell r="C249" t="str">
            <v>und</v>
          </cell>
          <cell r="E249">
            <v>0.01</v>
          </cell>
          <cell r="F249">
            <v>6.3959999999999999</v>
          </cell>
          <cell r="G249">
            <v>0.06</v>
          </cell>
        </row>
        <row r="250">
          <cell r="A250" t="str">
            <v>1,03,09</v>
          </cell>
          <cell r="B250" t="str">
            <v>Mano de obra</v>
          </cell>
          <cell r="G250">
            <v>6.88</v>
          </cell>
        </row>
        <row r="251">
          <cell r="A251" t="str">
            <v>1,03,09</v>
          </cell>
          <cell r="B251" t="str">
            <v>Operario</v>
          </cell>
          <cell r="C251" t="str">
            <v>HH</v>
          </cell>
          <cell r="D251">
            <v>1</v>
          </cell>
          <cell r="E251">
            <v>1.3333333333333333</v>
          </cell>
          <cell r="F251">
            <v>2.84</v>
          </cell>
          <cell r="G251">
            <v>3.79</v>
          </cell>
          <cell r="H251">
            <v>6</v>
          </cell>
        </row>
        <row r="252">
          <cell r="A252" t="str">
            <v>1,03,09</v>
          </cell>
          <cell r="B252" t="str">
            <v>Peón</v>
          </cell>
          <cell r="C252" t="str">
            <v>HH</v>
          </cell>
          <cell r="D252">
            <v>1</v>
          </cell>
          <cell r="E252">
            <v>1.3333333333333333</v>
          </cell>
          <cell r="F252">
            <v>2.3199999999999998</v>
          </cell>
          <cell r="G252">
            <v>3.09</v>
          </cell>
          <cell r="H252">
            <v>6</v>
          </cell>
        </row>
        <row r="253">
          <cell r="A253" t="str">
            <v>1,03,09</v>
          </cell>
          <cell r="B253" t="str">
            <v>Equipos</v>
          </cell>
          <cell r="G253">
            <v>1.59</v>
          </cell>
        </row>
        <row r="254">
          <cell r="A254" t="str">
            <v>1,03,09</v>
          </cell>
          <cell r="B254" t="str">
            <v>Escalera</v>
          </cell>
          <cell r="C254" t="str">
            <v>DIA</v>
          </cell>
          <cell r="D254">
            <v>1</v>
          </cell>
          <cell r="E254">
            <v>0.16666666666666666</v>
          </cell>
          <cell r="F254">
            <v>1</v>
          </cell>
          <cell r="G254">
            <v>0.17</v>
          </cell>
        </row>
        <row r="255">
          <cell r="A255" t="str">
            <v>1,03,09</v>
          </cell>
          <cell r="B255" t="str">
            <v>Taladro Hilti</v>
          </cell>
          <cell r="C255" t="str">
            <v>DIA</v>
          </cell>
          <cell r="D255">
            <v>1</v>
          </cell>
          <cell r="E255">
            <v>0.16666666666666666</v>
          </cell>
          <cell r="F255">
            <v>6.5</v>
          </cell>
          <cell r="G255">
            <v>1.08</v>
          </cell>
        </row>
        <row r="256">
          <cell r="A256" t="str">
            <v>1,03,09</v>
          </cell>
          <cell r="B256" t="str">
            <v>Desgaste de herramientas</v>
          </cell>
          <cell r="C256" t="str">
            <v>%MO</v>
          </cell>
          <cell r="E256">
            <v>0.05</v>
          </cell>
          <cell r="F256">
            <v>6.88</v>
          </cell>
          <cell r="G256">
            <v>0.34</v>
          </cell>
        </row>
        <row r="257">
          <cell r="A257" t="str">
            <v>1,03,10</v>
          </cell>
          <cell r="B257" t="str">
            <v>Salida para aspiradora y secadora</v>
          </cell>
          <cell r="F257" t="str">
            <v>( pto )</v>
          </cell>
          <cell r="G257">
            <v>29.23</v>
          </cell>
        </row>
        <row r="258">
          <cell r="A258" t="str">
            <v>1,03,10</v>
          </cell>
          <cell r="C258" t="str">
            <v>und.</v>
          </cell>
          <cell r="D258" t="str">
            <v>cuad.</v>
          </cell>
          <cell r="E258" t="str">
            <v>cant.</v>
          </cell>
          <cell r="F258" t="str">
            <v>prec. $</v>
          </cell>
          <cell r="G258" t="str">
            <v>parcial $</v>
          </cell>
        </row>
        <row r="259">
          <cell r="A259" t="str">
            <v>1,03,10</v>
          </cell>
          <cell r="B259" t="str">
            <v>Materiales</v>
          </cell>
          <cell r="G259">
            <v>20.76</v>
          </cell>
        </row>
        <row r="260">
          <cell r="A260" t="str">
            <v>1,03,10</v>
          </cell>
          <cell r="B260" t="str">
            <v>Tubería PVC SAP de 20 mm</v>
          </cell>
          <cell r="C260" t="str">
            <v>ml</v>
          </cell>
          <cell r="E260">
            <v>6.25</v>
          </cell>
          <cell r="F260">
            <v>0.41</v>
          </cell>
          <cell r="G260">
            <v>2.56</v>
          </cell>
        </row>
        <row r="261">
          <cell r="A261" t="str">
            <v>1,03,10</v>
          </cell>
          <cell r="B261" t="str">
            <v>Curva PVC SAP de 20 mm</v>
          </cell>
          <cell r="C261" t="str">
            <v>und</v>
          </cell>
          <cell r="E261">
            <v>2</v>
          </cell>
          <cell r="F261">
            <v>0.59</v>
          </cell>
          <cell r="G261">
            <v>1.18</v>
          </cell>
        </row>
        <row r="262">
          <cell r="A262" t="str">
            <v>1,03,10</v>
          </cell>
          <cell r="B262" t="str">
            <v>Unión PVC SAP de 20 mm</v>
          </cell>
          <cell r="C262" t="str">
            <v>und</v>
          </cell>
          <cell r="E262">
            <v>3</v>
          </cell>
          <cell r="F262">
            <v>0.25</v>
          </cell>
          <cell r="G262">
            <v>0.75</v>
          </cell>
        </row>
        <row r="263">
          <cell r="A263" t="str">
            <v>1,03,10</v>
          </cell>
          <cell r="B263" t="str">
            <v>Conexión PVC SAP de 20 mm</v>
          </cell>
          <cell r="C263" t="str">
            <v>und</v>
          </cell>
          <cell r="E263">
            <v>3</v>
          </cell>
          <cell r="F263">
            <v>0.17399999999999999</v>
          </cell>
          <cell r="G263">
            <v>0.52</v>
          </cell>
        </row>
        <row r="264">
          <cell r="A264" t="str">
            <v>1,03,10</v>
          </cell>
          <cell r="B264" t="str">
            <v>Caja rectangular de 100x50 mm</v>
          </cell>
          <cell r="C264" t="str">
            <v>und</v>
          </cell>
          <cell r="E264">
            <v>1</v>
          </cell>
          <cell r="F264">
            <v>0.78</v>
          </cell>
          <cell r="G264">
            <v>0.78</v>
          </cell>
        </row>
        <row r="265">
          <cell r="A265" t="str">
            <v>1,03,10</v>
          </cell>
          <cell r="B265" t="str">
            <v>Conductor de 4mm2 THW</v>
          </cell>
          <cell r="C265" t="str">
            <v>ml</v>
          </cell>
          <cell r="E265">
            <v>40.5</v>
          </cell>
          <cell r="F265">
            <v>0.32</v>
          </cell>
          <cell r="G265">
            <v>12.96</v>
          </cell>
        </row>
        <row r="266">
          <cell r="A266" t="str">
            <v>1,03,10</v>
          </cell>
          <cell r="B266" t="str">
            <v>Abrazadera de 20 mm</v>
          </cell>
          <cell r="C266" t="str">
            <v>und</v>
          </cell>
          <cell r="E266">
            <v>6</v>
          </cell>
          <cell r="F266">
            <v>0.14000000000000001</v>
          </cell>
          <cell r="G266">
            <v>0.84</v>
          </cell>
        </row>
        <row r="267">
          <cell r="A267" t="str">
            <v>1,03,10</v>
          </cell>
          <cell r="B267" t="str">
            <v>Tarugo plastico verde de 1/4</v>
          </cell>
          <cell r="C267" t="str">
            <v>und</v>
          </cell>
          <cell r="E267">
            <v>6</v>
          </cell>
          <cell r="F267">
            <v>0.115</v>
          </cell>
          <cell r="G267">
            <v>0.69</v>
          </cell>
        </row>
        <row r="268">
          <cell r="A268" t="str">
            <v>1,03,10</v>
          </cell>
          <cell r="B268" t="str">
            <v>Tornillo autoroscante de 8x1"</v>
          </cell>
          <cell r="C268" t="str">
            <v>und</v>
          </cell>
          <cell r="E268">
            <v>6</v>
          </cell>
          <cell r="F268">
            <v>4.2000000000000003E-2</v>
          </cell>
          <cell r="G268">
            <v>0.25</v>
          </cell>
        </row>
        <row r="269">
          <cell r="A269" t="str">
            <v>1,03,10</v>
          </cell>
          <cell r="B269" t="str">
            <v>Tornillo autoroscante de8x1/2"</v>
          </cell>
          <cell r="C269" t="str">
            <v>und</v>
          </cell>
          <cell r="E269">
            <v>4</v>
          </cell>
          <cell r="F269">
            <v>4.2000000000000003E-2</v>
          </cell>
          <cell r="G269">
            <v>0.17</v>
          </cell>
        </row>
        <row r="270">
          <cell r="A270" t="str">
            <v>1,03,10</v>
          </cell>
          <cell r="B270" t="str">
            <v>Pegamento de 1/4 de galón</v>
          </cell>
          <cell r="C270" t="str">
            <v>und</v>
          </cell>
          <cell r="E270">
            <v>0.01</v>
          </cell>
          <cell r="F270">
            <v>6.3959999999999999</v>
          </cell>
          <cell r="G270">
            <v>0.06</v>
          </cell>
        </row>
        <row r="271">
          <cell r="A271" t="str">
            <v>1,03,10</v>
          </cell>
          <cell r="B271" t="str">
            <v>Mano de obra</v>
          </cell>
          <cell r="G271">
            <v>6.88</v>
          </cell>
        </row>
        <row r="272">
          <cell r="A272" t="str">
            <v>1,03,10</v>
          </cell>
          <cell r="B272" t="str">
            <v>Operario</v>
          </cell>
          <cell r="C272" t="str">
            <v>HH</v>
          </cell>
          <cell r="D272">
            <v>1</v>
          </cell>
          <cell r="E272">
            <v>1.3333333333333333</v>
          </cell>
          <cell r="F272">
            <v>2.84</v>
          </cell>
          <cell r="G272">
            <v>3.79</v>
          </cell>
          <cell r="H272">
            <v>6</v>
          </cell>
        </row>
        <row r="273">
          <cell r="A273" t="str">
            <v>1,03,10</v>
          </cell>
          <cell r="B273" t="str">
            <v>Peón</v>
          </cell>
          <cell r="C273" t="str">
            <v>HH</v>
          </cell>
          <cell r="D273">
            <v>1</v>
          </cell>
          <cell r="E273">
            <v>1.3333333333333333</v>
          </cell>
          <cell r="F273">
            <v>2.3199999999999998</v>
          </cell>
          <cell r="G273">
            <v>3.09</v>
          </cell>
          <cell r="H273">
            <v>6</v>
          </cell>
        </row>
        <row r="274">
          <cell r="A274" t="str">
            <v>1,03,10</v>
          </cell>
          <cell r="B274" t="str">
            <v>Equipos</v>
          </cell>
          <cell r="G274">
            <v>1.59</v>
          </cell>
        </row>
        <row r="275">
          <cell r="A275" t="str">
            <v>1,03,10</v>
          </cell>
          <cell r="B275" t="str">
            <v>Escalera</v>
          </cell>
          <cell r="C275" t="str">
            <v>DIA</v>
          </cell>
          <cell r="D275">
            <v>1</v>
          </cell>
          <cell r="E275">
            <v>0.16666666666666666</v>
          </cell>
          <cell r="F275">
            <v>1</v>
          </cell>
          <cell r="G275">
            <v>0.17</v>
          </cell>
        </row>
        <row r="276">
          <cell r="A276" t="str">
            <v>1,03,10</v>
          </cell>
          <cell r="B276" t="str">
            <v>Taladro Hilti</v>
          </cell>
          <cell r="C276" t="str">
            <v>DIA</v>
          </cell>
          <cell r="D276">
            <v>1</v>
          </cell>
          <cell r="E276">
            <v>0.16666666666666666</v>
          </cell>
          <cell r="F276">
            <v>6.5</v>
          </cell>
          <cell r="G276">
            <v>1.08</v>
          </cell>
        </row>
        <row r="277">
          <cell r="A277" t="str">
            <v>1,03,10</v>
          </cell>
          <cell r="B277" t="str">
            <v>Desgaste de herramientas</v>
          </cell>
          <cell r="C277" t="str">
            <v>%MO</v>
          </cell>
          <cell r="E277">
            <v>0.05</v>
          </cell>
          <cell r="F277">
            <v>6.88</v>
          </cell>
          <cell r="G277">
            <v>0.34</v>
          </cell>
        </row>
        <row r="278">
          <cell r="A278" t="str">
            <v>1,03,11</v>
          </cell>
          <cell r="B278" t="str">
            <v>Salida para tunel</v>
          </cell>
          <cell r="F278" t="str">
            <v>( pto )</v>
          </cell>
          <cell r="G278">
            <v>79.38</v>
          </cell>
        </row>
        <row r="279">
          <cell r="A279" t="str">
            <v>1,03,11</v>
          </cell>
          <cell r="C279" t="str">
            <v>und.</v>
          </cell>
          <cell r="D279" t="str">
            <v>cuad.</v>
          </cell>
          <cell r="E279" t="str">
            <v>cant.</v>
          </cell>
          <cell r="F279" t="str">
            <v>prec. $</v>
          </cell>
          <cell r="G279" t="str">
            <v>parcial $</v>
          </cell>
        </row>
        <row r="280">
          <cell r="A280" t="str">
            <v>1,03,11</v>
          </cell>
          <cell r="B280" t="str">
            <v>Materiales</v>
          </cell>
          <cell r="G280">
            <v>69.22</v>
          </cell>
        </row>
        <row r="281">
          <cell r="A281" t="str">
            <v>1,03,11</v>
          </cell>
          <cell r="B281" t="str">
            <v>Tubería PVC SAP de 25 mm</v>
          </cell>
          <cell r="C281" t="str">
            <v>ml</v>
          </cell>
          <cell r="E281">
            <v>6.3</v>
          </cell>
          <cell r="F281">
            <v>0.52</v>
          </cell>
          <cell r="G281">
            <v>3.28</v>
          </cell>
        </row>
        <row r="282">
          <cell r="A282" t="str">
            <v>1,03,11</v>
          </cell>
          <cell r="B282" t="str">
            <v>Curva PVC SAP de 25 mm</v>
          </cell>
          <cell r="C282" t="str">
            <v>und</v>
          </cell>
          <cell r="E282">
            <v>2</v>
          </cell>
          <cell r="F282">
            <v>0.89</v>
          </cell>
          <cell r="G282">
            <v>1.78</v>
          </cell>
        </row>
        <row r="283">
          <cell r="A283" t="str">
            <v>1,03,11</v>
          </cell>
          <cell r="B283" t="str">
            <v>Unión PVC SAP de 25 mm</v>
          </cell>
          <cell r="C283" t="str">
            <v>und</v>
          </cell>
          <cell r="E283">
            <v>4</v>
          </cell>
          <cell r="F283">
            <v>0.34</v>
          </cell>
          <cell r="G283">
            <v>1.36</v>
          </cell>
        </row>
        <row r="284">
          <cell r="A284" t="str">
            <v>1,03,11</v>
          </cell>
          <cell r="B284" t="str">
            <v>Conexión PVC SAP de 25 mm</v>
          </cell>
          <cell r="C284" t="str">
            <v>und</v>
          </cell>
          <cell r="E284">
            <v>4</v>
          </cell>
          <cell r="F284">
            <v>0.2</v>
          </cell>
          <cell r="G284">
            <v>0.8</v>
          </cell>
        </row>
        <row r="285">
          <cell r="A285" t="str">
            <v>1,03,11</v>
          </cell>
          <cell r="B285" t="str">
            <v>Caja cuadrada de 100x100x50 mm</v>
          </cell>
          <cell r="C285" t="str">
            <v>und</v>
          </cell>
          <cell r="E285">
            <v>1</v>
          </cell>
          <cell r="F285">
            <v>1.72</v>
          </cell>
          <cell r="G285">
            <v>1.72</v>
          </cell>
        </row>
        <row r="286">
          <cell r="A286" t="str">
            <v>1,03,11</v>
          </cell>
          <cell r="B286" t="str">
            <v>Conductor de 6mm2 THW</v>
          </cell>
          <cell r="C286" t="str">
            <v>ml</v>
          </cell>
          <cell r="E286">
            <v>89.5</v>
          </cell>
          <cell r="F286">
            <v>0.64800000000000002</v>
          </cell>
          <cell r="G286">
            <v>58</v>
          </cell>
        </row>
        <row r="287">
          <cell r="A287" t="str">
            <v>1,03,11</v>
          </cell>
          <cell r="B287" t="str">
            <v>Abrazadera de 25 mm</v>
          </cell>
          <cell r="C287" t="str">
            <v>und</v>
          </cell>
          <cell r="E287">
            <v>6</v>
          </cell>
          <cell r="F287">
            <v>0.2</v>
          </cell>
          <cell r="G287">
            <v>1.2</v>
          </cell>
        </row>
        <row r="288">
          <cell r="A288" t="str">
            <v>1,03,11</v>
          </cell>
          <cell r="B288" t="str">
            <v>Tarugo plastico verde de 1/4</v>
          </cell>
          <cell r="C288" t="str">
            <v>und</v>
          </cell>
          <cell r="E288">
            <v>6</v>
          </cell>
          <cell r="F288">
            <v>0.115</v>
          </cell>
          <cell r="G288">
            <v>0.69</v>
          </cell>
        </row>
        <row r="289">
          <cell r="A289" t="str">
            <v>1,03,11</v>
          </cell>
          <cell r="B289" t="str">
            <v>Tornillo autoroscante de 8x1"</v>
          </cell>
          <cell r="C289" t="str">
            <v>und</v>
          </cell>
          <cell r="E289">
            <v>6</v>
          </cell>
          <cell r="F289">
            <v>4.2000000000000003E-2</v>
          </cell>
          <cell r="G289">
            <v>0.25</v>
          </cell>
        </row>
        <row r="290">
          <cell r="A290" t="str">
            <v>1,03,11</v>
          </cell>
          <cell r="B290" t="str">
            <v>Tornillo autoroscante de8x1/2"</v>
          </cell>
          <cell r="C290" t="str">
            <v>und</v>
          </cell>
          <cell r="E290">
            <v>2</v>
          </cell>
          <cell r="F290">
            <v>4.2000000000000003E-2</v>
          </cell>
          <cell r="G290">
            <v>0.08</v>
          </cell>
        </row>
        <row r="291">
          <cell r="A291" t="str">
            <v>1,03,11</v>
          </cell>
          <cell r="B291" t="str">
            <v>Pegamento de 1/4 de galón</v>
          </cell>
          <cell r="C291" t="str">
            <v>und</v>
          </cell>
          <cell r="E291">
            <v>0.01</v>
          </cell>
          <cell r="F291">
            <v>6.3959999999999999</v>
          </cell>
          <cell r="G291">
            <v>0.06</v>
          </cell>
        </row>
        <row r="292">
          <cell r="A292" t="str">
            <v>1,03,11</v>
          </cell>
          <cell r="B292" t="str">
            <v>Mano de obra</v>
          </cell>
          <cell r="G292">
            <v>8.25</v>
          </cell>
        </row>
        <row r="293">
          <cell r="A293" t="str">
            <v>1,03,11</v>
          </cell>
          <cell r="B293" t="str">
            <v>Operario</v>
          </cell>
          <cell r="C293" t="str">
            <v>HH</v>
          </cell>
          <cell r="D293">
            <v>1</v>
          </cell>
          <cell r="E293">
            <v>1.6</v>
          </cell>
          <cell r="F293">
            <v>2.84</v>
          </cell>
          <cell r="G293">
            <v>4.54</v>
          </cell>
          <cell r="H293">
            <v>5</v>
          </cell>
        </row>
        <row r="294">
          <cell r="A294" t="str">
            <v>1,03,11</v>
          </cell>
          <cell r="B294" t="str">
            <v>Peón</v>
          </cell>
          <cell r="C294" t="str">
            <v>HH</v>
          </cell>
          <cell r="D294">
            <v>1</v>
          </cell>
          <cell r="E294">
            <v>1.6</v>
          </cell>
          <cell r="F294">
            <v>2.3199999999999998</v>
          </cell>
          <cell r="G294">
            <v>3.71</v>
          </cell>
          <cell r="H294">
            <v>5</v>
          </cell>
        </row>
        <row r="295">
          <cell r="A295" t="str">
            <v>1,03,11</v>
          </cell>
          <cell r="B295" t="str">
            <v>Equipos</v>
          </cell>
          <cell r="G295">
            <v>1.91</v>
          </cell>
        </row>
        <row r="296">
          <cell r="A296" t="str">
            <v>1,03,11</v>
          </cell>
          <cell r="B296" t="str">
            <v>Escalera</v>
          </cell>
          <cell r="C296" t="str">
            <v>DIA</v>
          </cell>
          <cell r="D296">
            <v>1</v>
          </cell>
          <cell r="E296">
            <v>0.2</v>
          </cell>
          <cell r="F296">
            <v>1</v>
          </cell>
          <cell r="G296">
            <v>0.2</v>
          </cell>
        </row>
        <row r="297">
          <cell r="A297" t="str">
            <v>1,03,11</v>
          </cell>
          <cell r="B297" t="str">
            <v>Taladro Hilti</v>
          </cell>
          <cell r="C297" t="str">
            <v>DIA</v>
          </cell>
          <cell r="D297">
            <v>1</v>
          </cell>
          <cell r="E297">
            <v>0.2</v>
          </cell>
          <cell r="F297">
            <v>6.5</v>
          </cell>
          <cell r="G297">
            <v>1.3</v>
          </cell>
        </row>
        <row r="298">
          <cell r="A298" t="str">
            <v>1,03,11</v>
          </cell>
          <cell r="B298" t="str">
            <v>Desgaste de herramientas</v>
          </cell>
          <cell r="C298" t="str">
            <v>%MO</v>
          </cell>
          <cell r="E298">
            <v>0.05</v>
          </cell>
          <cell r="F298">
            <v>8.25</v>
          </cell>
          <cell r="G298">
            <v>0.41</v>
          </cell>
        </row>
        <row r="299">
          <cell r="A299" t="str">
            <v>1,03,12</v>
          </cell>
          <cell r="B299" t="str">
            <v>Salida para selladora</v>
          </cell>
          <cell r="F299" t="str">
            <v>( pto )</v>
          </cell>
          <cell r="G299">
            <v>38.200000000000003</v>
          </cell>
        </row>
        <row r="300">
          <cell r="A300" t="str">
            <v>1,03,12</v>
          </cell>
          <cell r="C300" t="str">
            <v>und.</v>
          </cell>
          <cell r="D300" t="str">
            <v>cuad.</v>
          </cell>
          <cell r="E300" t="str">
            <v>cant.</v>
          </cell>
          <cell r="F300" t="str">
            <v>prec. $</v>
          </cell>
          <cell r="G300" t="str">
            <v>parcial $</v>
          </cell>
        </row>
        <row r="301">
          <cell r="A301" t="str">
            <v>1,03,12</v>
          </cell>
          <cell r="B301" t="str">
            <v>Materiales</v>
          </cell>
          <cell r="G301">
            <v>29.73</v>
          </cell>
        </row>
        <row r="302">
          <cell r="A302" t="str">
            <v>1,03,12</v>
          </cell>
          <cell r="B302" t="str">
            <v>Tubería PVC SAP de 20 mm</v>
          </cell>
          <cell r="C302" t="str">
            <v>ml</v>
          </cell>
          <cell r="E302">
            <v>8.5</v>
          </cell>
          <cell r="F302">
            <v>0.41</v>
          </cell>
          <cell r="G302">
            <v>3.49</v>
          </cell>
        </row>
        <row r="303">
          <cell r="A303" t="str">
            <v>1,03,12</v>
          </cell>
          <cell r="B303" t="str">
            <v>Curva PVC SAP de 20 mm</v>
          </cell>
          <cell r="C303" t="str">
            <v>und</v>
          </cell>
          <cell r="E303">
            <v>4</v>
          </cell>
          <cell r="F303">
            <v>0.59</v>
          </cell>
          <cell r="G303">
            <v>2.36</v>
          </cell>
        </row>
        <row r="304">
          <cell r="A304" t="str">
            <v>1,03,12</v>
          </cell>
          <cell r="B304" t="str">
            <v>Unión PVC SAP de 20 mm</v>
          </cell>
          <cell r="C304" t="str">
            <v>und</v>
          </cell>
          <cell r="E304">
            <v>4</v>
          </cell>
          <cell r="F304">
            <v>0.25</v>
          </cell>
          <cell r="G304">
            <v>1</v>
          </cell>
        </row>
        <row r="305">
          <cell r="A305" t="str">
            <v>1,03,12</v>
          </cell>
          <cell r="B305" t="str">
            <v>Conexión PVC SAP de 20 mm</v>
          </cell>
          <cell r="C305" t="str">
            <v>und</v>
          </cell>
          <cell r="E305">
            <v>4</v>
          </cell>
          <cell r="F305">
            <v>0.17399999999999999</v>
          </cell>
          <cell r="G305">
            <v>0.7</v>
          </cell>
        </row>
        <row r="306">
          <cell r="A306" t="str">
            <v>1,03,12</v>
          </cell>
          <cell r="B306" t="str">
            <v>Caja rectangular de 100x50 mm</v>
          </cell>
          <cell r="C306" t="str">
            <v>und</v>
          </cell>
          <cell r="E306">
            <v>1</v>
          </cell>
          <cell r="F306">
            <v>0.78</v>
          </cell>
          <cell r="G306">
            <v>0.78</v>
          </cell>
        </row>
        <row r="307">
          <cell r="A307" t="str">
            <v>1,03,12</v>
          </cell>
          <cell r="B307" t="str">
            <v>Conductor de 4mm2 THW</v>
          </cell>
          <cell r="C307" t="str">
            <v>ml</v>
          </cell>
          <cell r="E307">
            <v>59</v>
          </cell>
          <cell r="F307">
            <v>0.32</v>
          </cell>
          <cell r="G307">
            <v>18.88</v>
          </cell>
        </row>
        <row r="308">
          <cell r="A308" t="str">
            <v>1,03,12</v>
          </cell>
          <cell r="B308" t="str">
            <v>Abrazadera de 20 mm</v>
          </cell>
          <cell r="C308" t="str">
            <v>und</v>
          </cell>
          <cell r="E308">
            <v>8</v>
          </cell>
          <cell r="F308">
            <v>0.14000000000000001</v>
          </cell>
          <cell r="G308">
            <v>1.1200000000000001</v>
          </cell>
        </row>
        <row r="309">
          <cell r="A309" t="str">
            <v>1,03,12</v>
          </cell>
          <cell r="B309" t="str">
            <v>Tarugo plastico verde de 1/4</v>
          </cell>
          <cell r="C309" t="str">
            <v>und</v>
          </cell>
          <cell r="E309">
            <v>8</v>
          </cell>
          <cell r="F309">
            <v>0.115</v>
          </cell>
          <cell r="G309">
            <v>0.92</v>
          </cell>
        </row>
        <row r="310">
          <cell r="A310" t="str">
            <v>1,03,12</v>
          </cell>
          <cell r="B310" t="str">
            <v>Tornillo autoroscante de 8x1"</v>
          </cell>
          <cell r="C310" t="str">
            <v>und</v>
          </cell>
          <cell r="E310">
            <v>8</v>
          </cell>
          <cell r="F310">
            <v>4.2000000000000003E-2</v>
          </cell>
          <cell r="G310">
            <v>0.34</v>
          </cell>
        </row>
        <row r="311">
          <cell r="A311" t="str">
            <v>1,03,12</v>
          </cell>
          <cell r="B311" t="str">
            <v>Tornillo autoroscante de8x1/2"</v>
          </cell>
          <cell r="C311" t="str">
            <v>und</v>
          </cell>
          <cell r="E311">
            <v>2</v>
          </cell>
          <cell r="F311">
            <v>4.2000000000000003E-2</v>
          </cell>
          <cell r="G311">
            <v>0.08</v>
          </cell>
        </row>
        <row r="312">
          <cell r="A312" t="str">
            <v>1,03,12</v>
          </cell>
          <cell r="B312" t="str">
            <v>Pegamento de 1/4 de galón</v>
          </cell>
          <cell r="C312" t="str">
            <v>und</v>
          </cell>
          <cell r="E312">
            <v>0.01</v>
          </cell>
          <cell r="F312">
            <v>6.3959999999999999</v>
          </cell>
          <cell r="G312">
            <v>0.06</v>
          </cell>
        </row>
        <row r="313">
          <cell r="A313" t="str">
            <v>1,03,12</v>
          </cell>
          <cell r="B313" t="str">
            <v>Mano de obra</v>
          </cell>
          <cell r="G313">
            <v>6.88</v>
          </cell>
        </row>
        <row r="314">
          <cell r="A314" t="str">
            <v>1,03,12</v>
          </cell>
          <cell r="B314" t="str">
            <v>Operario</v>
          </cell>
          <cell r="C314" t="str">
            <v>HH</v>
          </cell>
          <cell r="D314">
            <v>1</v>
          </cell>
          <cell r="E314">
            <v>1.3333333333333333</v>
          </cell>
          <cell r="F314">
            <v>2.84</v>
          </cell>
          <cell r="G314">
            <v>3.79</v>
          </cell>
          <cell r="H314">
            <v>6</v>
          </cell>
        </row>
        <row r="315">
          <cell r="A315" t="str">
            <v>1,03,12</v>
          </cell>
          <cell r="B315" t="str">
            <v>Peón</v>
          </cell>
          <cell r="C315" t="str">
            <v>HH</v>
          </cell>
          <cell r="D315">
            <v>1</v>
          </cell>
          <cell r="E315">
            <v>1.3333333333333333</v>
          </cell>
          <cell r="F315">
            <v>2.3199999999999998</v>
          </cell>
          <cell r="G315">
            <v>3.09</v>
          </cell>
          <cell r="H315">
            <v>6</v>
          </cell>
        </row>
        <row r="316">
          <cell r="A316" t="str">
            <v>1,03,12</v>
          </cell>
          <cell r="B316" t="str">
            <v>Equipos</v>
          </cell>
          <cell r="G316">
            <v>1.59</v>
          </cell>
        </row>
        <row r="317">
          <cell r="A317" t="str">
            <v>1,03,12</v>
          </cell>
          <cell r="B317" t="str">
            <v>Escalera</v>
          </cell>
          <cell r="C317" t="str">
            <v>DIA</v>
          </cell>
          <cell r="D317">
            <v>1</v>
          </cell>
          <cell r="E317">
            <v>0.16666666666666666</v>
          </cell>
          <cell r="F317">
            <v>1</v>
          </cell>
          <cell r="G317">
            <v>0.17</v>
          </cell>
        </row>
        <row r="318">
          <cell r="A318" t="str">
            <v>1,03,12</v>
          </cell>
          <cell r="B318" t="str">
            <v>Taladro Hilti</v>
          </cell>
          <cell r="C318" t="str">
            <v>DIA</v>
          </cell>
          <cell r="D318">
            <v>1</v>
          </cell>
          <cell r="E318">
            <v>0.16666666666666666</v>
          </cell>
          <cell r="F318">
            <v>6.5</v>
          </cell>
          <cell r="G318">
            <v>1.08</v>
          </cell>
        </row>
        <row r="319">
          <cell r="A319" t="str">
            <v>1,03,12</v>
          </cell>
          <cell r="B319" t="str">
            <v>Desgaste de herramientas</v>
          </cell>
          <cell r="C319" t="str">
            <v>%MO</v>
          </cell>
          <cell r="E319">
            <v>0.05</v>
          </cell>
          <cell r="F319">
            <v>6.88</v>
          </cell>
          <cell r="G319">
            <v>0.34</v>
          </cell>
        </row>
        <row r="320">
          <cell r="A320" t="str">
            <v>1,03,13</v>
          </cell>
          <cell r="B320" t="str">
            <v>Salida para modelador</v>
          </cell>
          <cell r="F320" t="str">
            <v>( pto )</v>
          </cell>
          <cell r="G320">
            <v>86.48</v>
          </cell>
        </row>
        <row r="321">
          <cell r="A321" t="str">
            <v>1,03,13</v>
          </cell>
          <cell r="C321" t="str">
            <v>und.</v>
          </cell>
          <cell r="D321" t="str">
            <v>cuad.</v>
          </cell>
          <cell r="E321" t="str">
            <v>cant.</v>
          </cell>
          <cell r="F321" t="str">
            <v>prec. $</v>
          </cell>
          <cell r="G321" t="str">
            <v>parcial $</v>
          </cell>
        </row>
        <row r="322">
          <cell r="A322" t="str">
            <v>1,03,13</v>
          </cell>
          <cell r="B322" t="str">
            <v>Materiales</v>
          </cell>
          <cell r="G322">
            <v>76.320000000000007</v>
          </cell>
        </row>
        <row r="323">
          <cell r="A323" t="str">
            <v>1,03,13</v>
          </cell>
          <cell r="B323" t="str">
            <v>Tubería PVC SAP de 25 mm</v>
          </cell>
          <cell r="C323" t="str">
            <v>ml</v>
          </cell>
          <cell r="E323">
            <v>8.3000000000000007</v>
          </cell>
          <cell r="F323">
            <v>0.52</v>
          </cell>
          <cell r="G323">
            <v>4.32</v>
          </cell>
        </row>
        <row r="324">
          <cell r="A324" t="str">
            <v>1,03,13</v>
          </cell>
          <cell r="B324" t="str">
            <v>Curva PVC SAP de 25 mm</v>
          </cell>
          <cell r="C324" t="str">
            <v>und</v>
          </cell>
          <cell r="E324">
            <v>4</v>
          </cell>
          <cell r="F324">
            <v>0.89</v>
          </cell>
          <cell r="G324">
            <v>3.56</v>
          </cell>
        </row>
        <row r="325">
          <cell r="A325" t="str">
            <v>1,03,13</v>
          </cell>
          <cell r="B325" t="str">
            <v>Unión PVC SAP de 25 mm</v>
          </cell>
          <cell r="C325" t="str">
            <v>und</v>
          </cell>
          <cell r="E325">
            <v>4</v>
          </cell>
          <cell r="F325">
            <v>0.34</v>
          </cell>
          <cell r="G325">
            <v>1.36</v>
          </cell>
        </row>
        <row r="326">
          <cell r="A326" t="str">
            <v>1,03,13</v>
          </cell>
          <cell r="B326" t="str">
            <v>Conexión PVC SAP de 25 mm</v>
          </cell>
          <cell r="C326" t="str">
            <v>und</v>
          </cell>
          <cell r="E326">
            <v>4</v>
          </cell>
          <cell r="F326">
            <v>0.2</v>
          </cell>
          <cell r="G326">
            <v>0.8</v>
          </cell>
        </row>
        <row r="327">
          <cell r="A327" t="str">
            <v>1,03,13</v>
          </cell>
          <cell r="B327" t="str">
            <v>Caja cuadrada de 100x100x50 mm</v>
          </cell>
          <cell r="C327" t="str">
            <v>und</v>
          </cell>
          <cell r="E327">
            <v>1</v>
          </cell>
          <cell r="F327">
            <v>1.72</v>
          </cell>
          <cell r="G327">
            <v>1.72</v>
          </cell>
        </row>
        <row r="328">
          <cell r="A328" t="str">
            <v>1,03,13</v>
          </cell>
          <cell r="B328" t="str">
            <v>Conductor de 6mm2 THW</v>
          </cell>
          <cell r="C328" t="str">
            <v>ml</v>
          </cell>
          <cell r="E328">
            <v>95</v>
          </cell>
          <cell r="F328">
            <v>0.64800000000000002</v>
          </cell>
          <cell r="G328">
            <v>61.56</v>
          </cell>
        </row>
        <row r="329">
          <cell r="A329" t="str">
            <v>1,03,13</v>
          </cell>
          <cell r="B329" t="str">
            <v>Abrazadera de 25 mm</v>
          </cell>
          <cell r="C329" t="str">
            <v>und</v>
          </cell>
          <cell r="E329">
            <v>8</v>
          </cell>
          <cell r="F329">
            <v>0.2</v>
          </cell>
          <cell r="G329">
            <v>1.6</v>
          </cell>
        </row>
        <row r="330">
          <cell r="A330" t="str">
            <v>1,03,13</v>
          </cell>
          <cell r="B330" t="str">
            <v>Tarugo plastico verde de 1/4</v>
          </cell>
          <cell r="C330" t="str">
            <v>und</v>
          </cell>
          <cell r="E330">
            <v>8</v>
          </cell>
          <cell r="F330">
            <v>0.115</v>
          </cell>
          <cell r="G330">
            <v>0.92</v>
          </cell>
        </row>
        <row r="331">
          <cell r="A331" t="str">
            <v>1,03,13</v>
          </cell>
          <cell r="B331" t="str">
            <v>Tornillo autoroscante de 8x1"</v>
          </cell>
          <cell r="C331" t="str">
            <v>und</v>
          </cell>
          <cell r="E331">
            <v>8</v>
          </cell>
          <cell r="F331">
            <v>4.2000000000000003E-2</v>
          </cell>
          <cell r="G331">
            <v>0.34</v>
          </cell>
        </row>
        <row r="332">
          <cell r="A332" t="str">
            <v>1,03,13</v>
          </cell>
          <cell r="B332" t="str">
            <v>Tornillo autoroscante de8x1/2"</v>
          </cell>
          <cell r="C332" t="str">
            <v>und</v>
          </cell>
          <cell r="E332">
            <v>2</v>
          </cell>
          <cell r="F332">
            <v>4.2000000000000003E-2</v>
          </cell>
          <cell r="G332">
            <v>0.08</v>
          </cell>
        </row>
        <row r="333">
          <cell r="A333" t="str">
            <v>1,03,13</v>
          </cell>
          <cell r="B333" t="str">
            <v>Pegamento de 1/4 de galón</v>
          </cell>
          <cell r="C333" t="str">
            <v>und</v>
          </cell>
          <cell r="E333">
            <v>0.01</v>
          </cell>
          <cell r="F333">
            <v>6.3959999999999999</v>
          </cell>
          <cell r="G333">
            <v>0.06</v>
          </cell>
        </row>
        <row r="334">
          <cell r="A334" t="str">
            <v>1,03,13</v>
          </cell>
          <cell r="B334" t="str">
            <v>Mano de obra</v>
          </cell>
          <cell r="G334">
            <v>8.25</v>
          </cell>
        </row>
        <row r="335">
          <cell r="A335" t="str">
            <v>1,03,13</v>
          </cell>
          <cell r="B335" t="str">
            <v>Operario</v>
          </cell>
          <cell r="C335" t="str">
            <v>HH</v>
          </cell>
          <cell r="D335">
            <v>1</v>
          </cell>
          <cell r="E335">
            <v>1.6</v>
          </cell>
          <cell r="F335">
            <v>2.84</v>
          </cell>
          <cell r="G335">
            <v>4.54</v>
          </cell>
          <cell r="H335">
            <v>5</v>
          </cell>
        </row>
        <row r="336">
          <cell r="A336" t="str">
            <v>1,03,13</v>
          </cell>
          <cell r="B336" t="str">
            <v>Peón</v>
          </cell>
          <cell r="C336" t="str">
            <v>HH</v>
          </cell>
          <cell r="D336">
            <v>1</v>
          </cell>
          <cell r="E336">
            <v>1.6</v>
          </cell>
          <cell r="F336">
            <v>2.3199999999999998</v>
          </cell>
          <cell r="G336">
            <v>3.71</v>
          </cell>
          <cell r="H336">
            <v>5</v>
          </cell>
        </row>
        <row r="337">
          <cell r="A337" t="str">
            <v>1,03,13</v>
          </cell>
          <cell r="B337" t="str">
            <v>Equipos</v>
          </cell>
          <cell r="G337">
            <v>1.91</v>
          </cell>
        </row>
        <row r="338">
          <cell r="A338" t="str">
            <v>1,03,13</v>
          </cell>
          <cell r="B338" t="str">
            <v>Escalera</v>
          </cell>
          <cell r="C338" t="str">
            <v>DIA</v>
          </cell>
          <cell r="D338">
            <v>1</v>
          </cell>
          <cell r="E338">
            <v>0.2</v>
          </cell>
          <cell r="F338">
            <v>1</v>
          </cell>
          <cell r="G338">
            <v>0.2</v>
          </cell>
        </row>
        <row r="339">
          <cell r="A339" t="str">
            <v>1,03,13</v>
          </cell>
          <cell r="B339" t="str">
            <v>Taladro Hilti</v>
          </cell>
          <cell r="C339" t="str">
            <v>DIA</v>
          </cell>
          <cell r="D339">
            <v>1</v>
          </cell>
          <cell r="E339">
            <v>0.2</v>
          </cell>
          <cell r="F339">
            <v>6.5</v>
          </cell>
          <cell r="G339">
            <v>1.3</v>
          </cell>
        </row>
        <row r="340">
          <cell r="A340" t="str">
            <v>1,03,13</v>
          </cell>
          <cell r="B340" t="str">
            <v>Desgaste de herramientas</v>
          </cell>
          <cell r="C340" t="str">
            <v>%MO</v>
          </cell>
          <cell r="E340">
            <v>0.05</v>
          </cell>
          <cell r="F340">
            <v>8.25</v>
          </cell>
          <cell r="G340">
            <v>0.41</v>
          </cell>
        </row>
        <row r="341">
          <cell r="A341" t="str">
            <v>1,03,14</v>
          </cell>
          <cell r="B341" t="str">
            <v>Salida para esmeril , silicona</v>
          </cell>
          <cell r="F341" t="str">
            <v>( pto )</v>
          </cell>
          <cell r="G341">
            <v>26.54</v>
          </cell>
        </row>
        <row r="342">
          <cell r="A342" t="str">
            <v>1,03,14</v>
          </cell>
          <cell r="C342" t="str">
            <v>und.</v>
          </cell>
          <cell r="D342" t="str">
            <v>cuad.</v>
          </cell>
          <cell r="E342" t="str">
            <v>cant.</v>
          </cell>
          <cell r="F342" t="str">
            <v>prec. $</v>
          </cell>
          <cell r="G342" t="str">
            <v>parcial $</v>
          </cell>
        </row>
        <row r="343">
          <cell r="A343" t="str">
            <v>1,03,14</v>
          </cell>
          <cell r="B343" t="str">
            <v>Materiales</v>
          </cell>
          <cell r="G343">
            <v>16.38</v>
          </cell>
        </row>
        <row r="344">
          <cell r="A344" t="str">
            <v>1,03,14</v>
          </cell>
          <cell r="B344" t="str">
            <v>Tubería PVC SAP de 20 mm</v>
          </cell>
          <cell r="C344" t="str">
            <v>ml</v>
          </cell>
          <cell r="E344">
            <v>4.9000000000000004</v>
          </cell>
          <cell r="F344">
            <v>0.41</v>
          </cell>
          <cell r="G344">
            <v>2.0099999999999998</v>
          </cell>
        </row>
        <row r="345">
          <cell r="A345" t="str">
            <v>1,03,14</v>
          </cell>
          <cell r="B345" t="str">
            <v>Curva PVC SAP de 20 mm</v>
          </cell>
          <cell r="C345" t="str">
            <v>und</v>
          </cell>
          <cell r="E345">
            <v>1.5</v>
          </cell>
          <cell r="F345">
            <v>0.59</v>
          </cell>
          <cell r="G345">
            <v>0.89</v>
          </cell>
        </row>
        <row r="346">
          <cell r="A346" t="str">
            <v>1,03,14</v>
          </cell>
          <cell r="B346" t="str">
            <v>Unión PVC SAP de 20 mm</v>
          </cell>
          <cell r="C346" t="str">
            <v>und</v>
          </cell>
          <cell r="E346">
            <v>3</v>
          </cell>
          <cell r="F346">
            <v>0.25</v>
          </cell>
          <cell r="G346">
            <v>0.75</v>
          </cell>
        </row>
        <row r="347">
          <cell r="A347" t="str">
            <v>1,03,14</v>
          </cell>
          <cell r="B347" t="str">
            <v>Conexión PVC SAP de 20 mm</v>
          </cell>
          <cell r="C347" t="str">
            <v>und</v>
          </cell>
          <cell r="E347">
            <v>3</v>
          </cell>
          <cell r="F347">
            <v>0.17399999999999999</v>
          </cell>
          <cell r="G347">
            <v>0.52</v>
          </cell>
        </row>
        <row r="348">
          <cell r="A348" t="str">
            <v>1,03,14</v>
          </cell>
          <cell r="B348" t="str">
            <v>Caja rectangular de 100x50 mm</v>
          </cell>
          <cell r="C348" t="str">
            <v>und</v>
          </cell>
          <cell r="E348">
            <v>1</v>
          </cell>
          <cell r="F348">
            <v>0.78</v>
          </cell>
          <cell r="G348">
            <v>0.78</v>
          </cell>
        </row>
        <row r="349">
          <cell r="A349" t="str">
            <v>1,03,14</v>
          </cell>
          <cell r="B349" t="str">
            <v>Conductor de 4mm2 THW</v>
          </cell>
          <cell r="C349" t="str">
            <v>ml</v>
          </cell>
          <cell r="E349">
            <v>31.1</v>
          </cell>
          <cell r="F349">
            <v>0.32</v>
          </cell>
          <cell r="G349">
            <v>9.9499999999999993</v>
          </cell>
        </row>
        <row r="350">
          <cell r="A350" t="str">
            <v>1,03,14</v>
          </cell>
          <cell r="B350" t="str">
            <v>Abrazadera de 20 mm</v>
          </cell>
          <cell r="C350" t="str">
            <v>und</v>
          </cell>
          <cell r="E350">
            <v>4.5</v>
          </cell>
          <cell r="F350">
            <v>0.14000000000000001</v>
          </cell>
          <cell r="G350">
            <v>0.63</v>
          </cell>
        </row>
        <row r="351">
          <cell r="A351" t="str">
            <v>1,03,14</v>
          </cell>
          <cell r="B351" t="str">
            <v>Tarugo plastico verde de 1/4</v>
          </cell>
          <cell r="C351" t="str">
            <v>und</v>
          </cell>
          <cell r="E351">
            <v>4.5</v>
          </cell>
          <cell r="F351">
            <v>0.115</v>
          </cell>
          <cell r="G351">
            <v>0.52</v>
          </cell>
        </row>
        <row r="352">
          <cell r="A352" t="str">
            <v>1,03,14</v>
          </cell>
          <cell r="B352" t="str">
            <v>Tornillo autoroscante de 8x1"</v>
          </cell>
          <cell r="C352" t="str">
            <v>und</v>
          </cell>
          <cell r="E352">
            <v>4.5</v>
          </cell>
          <cell r="F352">
            <v>4.2000000000000003E-2</v>
          </cell>
          <cell r="G352">
            <v>0.19</v>
          </cell>
        </row>
        <row r="353">
          <cell r="A353" t="str">
            <v>1,03,14</v>
          </cell>
          <cell r="B353" t="str">
            <v>Tornillo autoroscante de8x1/2"</v>
          </cell>
          <cell r="C353" t="str">
            <v>und</v>
          </cell>
          <cell r="E353">
            <v>2</v>
          </cell>
          <cell r="F353">
            <v>4.2000000000000003E-2</v>
          </cell>
          <cell r="G353">
            <v>0.08</v>
          </cell>
        </row>
        <row r="354">
          <cell r="A354" t="str">
            <v>1,03,14</v>
          </cell>
          <cell r="B354" t="str">
            <v>Pegamento de 1/4 de galón</v>
          </cell>
          <cell r="C354" t="str">
            <v>und</v>
          </cell>
          <cell r="E354">
            <v>0.01</v>
          </cell>
          <cell r="F354">
            <v>6.3959999999999999</v>
          </cell>
          <cell r="G354">
            <v>0.06</v>
          </cell>
        </row>
        <row r="355">
          <cell r="A355" t="str">
            <v>1,03,14</v>
          </cell>
          <cell r="B355" t="str">
            <v>Mano de obra</v>
          </cell>
          <cell r="G355">
            <v>8.25</v>
          </cell>
        </row>
        <row r="356">
          <cell r="A356" t="str">
            <v>1,03,14</v>
          </cell>
          <cell r="B356" t="str">
            <v>Operario</v>
          </cell>
          <cell r="C356" t="str">
            <v>HH</v>
          </cell>
          <cell r="D356">
            <v>1</v>
          </cell>
          <cell r="E356">
            <v>1.6</v>
          </cell>
          <cell r="F356">
            <v>2.84</v>
          </cell>
          <cell r="G356">
            <v>4.54</v>
          </cell>
          <cell r="H356">
            <v>5</v>
          </cell>
        </row>
        <row r="357">
          <cell r="A357" t="str">
            <v>1,03,14</v>
          </cell>
          <cell r="B357" t="str">
            <v>Peón</v>
          </cell>
          <cell r="C357" t="str">
            <v>HH</v>
          </cell>
          <cell r="D357">
            <v>1</v>
          </cell>
          <cell r="E357">
            <v>1.6</v>
          </cell>
          <cell r="F357">
            <v>2.3199999999999998</v>
          </cell>
          <cell r="G357">
            <v>3.71</v>
          </cell>
          <cell r="H357">
            <v>5</v>
          </cell>
        </row>
        <row r="358">
          <cell r="A358" t="str">
            <v>1,03,14</v>
          </cell>
          <cell r="B358" t="str">
            <v>Equipos</v>
          </cell>
          <cell r="G358">
            <v>1.91</v>
          </cell>
        </row>
        <row r="359">
          <cell r="A359" t="str">
            <v>1,03,14</v>
          </cell>
          <cell r="B359" t="str">
            <v>Escalera</v>
          </cell>
          <cell r="C359" t="str">
            <v>DIA</v>
          </cell>
          <cell r="D359">
            <v>1</v>
          </cell>
          <cell r="E359">
            <v>0.2</v>
          </cell>
          <cell r="F359">
            <v>1</v>
          </cell>
          <cell r="G359">
            <v>0.2</v>
          </cell>
        </row>
        <row r="360">
          <cell r="A360" t="str">
            <v>1,03,14</v>
          </cell>
          <cell r="B360" t="str">
            <v>Taladro Hilti</v>
          </cell>
          <cell r="C360" t="str">
            <v>DIA</v>
          </cell>
          <cell r="D360">
            <v>1</v>
          </cell>
          <cell r="E360">
            <v>0.2</v>
          </cell>
          <cell r="F360">
            <v>6.5</v>
          </cell>
          <cell r="G360">
            <v>1.3</v>
          </cell>
        </row>
        <row r="361">
          <cell r="A361" t="str">
            <v>1,03,14</v>
          </cell>
          <cell r="B361" t="str">
            <v>Desgaste de herramientas</v>
          </cell>
          <cell r="C361" t="str">
            <v>%MO</v>
          </cell>
          <cell r="E361">
            <v>0.05</v>
          </cell>
          <cell r="F361">
            <v>8.25</v>
          </cell>
          <cell r="G361">
            <v>0.41</v>
          </cell>
        </row>
        <row r="362">
          <cell r="A362" t="str">
            <v>1,03,15</v>
          </cell>
          <cell r="B362" t="str">
            <v>salida para tomacorriente en kitchenette</v>
          </cell>
          <cell r="F362" t="str">
            <v>( pto )</v>
          </cell>
          <cell r="G362">
            <v>22.730000000000004</v>
          </cell>
        </row>
        <row r="363">
          <cell r="A363" t="str">
            <v>1,03,15</v>
          </cell>
          <cell r="C363" t="str">
            <v>und.</v>
          </cell>
          <cell r="D363" t="str">
            <v>cuad.</v>
          </cell>
          <cell r="E363" t="str">
            <v>cant.</v>
          </cell>
          <cell r="F363" t="str">
            <v>prec. $</v>
          </cell>
          <cell r="G363" t="str">
            <v>parcial $</v>
          </cell>
        </row>
        <row r="364">
          <cell r="A364" t="str">
            <v>1,03,15</v>
          </cell>
          <cell r="B364" t="str">
            <v>Materiales</v>
          </cell>
          <cell r="G364">
            <v>14.260000000000003</v>
          </cell>
        </row>
        <row r="365">
          <cell r="A365" t="str">
            <v>1,03,15</v>
          </cell>
          <cell r="B365" t="str">
            <v>Tubería PVC SAP de 20 mm</v>
          </cell>
          <cell r="C365" t="str">
            <v>ml</v>
          </cell>
          <cell r="E365">
            <v>3.5</v>
          </cell>
          <cell r="F365">
            <v>0.41</v>
          </cell>
          <cell r="G365">
            <v>1.44</v>
          </cell>
        </row>
        <row r="366">
          <cell r="A366" t="str">
            <v>1,03,15</v>
          </cell>
          <cell r="B366" t="str">
            <v>Curva PVC SAP de 20 mm</v>
          </cell>
          <cell r="C366" t="str">
            <v>und</v>
          </cell>
          <cell r="E366">
            <v>1.3333333333333333</v>
          </cell>
          <cell r="F366">
            <v>0.59</v>
          </cell>
          <cell r="G366">
            <v>0.79</v>
          </cell>
        </row>
        <row r="367">
          <cell r="A367" t="str">
            <v>1,03,15</v>
          </cell>
          <cell r="B367" t="str">
            <v>Unión PVC SAP de 20 mm</v>
          </cell>
          <cell r="C367" t="str">
            <v>und</v>
          </cell>
          <cell r="E367">
            <v>2.6666666666666665</v>
          </cell>
          <cell r="F367">
            <v>0.25</v>
          </cell>
          <cell r="G367">
            <v>0.67</v>
          </cell>
        </row>
        <row r="368">
          <cell r="A368" t="str">
            <v>1,03,15</v>
          </cell>
          <cell r="B368" t="str">
            <v>Conexión PVC SAP de 20 mm</v>
          </cell>
          <cell r="C368" t="str">
            <v>und</v>
          </cell>
          <cell r="E368">
            <v>2.6666666666666665</v>
          </cell>
          <cell r="F368">
            <v>0.17399999999999999</v>
          </cell>
          <cell r="G368">
            <v>0.46</v>
          </cell>
        </row>
        <row r="369">
          <cell r="A369" t="str">
            <v>1,03,15</v>
          </cell>
          <cell r="B369" t="str">
            <v>Caja rectangular de 100x50 mm</v>
          </cell>
          <cell r="C369" t="str">
            <v>und</v>
          </cell>
          <cell r="E369">
            <v>1</v>
          </cell>
          <cell r="F369">
            <v>0.78</v>
          </cell>
          <cell r="G369">
            <v>0.78</v>
          </cell>
        </row>
        <row r="370">
          <cell r="A370" t="str">
            <v>1,03,15</v>
          </cell>
          <cell r="B370" t="str">
            <v>Conductor de 4mm2 THW</v>
          </cell>
          <cell r="C370" t="str">
            <v>ml</v>
          </cell>
          <cell r="E370">
            <v>28</v>
          </cell>
          <cell r="F370">
            <v>0.32</v>
          </cell>
          <cell r="G370">
            <v>8.9600000000000009</v>
          </cell>
        </row>
        <row r="371">
          <cell r="A371" t="str">
            <v>1,03,15</v>
          </cell>
          <cell r="B371" t="str">
            <v>Abrazadera de 20 mm</v>
          </cell>
          <cell r="C371" t="str">
            <v>und</v>
          </cell>
          <cell r="E371">
            <v>3.3333333333333335</v>
          </cell>
          <cell r="F371">
            <v>0.14000000000000001</v>
          </cell>
          <cell r="G371">
            <v>0.47</v>
          </cell>
        </row>
        <row r="372">
          <cell r="A372" t="str">
            <v>1,03,15</v>
          </cell>
          <cell r="B372" t="str">
            <v>Tarugo plastico verde de 1/4</v>
          </cell>
          <cell r="C372" t="str">
            <v>und</v>
          </cell>
          <cell r="E372">
            <v>3.3333333333333335</v>
          </cell>
          <cell r="F372">
            <v>0.115</v>
          </cell>
          <cell r="G372">
            <v>0.38</v>
          </cell>
        </row>
        <row r="373">
          <cell r="A373" t="str">
            <v>1,03,15</v>
          </cell>
          <cell r="B373" t="str">
            <v>Tornillo autoroscante de 8x1"</v>
          </cell>
          <cell r="C373" t="str">
            <v>und</v>
          </cell>
          <cell r="E373">
            <v>3.3333333333333335</v>
          </cell>
          <cell r="F373">
            <v>4.2000000000000003E-2</v>
          </cell>
          <cell r="G373">
            <v>0.14000000000000001</v>
          </cell>
        </row>
        <row r="374">
          <cell r="A374" t="str">
            <v>1,03,15</v>
          </cell>
          <cell r="B374" t="str">
            <v>Tornillo autoroscante de8x1/2"</v>
          </cell>
          <cell r="C374" t="str">
            <v>und</v>
          </cell>
          <cell r="E374">
            <v>2.6666666666666665</v>
          </cell>
          <cell r="F374">
            <v>4.2000000000000003E-2</v>
          </cell>
          <cell r="G374">
            <v>0.11</v>
          </cell>
        </row>
        <row r="375">
          <cell r="A375" t="str">
            <v>1,03,15</v>
          </cell>
          <cell r="B375" t="str">
            <v>Pegamento de 1/4 de galón</v>
          </cell>
          <cell r="C375" t="str">
            <v>und</v>
          </cell>
          <cell r="E375">
            <v>0.01</v>
          </cell>
          <cell r="F375">
            <v>6.3959999999999999</v>
          </cell>
          <cell r="G375">
            <v>0.06</v>
          </cell>
        </row>
        <row r="376">
          <cell r="A376" t="str">
            <v>1,03,15</v>
          </cell>
          <cell r="B376" t="str">
            <v>Mano de obra</v>
          </cell>
          <cell r="G376">
            <v>6.88</v>
          </cell>
        </row>
        <row r="377">
          <cell r="A377" t="str">
            <v>1,03,15</v>
          </cell>
          <cell r="B377" t="str">
            <v>Operario</v>
          </cell>
          <cell r="C377" t="str">
            <v>HH</v>
          </cell>
          <cell r="D377">
            <v>1</v>
          </cell>
          <cell r="E377">
            <v>1.3333333333333333</v>
          </cell>
          <cell r="F377">
            <v>2.84</v>
          </cell>
          <cell r="G377">
            <v>3.79</v>
          </cell>
          <cell r="H377">
            <v>6</v>
          </cell>
        </row>
        <row r="378">
          <cell r="A378" t="str">
            <v>1,03,15</v>
          </cell>
          <cell r="B378" t="str">
            <v>Peón</v>
          </cell>
          <cell r="C378" t="str">
            <v>HH</v>
          </cell>
          <cell r="D378">
            <v>1</v>
          </cell>
          <cell r="E378">
            <v>1.3333333333333333</v>
          </cell>
          <cell r="F378">
            <v>2.3199999999999998</v>
          </cell>
          <cell r="G378">
            <v>3.09</v>
          </cell>
          <cell r="H378">
            <v>6</v>
          </cell>
        </row>
        <row r="379">
          <cell r="A379" t="str">
            <v>1,03,15</v>
          </cell>
          <cell r="B379" t="str">
            <v>Equipos</v>
          </cell>
          <cell r="G379">
            <v>1.59</v>
          </cell>
        </row>
        <row r="380">
          <cell r="A380" t="str">
            <v>1,03,15</v>
          </cell>
          <cell r="B380" t="str">
            <v>Escalera</v>
          </cell>
          <cell r="C380" t="str">
            <v>DIA</v>
          </cell>
          <cell r="D380">
            <v>1</v>
          </cell>
          <cell r="E380">
            <v>0.16666666666666666</v>
          </cell>
          <cell r="F380">
            <v>1</v>
          </cell>
          <cell r="G380">
            <v>0.17</v>
          </cell>
        </row>
        <row r="381">
          <cell r="A381" t="str">
            <v>1,03,15</v>
          </cell>
          <cell r="B381" t="str">
            <v>Taladro Hilti</v>
          </cell>
          <cell r="C381" t="str">
            <v>DIA</v>
          </cell>
          <cell r="D381">
            <v>1</v>
          </cell>
          <cell r="E381">
            <v>0.16666666666666666</v>
          </cell>
          <cell r="F381">
            <v>6.5</v>
          </cell>
          <cell r="G381">
            <v>1.08</v>
          </cell>
        </row>
        <row r="382">
          <cell r="A382" t="str">
            <v>1,03,15</v>
          </cell>
          <cell r="B382" t="str">
            <v>Desgaste de herramientas</v>
          </cell>
          <cell r="C382" t="str">
            <v>%MO</v>
          </cell>
          <cell r="E382">
            <v>0.05</v>
          </cell>
          <cell r="F382">
            <v>6.88</v>
          </cell>
          <cell r="G382">
            <v>0.34</v>
          </cell>
        </row>
        <row r="383">
          <cell r="A383" t="str">
            <v>1,03,16</v>
          </cell>
          <cell r="B383" t="str">
            <v>Salida para extractor</v>
          </cell>
          <cell r="F383" t="str">
            <v>( pto )</v>
          </cell>
          <cell r="G383">
            <v>44.240000000000009</v>
          </cell>
        </row>
        <row r="384">
          <cell r="A384" t="str">
            <v>1,03,16</v>
          </cell>
          <cell r="C384" t="str">
            <v>und.</v>
          </cell>
          <cell r="D384" t="str">
            <v>cuad.</v>
          </cell>
          <cell r="E384" t="str">
            <v>cant.</v>
          </cell>
          <cell r="F384" t="str">
            <v>prec. $</v>
          </cell>
          <cell r="G384" t="str">
            <v>parcial $</v>
          </cell>
        </row>
        <row r="385">
          <cell r="A385" t="str">
            <v>1,03,16</v>
          </cell>
          <cell r="B385" t="str">
            <v>Materiales</v>
          </cell>
          <cell r="G385">
            <v>35.770000000000003</v>
          </cell>
        </row>
        <row r="386">
          <cell r="A386" t="str">
            <v>1,03,16</v>
          </cell>
          <cell r="B386" t="str">
            <v>Tubería PVC SAP de 20 mm</v>
          </cell>
          <cell r="C386" t="str">
            <v>ml</v>
          </cell>
          <cell r="E386">
            <v>19.75</v>
          </cell>
          <cell r="F386">
            <v>0.41</v>
          </cell>
          <cell r="G386">
            <v>8.1</v>
          </cell>
        </row>
        <row r="387">
          <cell r="A387" t="str">
            <v>1,03,16</v>
          </cell>
          <cell r="B387" t="str">
            <v>Curva PVC SAP de 20 mm</v>
          </cell>
          <cell r="C387" t="str">
            <v>und</v>
          </cell>
          <cell r="E387">
            <v>1</v>
          </cell>
          <cell r="F387">
            <v>0.59</v>
          </cell>
          <cell r="G387">
            <v>0.59</v>
          </cell>
        </row>
        <row r="388">
          <cell r="A388" t="str">
            <v>1,03,16</v>
          </cell>
          <cell r="B388" t="str">
            <v>Unión PVC SAP de 20 mm</v>
          </cell>
          <cell r="C388" t="str">
            <v>und</v>
          </cell>
          <cell r="E388">
            <v>1.5</v>
          </cell>
          <cell r="F388">
            <v>0.25</v>
          </cell>
          <cell r="G388">
            <v>0.38</v>
          </cell>
        </row>
        <row r="389">
          <cell r="A389" t="str">
            <v>1,03,16</v>
          </cell>
          <cell r="B389" t="str">
            <v>Conexión PVC SAP de 20 mm</v>
          </cell>
          <cell r="C389" t="str">
            <v>und</v>
          </cell>
          <cell r="E389">
            <v>1.5</v>
          </cell>
          <cell r="F389">
            <v>0.17399999999999999</v>
          </cell>
          <cell r="G389">
            <v>0.26</v>
          </cell>
        </row>
        <row r="390">
          <cell r="A390" t="str">
            <v>1,03,16</v>
          </cell>
          <cell r="B390" t="str">
            <v>Caja rectangular de 100x50 mm</v>
          </cell>
          <cell r="C390" t="str">
            <v>und</v>
          </cell>
          <cell r="E390">
            <v>1.5</v>
          </cell>
          <cell r="F390">
            <v>0.78</v>
          </cell>
          <cell r="G390">
            <v>1.17</v>
          </cell>
        </row>
        <row r="391">
          <cell r="A391" t="str">
            <v>1,03,16</v>
          </cell>
          <cell r="B391" t="str">
            <v>Conductor de 4mm2 THW</v>
          </cell>
          <cell r="C391" t="str">
            <v>ml</v>
          </cell>
          <cell r="E391">
            <v>66.75</v>
          </cell>
          <cell r="F391">
            <v>0.32</v>
          </cell>
          <cell r="G391">
            <v>21.36</v>
          </cell>
        </row>
        <row r="392">
          <cell r="A392" t="str">
            <v>1,03,16</v>
          </cell>
          <cell r="B392" t="str">
            <v>Abrazadera de 20 mm</v>
          </cell>
          <cell r="C392" t="str">
            <v>und</v>
          </cell>
          <cell r="E392">
            <v>12.5</v>
          </cell>
          <cell r="F392">
            <v>0.14000000000000001</v>
          </cell>
          <cell r="G392">
            <v>1.75</v>
          </cell>
        </row>
        <row r="393">
          <cell r="A393" t="str">
            <v>1,03,16</v>
          </cell>
          <cell r="B393" t="str">
            <v>Tarugo plastico verde de 1/4</v>
          </cell>
          <cell r="C393" t="str">
            <v>und</v>
          </cell>
          <cell r="E393">
            <v>12.5</v>
          </cell>
          <cell r="F393">
            <v>0.115</v>
          </cell>
          <cell r="G393">
            <v>1.44</v>
          </cell>
        </row>
        <row r="394">
          <cell r="A394" t="str">
            <v>1,03,16</v>
          </cell>
          <cell r="B394" t="str">
            <v>Tornillo autoroscante de 8x1"</v>
          </cell>
          <cell r="C394" t="str">
            <v>und</v>
          </cell>
          <cell r="E394">
            <v>12.5</v>
          </cell>
          <cell r="F394">
            <v>4.2000000000000003E-2</v>
          </cell>
          <cell r="G394">
            <v>0.53</v>
          </cell>
        </row>
        <row r="395">
          <cell r="A395" t="str">
            <v>1,03,16</v>
          </cell>
          <cell r="B395" t="str">
            <v>Tornillo autoroscante de8x1/2"</v>
          </cell>
          <cell r="C395" t="str">
            <v>und</v>
          </cell>
          <cell r="E395">
            <v>3</v>
          </cell>
          <cell r="F395">
            <v>4.2000000000000003E-2</v>
          </cell>
          <cell r="G395">
            <v>0.13</v>
          </cell>
        </row>
        <row r="396">
          <cell r="A396" t="str">
            <v>1,03,16</v>
          </cell>
          <cell r="B396" t="str">
            <v>Pegamento de 1/4 de galón</v>
          </cell>
          <cell r="C396" t="str">
            <v>und</v>
          </cell>
          <cell r="E396">
            <v>0.01</v>
          </cell>
          <cell r="F396">
            <v>6.3959999999999999</v>
          </cell>
          <cell r="G396">
            <v>0.06</v>
          </cell>
        </row>
        <row r="397">
          <cell r="A397" t="str">
            <v>1,03,16</v>
          </cell>
          <cell r="B397" t="str">
            <v>Mano de obra</v>
          </cell>
          <cell r="G397">
            <v>6.88</v>
          </cell>
        </row>
        <row r="398">
          <cell r="A398" t="str">
            <v>1,03,16</v>
          </cell>
          <cell r="B398" t="str">
            <v>Operario</v>
          </cell>
          <cell r="C398" t="str">
            <v>HH</v>
          </cell>
          <cell r="D398">
            <v>1</v>
          </cell>
          <cell r="E398">
            <v>1.3333333333333333</v>
          </cell>
          <cell r="F398">
            <v>2.84</v>
          </cell>
          <cell r="G398">
            <v>3.79</v>
          </cell>
          <cell r="H398">
            <v>6</v>
          </cell>
        </row>
        <row r="399">
          <cell r="A399" t="str">
            <v>1,03,16</v>
          </cell>
          <cell r="B399" t="str">
            <v>Peón</v>
          </cell>
          <cell r="C399" t="str">
            <v>HH</v>
          </cell>
          <cell r="D399">
            <v>1</v>
          </cell>
          <cell r="E399">
            <v>1.3333333333333333</v>
          </cell>
          <cell r="F399">
            <v>2.3199999999999998</v>
          </cell>
          <cell r="G399">
            <v>3.09</v>
          </cell>
          <cell r="H399">
            <v>6</v>
          </cell>
        </row>
        <row r="400">
          <cell r="A400" t="str">
            <v>1,03,16</v>
          </cell>
          <cell r="B400" t="str">
            <v>Equipos</v>
          </cell>
          <cell r="G400">
            <v>1.59</v>
          </cell>
        </row>
        <row r="401">
          <cell r="A401" t="str">
            <v>1,03,16</v>
          </cell>
          <cell r="B401" t="str">
            <v>Escalera</v>
          </cell>
          <cell r="C401" t="str">
            <v>DIA</v>
          </cell>
          <cell r="D401">
            <v>1</v>
          </cell>
          <cell r="E401">
            <v>0.16666666666666666</v>
          </cell>
          <cell r="F401">
            <v>1</v>
          </cell>
          <cell r="G401">
            <v>0.17</v>
          </cell>
        </row>
        <row r="402">
          <cell r="A402" t="str">
            <v>1,03,16</v>
          </cell>
          <cell r="B402" t="str">
            <v>Taladro Hilti</v>
          </cell>
          <cell r="C402" t="str">
            <v>DIA</v>
          </cell>
          <cell r="D402">
            <v>1</v>
          </cell>
          <cell r="E402">
            <v>0.16666666666666666</v>
          </cell>
          <cell r="F402">
            <v>6.5</v>
          </cell>
          <cell r="G402">
            <v>1.08</v>
          </cell>
        </row>
        <row r="403">
          <cell r="A403" t="str">
            <v>1,03,16</v>
          </cell>
          <cell r="B403" t="str">
            <v>Desgaste de herramientas</v>
          </cell>
          <cell r="C403" t="str">
            <v>%MO</v>
          </cell>
          <cell r="E403">
            <v>0.05</v>
          </cell>
          <cell r="F403">
            <v>6.88</v>
          </cell>
          <cell r="G403">
            <v>0.34</v>
          </cell>
        </row>
        <row r="404">
          <cell r="A404" t="str">
            <v>1,03,17</v>
          </cell>
          <cell r="B404" t="str">
            <v>Salida de secamanos</v>
          </cell>
          <cell r="F404" t="str">
            <v>( pto )</v>
          </cell>
          <cell r="G404">
            <v>25.17</v>
          </cell>
        </row>
        <row r="405">
          <cell r="A405" t="str">
            <v>1,03,17</v>
          </cell>
          <cell r="C405" t="str">
            <v>und.</v>
          </cell>
          <cell r="D405" t="str">
            <v>cuad.</v>
          </cell>
          <cell r="E405" t="str">
            <v>cant.</v>
          </cell>
          <cell r="F405" t="str">
            <v>prec. $</v>
          </cell>
          <cell r="G405" t="str">
            <v>parcial $</v>
          </cell>
        </row>
        <row r="406">
          <cell r="A406" t="str">
            <v>1,03,17</v>
          </cell>
          <cell r="B406" t="str">
            <v>Materiales</v>
          </cell>
          <cell r="G406">
            <v>16.700000000000003</v>
          </cell>
        </row>
        <row r="407">
          <cell r="A407" t="str">
            <v>1,03,17</v>
          </cell>
          <cell r="B407" t="str">
            <v>Tubería PVC SAP de 20 mm</v>
          </cell>
          <cell r="C407" t="str">
            <v>ml</v>
          </cell>
          <cell r="E407">
            <v>4.9000000000000004</v>
          </cell>
          <cell r="F407">
            <v>0.41</v>
          </cell>
          <cell r="G407">
            <v>2.0099999999999998</v>
          </cell>
        </row>
        <row r="408">
          <cell r="A408" t="str">
            <v>1,03,17</v>
          </cell>
          <cell r="B408" t="str">
            <v>Curva PVC SAP de 20 mm</v>
          </cell>
          <cell r="C408" t="str">
            <v>und</v>
          </cell>
          <cell r="E408">
            <v>3</v>
          </cell>
          <cell r="F408">
            <v>0.59</v>
          </cell>
          <cell r="G408">
            <v>1.77</v>
          </cell>
        </row>
        <row r="409">
          <cell r="A409" t="str">
            <v>1,03,17</v>
          </cell>
          <cell r="B409" t="str">
            <v>Unión PVC SAP de 20 mm</v>
          </cell>
          <cell r="C409" t="str">
            <v>und</v>
          </cell>
          <cell r="E409">
            <v>4</v>
          </cell>
          <cell r="F409">
            <v>0.25</v>
          </cell>
          <cell r="G409">
            <v>1</v>
          </cell>
        </row>
        <row r="410">
          <cell r="A410" t="str">
            <v>1,03,17</v>
          </cell>
          <cell r="B410" t="str">
            <v>Conexión PVC SAP de 20 mm</v>
          </cell>
          <cell r="C410" t="str">
            <v>und</v>
          </cell>
          <cell r="E410">
            <v>4</v>
          </cell>
          <cell r="F410">
            <v>0.17399999999999999</v>
          </cell>
          <cell r="G410">
            <v>0.7</v>
          </cell>
        </row>
        <row r="411">
          <cell r="A411" t="str">
            <v>1,03,17</v>
          </cell>
          <cell r="B411" t="str">
            <v>Caja rectangular de 100x50 mm</v>
          </cell>
          <cell r="C411" t="str">
            <v>und</v>
          </cell>
          <cell r="E411">
            <v>1</v>
          </cell>
          <cell r="F411">
            <v>0.78</v>
          </cell>
          <cell r="G411">
            <v>0.78</v>
          </cell>
        </row>
        <row r="412">
          <cell r="A412" t="str">
            <v>1,03,17</v>
          </cell>
          <cell r="B412" t="str">
            <v>Conductor de 4mm2 THW</v>
          </cell>
          <cell r="C412" t="str">
            <v>ml</v>
          </cell>
          <cell r="E412">
            <v>28.200000000000003</v>
          </cell>
          <cell r="F412">
            <v>0.32</v>
          </cell>
          <cell r="G412">
            <v>9.02</v>
          </cell>
        </row>
        <row r="413">
          <cell r="A413" t="str">
            <v>1,03,17</v>
          </cell>
          <cell r="B413" t="str">
            <v>Abrazadera de 20 mm</v>
          </cell>
          <cell r="C413" t="str">
            <v>und</v>
          </cell>
          <cell r="E413">
            <v>4</v>
          </cell>
          <cell r="F413">
            <v>0.14000000000000001</v>
          </cell>
          <cell r="G413">
            <v>0.56000000000000005</v>
          </cell>
        </row>
        <row r="414">
          <cell r="A414" t="str">
            <v>1,03,17</v>
          </cell>
          <cell r="B414" t="str">
            <v>Tarugo plastico verde de 1/4</v>
          </cell>
          <cell r="C414" t="str">
            <v>und</v>
          </cell>
          <cell r="E414">
            <v>4</v>
          </cell>
          <cell r="F414">
            <v>0.115</v>
          </cell>
          <cell r="G414">
            <v>0.46</v>
          </cell>
        </row>
        <row r="415">
          <cell r="A415" t="str">
            <v>1,03,17</v>
          </cell>
          <cell r="B415" t="str">
            <v>Tornillo autoroscante de 8x1"</v>
          </cell>
          <cell r="C415" t="str">
            <v>und</v>
          </cell>
          <cell r="E415">
            <v>4</v>
          </cell>
          <cell r="F415">
            <v>4.2000000000000003E-2</v>
          </cell>
          <cell r="G415">
            <v>0.17</v>
          </cell>
        </row>
        <row r="416">
          <cell r="A416" t="str">
            <v>1,03,17</v>
          </cell>
          <cell r="B416" t="str">
            <v>Tornillo autoroscante de8x1/2"</v>
          </cell>
          <cell r="C416" t="str">
            <v>und</v>
          </cell>
          <cell r="E416">
            <v>4</v>
          </cell>
          <cell r="F416">
            <v>4.2000000000000003E-2</v>
          </cell>
          <cell r="G416">
            <v>0.17</v>
          </cell>
        </row>
        <row r="417">
          <cell r="A417" t="str">
            <v>1,03,17</v>
          </cell>
          <cell r="B417" t="str">
            <v>Pegamento de 1/4 de galón</v>
          </cell>
          <cell r="C417" t="str">
            <v>und</v>
          </cell>
          <cell r="E417">
            <v>0.01</v>
          </cell>
          <cell r="F417">
            <v>6.3959999999999999</v>
          </cell>
          <cell r="G417">
            <v>0.06</v>
          </cell>
        </row>
        <row r="418">
          <cell r="A418" t="str">
            <v>1,03,17</v>
          </cell>
          <cell r="B418" t="str">
            <v>Mano de obra</v>
          </cell>
          <cell r="G418">
            <v>6.88</v>
          </cell>
        </row>
        <row r="419">
          <cell r="A419" t="str">
            <v>1,03,17</v>
          </cell>
          <cell r="B419" t="str">
            <v>Operario</v>
          </cell>
          <cell r="C419" t="str">
            <v>HH</v>
          </cell>
          <cell r="D419">
            <v>1</v>
          </cell>
          <cell r="E419">
            <v>1.3333333333333333</v>
          </cell>
          <cell r="F419">
            <v>2.84</v>
          </cell>
          <cell r="G419">
            <v>3.79</v>
          </cell>
          <cell r="H419">
            <v>6</v>
          </cell>
        </row>
        <row r="420">
          <cell r="A420" t="str">
            <v>1,03,17</v>
          </cell>
          <cell r="B420" t="str">
            <v>Peón</v>
          </cell>
          <cell r="C420" t="str">
            <v>HH</v>
          </cell>
          <cell r="D420">
            <v>1</v>
          </cell>
          <cell r="E420">
            <v>1.3333333333333333</v>
          </cell>
          <cell r="F420">
            <v>2.3199999999999998</v>
          </cell>
          <cell r="G420">
            <v>3.09</v>
          </cell>
          <cell r="H420">
            <v>6</v>
          </cell>
        </row>
        <row r="421">
          <cell r="A421" t="str">
            <v>1,03,17</v>
          </cell>
          <cell r="B421" t="str">
            <v>Equipos</v>
          </cell>
          <cell r="G421">
            <v>1.59</v>
          </cell>
        </row>
        <row r="422">
          <cell r="A422" t="str">
            <v>1,03,17</v>
          </cell>
          <cell r="B422" t="str">
            <v>Escalera</v>
          </cell>
          <cell r="C422" t="str">
            <v>DIA</v>
          </cell>
          <cell r="D422">
            <v>1</v>
          </cell>
          <cell r="E422">
            <v>0.16666666666666666</v>
          </cell>
          <cell r="F422">
            <v>1</v>
          </cell>
          <cell r="G422">
            <v>0.17</v>
          </cell>
        </row>
        <row r="423">
          <cell r="A423" t="str">
            <v>1,03,17</v>
          </cell>
          <cell r="B423" t="str">
            <v>Taladro Hilti</v>
          </cell>
          <cell r="C423" t="str">
            <v>DIA</v>
          </cell>
          <cell r="D423">
            <v>1</v>
          </cell>
          <cell r="E423">
            <v>0.16666666666666666</v>
          </cell>
          <cell r="F423">
            <v>6.5</v>
          </cell>
          <cell r="G423">
            <v>1.08</v>
          </cell>
        </row>
        <row r="424">
          <cell r="A424" t="str">
            <v>1,03,17</v>
          </cell>
          <cell r="B424" t="str">
            <v>Desgaste de herramientas</v>
          </cell>
          <cell r="C424" t="str">
            <v>%MO</v>
          </cell>
          <cell r="E424">
            <v>0.05</v>
          </cell>
          <cell r="F424">
            <v>6.88</v>
          </cell>
          <cell r="G424">
            <v>0.34</v>
          </cell>
        </row>
        <row r="425">
          <cell r="A425" t="str">
            <v>1,03,18</v>
          </cell>
          <cell r="B425" t="str">
            <v>Salida para pulsador de encendido y apagado de pasadizos</v>
          </cell>
          <cell r="F425" t="str">
            <v>( und )</v>
          </cell>
          <cell r="G425">
            <v>29.74</v>
          </cell>
        </row>
        <row r="426">
          <cell r="A426" t="str">
            <v>1,03,18</v>
          </cell>
          <cell r="C426" t="str">
            <v>und.</v>
          </cell>
          <cell r="D426" t="str">
            <v>cuad.</v>
          </cell>
          <cell r="E426" t="str">
            <v>cant.</v>
          </cell>
          <cell r="F426" t="str">
            <v>prec. $</v>
          </cell>
          <cell r="G426" t="str">
            <v>parcial $</v>
          </cell>
        </row>
        <row r="427">
          <cell r="A427" t="str">
            <v>1,03,18</v>
          </cell>
          <cell r="B427" t="str">
            <v>Materiales</v>
          </cell>
          <cell r="G427">
            <v>23.38</v>
          </cell>
        </row>
        <row r="428">
          <cell r="A428" t="str">
            <v>1,03,18</v>
          </cell>
          <cell r="B428" t="str">
            <v>Tubería PVC SAP de 20 mm</v>
          </cell>
          <cell r="C428" t="str">
            <v>ml</v>
          </cell>
          <cell r="E428">
            <v>9.5</v>
          </cell>
          <cell r="F428">
            <v>0.41</v>
          </cell>
          <cell r="G428">
            <v>3.9</v>
          </cell>
        </row>
        <row r="429">
          <cell r="A429" t="str">
            <v>1,03,18</v>
          </cell>
          <cell r="B429" t="str">
            <v>Curva PVC SAP de 20 mm</v>
          </cell>
          <cell r="C429" t="str">
            <v>und</v>
          </cell>
          <cell r="E429">
            <v>4</v>
          </cell>
          <cell r="F429">
            <v>0.59</v>
          </cell>
          <cell r="G429">
            <v>2.36</v>
          </cell>
        </row>
        <row r="430">
          <cell r="A430" t="str">
            <v>1,03,18</v>
          </cell>
          <cell r="B430" t="str">
            <v>Unión PVC SAP de 20 mm</v>
          </cell>
          <cell r="C430" t="str">
            <v>und</v>
          </cell>
          <cell r="E430">
            <v>3</v>
          </cell>
          <cell r="F430">
            <v>0.25</v>
          </cell>
          <cell r="G430">
            <v>0.75</v>
          </cell>
        </row>
        <row r="431">
          <cell r="A431" t="str">
            <v>1,03,18</v>
          </cell>
          <cell r="B431" t="str">
            <v>Conexión PVC SAP de 20 mm</v>
          </cell>
          <cell r="C431" t="str">
            <v>und</v>
          </cell>
          <cell r="E431">
            <v>3</v>
          </cell>
          <cell r="F431">
            <v>0.17399999999999999</v>
          </cell>
          <cell r="G431">
            <v>0.52</v>
          </cell>
        </row>
        <row r="432">
          <cell r="A432" t="str">
            <v>1,03,18</v>
          </cell>
          <cell r="B432" t="str">
            <v>Caja rectangular de 100x50 mm</v>
          </cell>
          <cell r="C432" t="str">
            <v>und</v>
          </cell>
          <cell r="E432">
            <v>1</v>
          </cell>
          <cell r="F432">
            <v>0.78</v>
          </cell>
          <cell r="G432">
            <v>0.78</v>
          </cell>
        </row>
        <row r="433">
          <cell r="A433" t="str">
            <v>1,03,18</v>
          </cell>
          <cell r="B433" t="str">
            <v>Conductor de 4mm2 THW</v>
          </cell>
          <cell r="C433" t="str">
            <v>ml</v>
          </cell>
          <cell r="E433">
            <v>38</v>
          </cell>
          <cell r="F433">
            <v>0.32</v>
          </cell>
          <cell r="G433">
            <v>12.16</v>
          </cell>
        </row>
        <row r="434">
          <cell r="A434" t="str">
            <v>1,03,18</v>
          </cell>
          <cell r="B434" t="str">
            <v>Abrazadera de 20 mm</v>
          </cell>
          <cell r="C434" t="str">
            <v>und</v>
          </cell>
          <cell r="E434">
            <v>9</v>
          </cell>
          <cell r="F434">
            <v>0.14000000000000001</v>
          </cell>
          <cell r="G434">
            <v>1.26</v>
          </cell>
        </row>
        <row r="435">
          <cell r="A435" t="str">
            <v>1,03,18</v>
          </cell>
          <cell r="B435" t="str">
            <v>Tarugo plastico verde de 1/4</v>
          </cell>
          <cell r="C435" t="str">
            <v>und</v>
          </cell>
          <cell r="E435">
            <v>9</v>
          </cell>
          <cell r="F435">
            <v>0.115</v>
          </cell>
          <cell r="G435">
            <v>1.04</v>
          </cell>
        </row>
        <row r="436">
          <cell r="A436" t="str">
            <v>1,03,18</v>
          </cell>
          <cell r="B436" t="str">
            <v>Tornillo autoroscante de 8x1"</v>
          </cell>
          <cell r="C436" t="str">
            <v>und</v>
          </cell>
          <cell r="E436">
            <v>9</v>
          </cell>
          <cell r="F436">
            <v>4.2000000000000003E-2</v>
          </cell>
          <cell r="G436">
            <v>0.38</v>
          </cell>
        </row>
        <row r="437">
          <cell r="A437" t="str">
            <v>1,03,18</v>
          </cell>
          <cell r="B437" t="str">
            <v>Tornillo autoroscante de8x1/2"</v>
          </cell>
          <cell r="C437" t="str">
            <v>und</v>
          </cell>
          <cell r="E437">
            <v>4</v>
          </cell>
          <cell r="F437">
            <v>4.2000000000000003E-2</v>
          </cell>
          <cell r="G437">
            <v>0.17</v>
          </cell>
        </row>
        <row r="438">
          <cell r="A438" t="str">
            <v>1,03,18</v>
          </cell>
          <cell r="B438" t="str">
            <v>Pegamento de 1/4 de galón</v>
          </cell>
          <cell r="C438" t="str">
            <v>und</v>
          </cell>
          <cell r="E438">
            <v>0.01</v>
          </cell>
          <cell r="F438">
            <v>6.3959999999999999</v>
          </cell>
          <cell r="G438">
            <v>0.06</v>
          </cell>
        </row>
        <row r="439">
          <cell r="A439" t="str">
            <v>1,03,18</v>
          </cell>
          <cell r="B439" t="str">
            <v>Mano de obra</v>
          </cell>
          <cell r="G439">
            <v>5.16</v>
          </cell>
        </row>
        <row r="440">
          <cell r="A440" t="str">
            <v>1,03,18</v>
          </cell>
          <cell r="B440" t="str">
            <v>Operario</v>
          </cell>
          <cell r="C440" t="str">
            <v>HH</v>
          </cell>
          <cell r="D440">
            <v>1</v>
          </cell>
          <cell r="E440">
            <v>1</v>
          </cell>
          <cell r="F440">
            <v>2.84</v>
          </cell>
          <cell r="G440">
            <v>2.84</v>
          </cell>
          <cell r="H440">
            <v>8</v>
          </cell>
        </row>
        <row r="441">
          <cell r="A441" t="str">
            <v>1,03,18</v>
          </cell>
          <cell r="B441" t="str">
            <v>Peón</v>
          </cell>
          <cell r="C441" t="str">
            <v>HH</v>
          </cell>
          <cell r="D441">
            <v>1</v>
          </cell>
          <cell r="E441">
            <v>1</v>
          </cell>
          <cell r="F441">
            <v>2.3199999999999998</v>
          </cell>
          <cell r="G441">
            <v>2.3199999999999998</v>
          </cell>
          <cell r="H441">
            <v>8</v>
          </cell>
        </row>
        <row r="442">
          <cell r="A442" t="str">
            <v>1,03,18</v>
          </cell>
          <cell r="B442" t="str">
            <v>Equipos</v>
          </cell>
          <cell r="G442">
            <v>1.2000000000000002</v>
          </cell>
        </row>
        <row r="443">
          <cell r="A443" t="str">
            <v>1,03,18</v>
          </cell>
          <cell r="B443" t="str">
            <v>Escalera</v>
          </cell>
          <cell r="C443" t="str">
            <v>DIA</v>
          </cell>
          <cell r="D443">
            <v>1</v>
          </cell>
          <cell r="E443">
            <v>0.125</v>
          </cell>
          <cell r="F443">
            <v>1</v>
          </cell>
          <cell r="G443">
            <v>0.13</v>
          </cell>
        </row>
        <row r="444">
          <cell r="A444" t="str">
            <v>1,03,18</v>
          </cell>
          <cell r="B444" t="str">
            <v>Taladro Hilti</v>
          </cell>
          <cell r="C444" t="str">
            <v>DIA</v>
          </cell>
          <cell r="D444">
            <v>1</v>
          </cell>
          <cell r="E444">
            <v>0.125</v>
          </cell>
          <cell r="F444">
            <v>6.5</v>
          </cell>
          <cell r="G444">
            <v>0.81</v>
          </cell>
        </row>
        <row r="445">
          <cell r="A445" t="str">
            <v>1,03,18</v>
          </cell>
          <cell r="B445" t="str">
            <v>Desgaste de herramientas</v>
          </cell>
          <cell r="C445" t="str">
            <v>%MO</v>
          </cell>
          <cell r="E445">
            <v>0.05</v>
          </cell>
          <cell r="F445">
            <v>5.16</v>
          </cell>
          <cell r="G445">
            <v>0.26</v>
          </cell>
        </row>
        <row r="446">
          <cell r="A446" t="str">
            <v>1,03,19</v>
          </cell>
          <cell r="B446" t="str">
            <v>salida de fuerza para TV</v>
          </cell>
          <cell r="F446" t="str">
            <v>( pto )</v>
          </cell>
          <cell r="G446">
            <v>26.159999999999997</v>
          </cell>
        </row>
        <row r="447">
          <cell r="A447" t="str">
            <v>1,03,19</v>
          </cell>
          <cell r="C447" t="str">
            <v>und.</v>
          </cell>
          <cell r="D447" t="str">
            <v>cuad.</v>
          </cell>
          <cell r="E447" t="str">
            <v>cant.</v>
          </cell>
          <cell r="F447" t="str">
            <v>prec. $</v>
          </cell>
          <cell r="G447" t="str">
            <v>parcial $</v>
          </cell>
        </row>
        <row r="448">
          <cell r="A448" t="str">
            <v>1,03,19</v>
          </cell>
          <cell r="B448" t="str">
            <v>Materiales</v>
          </cell>
          <cell r="G448">
            <v>17.689999999999998</v>
          </cell>
        </row>
        <row r="449">
          <cell r="A449" t="str">
            <v>1,03,19</v>
          </cell>
          <cell r="B449" t="str">
            <v>Tubería PVC SAP de 20 mm</v>
          </cell>
          <cell r="C449" t="str">
            <v>ml</v>
          </cell>
          <cell r="E449">
            <v>4</v>
          </cell>
          <cell r="F449">
            <v>0.41</v>
          </cell>
          <cell r="G449">
            <v>1.64</v>
          </cell>
        </row>
        <row r="450">
          <cell r="A450" t="str">
            <v>1,03,19</v>
          </cell>
          <cell r="B450" t="str">
            <v>Curva PVC SAP de 20 mm</v>
          </cell>
          <cell r="C450" t="str">
            <v>und</v>
          </cell>
          <cell r="E450">
            <v>2</v>
          </cell>
          <cell r="F450">
            <v>0.59</v>
          </cell>
          <cell r="G450">
            <v>1.18</v>
          </cell>
        </row>
        <row r="451">
          <cell r="A451" t="str">
            <v>1,03,19</v>
          </cell>
          <cell r="B451" t="str">
            <v>Unión PVC SAP de 20 mm</v>
          </cell>
          <cell r="C451" t="str">
            <v>und</v>
          </cell>
          <cell r="E451">
            <v>2</v>
          </cell>
          <cell r="F451">
            <v>0.25</v>
          </cell>
          <cell r="G451">
            <v>0.5</v>
          </cell>
        </row>
        <row r="452">
          <cell r="A452" t="str">
            <v>1,03,19</v>
          </cell>
          <cell r="B452" t="str">
            <v>Conexión PVC SAP de 20 mm</v>
          </cell>
          <cell r="C452" t="str">
            <v>und</v>
          </cell>
          <cell r="E452">
            <v>2</v>
          </cell>
          <cell r="F452">
            <v>0.17399999999999999</v>
          </cell>
          <cell r="G452">
            <v>0.35</v>
          </cell>
        </row>
        <row r="453">
          <cell r="A453" t="str">
            <v>1,03,19</v>
          </cell>
          <cell r="B453" t="str">
            <v>Caja rectangular de 100x50 mm</v>
          </cell>
          <cell r="C453" t="str">
            <v>und</v>
          </cell>
          <cell r="E453">
            <v>1</v>
          </cell>
          <cell r="F453">
            <v>0.78</v>
          </cell>
          <cell r="G453">
            <v>0.78</v>
          </cell>
        </row>
        <row r="454">
          <cell r="A454" t="str">
            <v>1,03,19</v>
          </cell>
          <cell r="B454" t="str">
            <v>Conductor de 4mm2 THW</v>
          </cell>
          <cell r="C454" t="str">
            <v>ml</v>
          </cell>
          <cell r="E454">
            <v>37.928571428571431</v>
          </cell>
          <cell r="F454">
            <v>0.32</v>
          </cell>
          <cell r="G454">
            <v>12.14</v>
          </cell>
        </row>
        <row r="455">
          <cell r="A455" t="str">
            <v>1,03,19</v>
          </cell>
          <cell r="B455" t="str">
            <v>Abrazadera de 20 mm</v>
          </cell>
          <cell r="C455" t="str">
            <v>und</v>
          </cell>
          <cell r="E455">
            <v>3.2142857142857144</v>
          </cell>
          <cell r="F455">
            <v>0.14000000000000001</v>
          </cell>
          <cell r="G455">
            <v>0.45</v>
          </cell>
        </row>
        <row r="456">
          <cell r="A456" t="str">
            <v>1,03,19</v>
          </cell>
          <cell r="B456" t="str">
            <v>Tarugo plastico verde de 1/4</v>
          </cell>
          <cell r="C456" t="str">
            <v>und</v>
          </cell>
          <cell r="E456">
            <v>3.2142857142857144</v>
          </cell>
          <cell r="F456">
            <v>0.115</v>
          </cell>
          <cell r="G456">
            <v>0.37</v>
          </cell>
        </row>
        <row r="457">
          <cell r="A457" t="str">
            <v>1,03,19</v>
          </cell>
          <cell r="B457" t="str">
            <v>Tornillo autoroscante de 8x1"</v>
          </cell>
          <cell r="C457" t="str">
            <v>und</v>
          </cell>
          <cell r="E457">
            <v>3.2142857142857144</v>
          </cell>
          <cell r="F457">
            <v>4.2000000000000003E-2</v>
          </cell>
          <cell r="G457">
            <v>0.14000000000000001</v>
          </cell>
        </row>
        <row r="458">
          <cell r="A458" t="str">
            <v>1,03,19</v>
          </cell>
          <cell r="B458" t="str">
            <v>Tornillo autoroscante de8x1/2"</v>
          </cell>
          <cell r="C458" t="str">
            <v>und</v>
          </cell>
          <cell r="E458">
            <v>2</v>
          </cell>
          <cell r="F458">
            <v>4.2000000000000003E-2</v>
          </cell>
          <cell r="G458">
            <v>0.08</v>
          </cell>
        </row>
        <row r="459">
          <cell r="A459" t="str">
            <v>1,03,19</v>
          </cell>
          <cell r="B459" t="str">
            <v>Pegamento de 1/4 de galón</v>
          </cell>
          <cell r="C459" t="str">
            <v>und</v>
          </cell>
          <cell r="E459">
            <v>0.01</v>
          </cell>
          <cell r="F459">
            <v>6.3959999999999999</v>
          </cell>
          <cell r="G459">
            <v>0.06</v>
          </cell>
        </row>
        <row r="460">
          <cell r="A460" t="str">
            <v>1,03,19</v>
          </cell>
          <cell r="B460" t="str">
            <v>Mano de obra</v>
          </cell>
          <cell r="G460">
            <v>6.88</v>
          </cell>
        </row>
        <row r="461">
          <cell r="A461" t="str">
            <v>1,03,19</v>
          </cell>
          <cell r="B461" t="str">
            <v>Operario</v>
          </cell>
          <cell r="C461" t="str">
            <v>HH</v>
          </cell>
          <cell r="D461">
            <v>1</v>
          </cell>
          <cell r="E461">
            <v>1.3333333333333333</v>
          </cell>
          <cell r="F461">
            <v>2.84</v>
          </cell>
          <cell r="G461">
            <v>3.79</v>
          </cell>
          <cell r="H461">
            <v>6</v>
          </cell>
        </row>
        <row r="462">
          <cell r="A462" t="str">
            <v>1,03,19</v>
          </cell>
          <cell r="B462" t="str">
            <v>Peón</v>
          </cell>
          <cell r="C462" t="str">
            <v>HH</v>
          </cell>
          <cell r="D462">
            <v>1</v>
          </cell>
          <cell r="E462">
            <v>1.3333333333333333</v>
          </cell>
          <cell r="F462">
            <v>2.3199999999999998</v>
          </cell>
          <cell r="G462">
            <v>3.09</v>
          </cell>
          <cell r="H462">
            <v>6</v>
          </cell>
        </row>
        <row r="463">
          <cell r="A463" t="str">
            <v>1,03,19</v>
          </cell>
          <cell r="B463" t="str">
            <v>Equipos</v>
          </cell>
          <cell r="G463">
            <v>1.59</v>
          </cell>
        </row>
        <row r="464">
          <cell r="A464" t="str">
            <v>1,03,19</v>
          </cell>
          <cell r="B464" t="str">
            <v>Escalera</v>
          </cell>
          <cell r="C464" t="str">
            <v>DIA</v>
          </cell>
          <cell r="D464">
            <v>1</v>
          </cell>
          <cell r="E464">
            <v>0.16666666666666666</v>
          </cell>
          <cell r="F464">
            <v>1</v>
          </cell>
          <cell r="G464">
            <v>0.17</v>
          </cell>
        </row>
        <row r="465">
          <cell r="A465" t="str">
            <v>1,03,19</v>
          </cell>
          <cell r="B465" t="str">
            <v>Taladro Hilti</v>
          </cell>
          <cell r="C465" t="str">
            <v>DIA</v>
          </cell>
          <cell r="D465">
            <v>1</v>
          </cell>
          <cell r="E465">
            <v>0.16666666666666666</v>
          </cell>
          <cell r="F465">
            <v>6.5</v>
          </cell>
          <cell r="G465">
            <v>1.08</v>
          </cell>
        </row>
        <row r="466">
          <cell r="A466" t="str">
            <v>1,03,19</v>
          </cell>
          <cell r="B466" t="str">
            <v>Desgaste de herramientas</v>
          </cell>
          <cell r="C466" t="str">
            <v>%MO</v>
          </cell>
          <cell r="E466">
            <v>0.05</v>
          </cell>
          <cell r="F466">
            <v>6.88</v>
          </cell>
          <cell r="G466">
            <v>0.34</v>
          </cell>
        </row>
        <row r="467">
          <cell r="A467" t="str">
            <v>1,03,20</v>
          </cell>
          <cell r="B467" t="str">
            <v>Salida de fuerza para tablero T-UMA1</v>
          </cell>
          <cell r="F467" t="str">
            <v>( pto )</v>
          </cell>
          <cell r="G467">
            <v>77.64</v>
          </cell>
        </row>
        <row r="468">
          <cell r="A468" t="str">
            <v>1,03,20</v>
          </cell>
          <cell r="C468" t="str">
            <v>und.</v>
          </cell>
          <cell r="D468" t="str">
            <v>cuad.</v>
          </cell>
          <cell r="E468" t="str">
            <v>cant.</v>
          </cell>
          <cell r="F468" t="str">
            <v>prec. $</v>
          </cell>
          <cell r="G468" t="str">
            <v>parcial $</v>
          </cell>
        </row>
        <row r="469">
          <cell r="A469" t="str">
            <v>1,03,20</v>
          </cell>
          <cell r="B469" t="str">
            <v>Materiales</v>
          </cell>
          <cell r="G469">
            <v>52.22</v>
          </cell>
        </row>
        <row r="470">
          <cell r="A470" t="str">
            <v>1,03,20</v>
          </cell>
          <cell r="B470" t="str">
            <v>Tubería PVC SAP de 35 mm</v>
          </cell>
          <cell r="C470" t="str">
            <v>ml</v>
          </cell>
          <cell r="E470">
            <v>7.5</v>
          </cell>
          <cell r="F470">
            <v>0.87</v>
          </cell>
          <cell r="G470">
            <v>6.53</v>
          </cell>
        </row>
        <row r="471">
          <cell r="A471" t="str">
            <v>1,03,20</v>
          </cell>
          <cell r="B471" t="str">
            <v>Curva PVC SAP de 35 mm</v>
          </cell>
          <cell r="C471" t="str">
            <v>und</v>
          </cell>
          <cell r="E471">
            <v>2</v>
          </cell>
          <cell r="F471">
            <v>1.39</v>
          </cell>
          <cell r="G471">
            <v>2.78</v>
          </cell>
        </row>
        <row r="472">
          <cell r="A472" t="str">
            <v>1,03,20</v>
          </cell>
          <cell r="B472" t="str">
            <v>Unión PVC SAP de 35 mm</v>
          </cell>
          <cell r="C472" t="str">
            <v>und</v>
          </cell>
          <cell r="E472">
            <v>4</v>
          </cell>
          <cell r="F472">
            <v>0.53</v>
          </cell>
          <cell r="G472">
            <v>2.12</v>
          </cell>
        </row>
        <row r="473">
          <cell r="A473" t="str">
            <v>1,03,20</v>
          </cell>
          <cell r="B473" t="str">
            <v>Conexión PVC SAP de 35 mm</v>
          </cell>
          <cell r="C473" t="str">
            <v>und</v>
          </cell>
          <cell r="E473">
            <v>4</v>
          </cell>
          <cell r="F473">
            <v>0.31</v>
          </cell>
          <cell r="G473">
            <v>1.24</v>
          </cell>
        </row>
        <row r="474">
          <cell r="A474" t="str">
            <v>1,03,20</v>
          </cell>
          <cell r="B474" t="str">
            <v>Caja F°G° 150x150x100 mm</v>
          </cell>
          <cell r="C474" t="str">
            <v>und</v>
          </cell>
          <cell r="E474">
            <v>1</v>
          </cell>
          <cell r="F474">
            <v>5.4</v>
          </cell>
          <cell r="G474">
            <v>5.4</v>
          </cell>
        </row>
        <row r="475">
          <cell r="A475" t="str">
            <v>1,03,20</v>
          </cell>
          <cell r="B475" t="str">
            <v>Conductor de 10mm2 THW</v>
          </cell>
          <cell r="C475" t="str">
            <v>ml</v>
          </cell>
          <cell r="E475">
            <v>46</v>
          </cell>
          <cell r="F475">
            <v>0.64800000000000002</v>
          </cell>
          <cell r="G475">
            <v>29.81</v>
          </cell>
        </row>
        <row r="476">
          <cell r="A476" t="str">
            <v>1,03,20</v>
          </cell>
          <cell r="B476" t="str">
            <v>Abrazadera de 35 mm</v>
          </cell>
          <cell r="C476" t="str">
            <v>und</v>
          </cell>
          <cell r="E476">
            <v>7</v>
          </cell>
          <cell r="F476">
            <v>0.43</v>
          </cell>
          <cell r="G476">
            <v>3.01</v>
          </cell>
        </row>
        <row r="477">
          <cell r="A477" t="str">
            <v>1,03,20</v>
          </cell>
          <cell r="B477" t="str">
            <v>Tarugo plastico verde de 1/4</v>
          </cell>
          <cell r="C477" t="str">
            <v>und</v>
          </cell>
          <cell r="E477">
            <v>7</v>
          </cell>
          <cell r="F477">
            <v>0.115</v>
          </cell>
          <cell r="G477">
            <v>0.81</v>
          </cell>
        </row>
        <row r="478">
          <cell r="A478" t="str">
            <v>1,03,20</v>
          </cell>
          <cell r="B478" t="str">
            <v>Tornillo autoroscante de 8x1"</v>
          </cell>
          <cell r="C478" t="str">
            <v>und</v>
          </cell>
          <cell r="E478">
            <v>7</v>
          </cell>
          <cell r="F478">
            <v>4.2000000000000003E-2</v>
          </cell>
          <cell r="G478">
            <v>0.28999999999999998</v>
          </cell>
        </row>
        <row r="479">
          <cell r="A479" t="str">
            <v>1,03,20</v>
          </cell>
          <cell r="B479" t="str">
            <v>Tornillo autoroscante de8x1/2"</v>
          </cell>
          <cell r="C479" t="str">
            <v>und</v>
          </cell>
          <cell r="E479">
            <v>4</v>
          </cell>
          <cell r="F479">
            <v>4.2000000000000003E-2</v>
          </cell>
          <cell r="G479">
            <v>0.17</v>
          </cell>
        </row>
        <row r="480">
          <cell r="A480" t="str">
            <v>1,03,20</v>
          </cell>
          <cell r="B480" t="str">
            <v>Pegamento de 1/4 de galón</v>
          </cell>
          <cell r="C480" t="str">
            <v>und</v>
          </cell>
          <cell r="E480">
            <v>0.01</v>
          </cell>
          <cell r="F480">
            <v>6.3959999999999999</v>
          </cell>
          <cell r="G480">
            <v>0.06</v>
          </cell>
        </row>
        <row r="481">
          <cell r="A481" t="str">
            <v>1,03,20</v>
          </cell>
          <cell r="B481" t="str">
            <v>Mano de obra</v>
          </cell>
          <cell r="G481">
            <v>20.64</v>
          </cell>
        </row>
        <row r="482">
          <cell r="A482" t="str">
            <v>1,03,20</v>
          </cell>
          <cell r="B482" t="str">
            <v>Operario</v>
          </cell>
          <cell r="C482" t="str">
            <v>HH</v>
          </cell>
          <cell r="D482">
            <v>1</v>
          </cell>
          <cell r="E482">
            <v>4</v>
          </cell>
          <cell r="F482">
            <v>2.84</v>
          </cell>
          <cell r="G482">
            <v>11.36</v>
          </cell>
          <cell r="H482">
            <v>2</v>
          </cell>
        </row>
        <row r="483">
          <cell r="A483" t="str">
            <v>1,03,20</v>
          </cell>
          <cell r="B483" t="str">
            <v>Peón</v>
          </cell>
          <cell r="C483" t="str">
            <v>HH</v>
          </cell>
          <cell r="D483">
            <v>1</v>
          </cell>
          <cell r="E483">
            <v>4</v>
          </cell>
          <cell r="F483">
            <v>2.3199999999999998</v>
          </cell>
          <cell r="G483">
            <v>9.2799999999999994</v>
          </cell>
          <cell r="H483">
            <v>2</v>
          </cell>
        </row>
        <row r="484">
          <cell r="A484" t="str">
            <v>1,03,20</v>
          </cell>
          <cell r="B484" t="str">
            <v>Equipos</v>
          </cell>
          <cell r="G484">
            <v>4.78</v>
          </cell>
        </row>
        <row r="485">
          <cell r="A485" t="str">
            <v>1,03,20</v>
          </cell>
          <cell r="B485" t="str">
            <v>Escalera</v>
          </cell>
          <cell r="C485" t="str">
            <v>DIA</v>
          </cell>
          <cell r="D485">
            <v>1</v>
          </cell>
          <cell r="E485">
            <v>0.5</v>
          </cell>
          <cell r="F485">
            <v>1</v>
          </cell>
          <cell r="G485">
            <v>0.5</v>
          </cell>
        </row>
        <row r="486">
          <cell r="A486" t="str">
            <v>1,03,20</v>
          </cell>
          <cell r="B486" t="str">
            <v>Taladro Hilti</v>
          </cell>
          <cell r="C486" t="str">
            <v>DIA</v>
          </cell>
          <cell r="D486">
            <v>1</v>
          </cell>
          <cell r="E486">
            <v>0.5</v>
          </cell>
          <cell r="F486">
            <v>6.5</v>
          </cell>
          <cell r="G486">
            <v>3.25</v>
          </cell>
        </row>
        <row r="487">
          <cell r="A487" t="str">
            <v>1,03,20</v>
          </cell>
          <cell r="B487" t="str">
            <v>Desgaste de herramientas</v>
          </cell>
          <cell r="C487" t="str">
            <v>%MO</v>
          </cell>
          <cell r="E487">
            <v>0.05</v>
          </cell>
          <cell r="F487">
            <v>20.64</v>
          </cell>
          <cell r="G487">
            <v>1.03</v>
          </cell>
        </row>
        <row r="488">
          <cell r="A488" t="str">
            <v>1,03,21</v>
          </cell>
          <cell r="B488" t="str">
            <v>Salida de fuerza para tablero T-UMA2</v>
          </cell>
          <cell r="F488" t="str">
            <v>( pto )</v>
          </cell>
          <cell r="G488">
            <v>73.59</v>
          </cell>
        </row>
        <row r="489">
          <cell r="A489" t="str">
            <v>1,03,21</v>
          </cell>
          <cell r="C489" t="str">
            <v>und.</v>
          </cell>
          <cell r="D489" t="str">
            <v>cuad.</v>
          </cell>
          <cell r="E489" t="str">
            <v>cant.</v>
          </cell>
          <cell r="F489" t="str">
            <v>prec. $</v>
          </cell>
          <cell r="G489" t="str">
            <v>parcial $</v>
          </cell>
        </row>
        <row r="490">
          <cell r="A490" t="str">
            <v>1,03,21</v>
          </cell>
          <cell r="B490" t="str">
            <v>Materiales</v>
          </cell>
          <cell r="G490">
            <v>48.17</v>
          </cell>
        </row>
        <row r="491">
          <cell r="A491" t="str">
            <v>1,03,21</v>
          </cell>
          <cell r="B491" t="str">
            <v>Tubería PVC SAP de 35 mm</v>
          </cell>
          <cell r="C491" t="str">
            <v>ml</v>
          </cell>
          <cell r="E491">
            <v>6.5</v>
          </cell>
          <cell r="F491">
            <v>0.87</v>
          </cell>
          <cell r="G491">
            <v>5.66</v>
          </cell>
        </row>
        <row r="492">
          <cell r="A492" t="str">
            <v>1,03,21</v>
          </cell>
          <cell r="B492" t="str">
            <v>Curva PVC SAP de 35 mm</v>
          </cell>
          <cell r="C492" t="str">
            <v>und</v>
          </cell>
          <cell r="E492">
            <v>2</v>
          </cell>
          <cell r="F492">
            <v>1.39</v>
          </cell>
          <cell r="G492">
            <v>2.78</v>
          </cell>
        </row>
        <row r="493">
          <cell r="A493" t="str">
            <v>1,03,21</v>
          </cell>
          <cell r="B493" t="str">
            <v>Unión PVC SAP de 35 mm</v>
          </cell>
          <cell r="C493" t="str">
            <v>und</v>
          </cell>
          <cell r="E493">
            <v>4</v>
          </cell>
          <cell r="F493">
            <v>0.53</v>
          </cell>
          <cell r="G493">
            <v>2.12</v>
          </cell>
        </row>
        <row r="494">
          <cell r="A494" t="str">
            <v>1,03,21</v>
          </cell>
          <cell r="B494" t="str">
            <v>Conexión PVC SAP de 35 mm</v>
          </cell>
          <cell r="C494" t="str">
            <v>und</v>
          </cell>
          <cell r="E494">
            <v>4</v>
          </cell>
          <cell r="F494">
            <v>0.31</v>
          </cell>
          <cell r="G494">
            <v>1.24</v>
          </cell>
        </row>
        <row r="495">
          <cell r="A495" t="str">
            <v>1,03,21</v>
          </cell>
          <cell r="B495" t="str">
            <v>Caja F°G° 150x150x100 mm</v>
          </cell>
          <cell r="C495" t="str">
            <v>und</v>
          </cell>
          <cell r="E495">
            <v>1</v>
          </cell>
          <cell r="F495">
            <v>5.4</v>
          </cell>
          <cell r="G495">
            <v>5.4</v>
          </cell>
        </row>
        <row r="496">
          <cell r="A496" t="str">
            <v>1,03,21</v>
          </cell>
          <cell r="B496" t="str">
            <v>Conductor de 10mm2 THW</v>
          </cell>
          <cell r="C496" t="str">
            <v>ml</v>
          </cell>
          <cell r="E496">
            <v>42</v>
          </cell>
          <cell r="F496">
            <v>0.64800000000000002</v>
          </cell>
          <cell r="G496">
            <v>27.22</v>
          </cell>
        </row>
        <row r="497">
          <cell r="A497" t="str">
            <v>1,03,21</v>
          </cell>
          <cell r="B497" t="str">
            <v>Abrazadera de 35 mm</v>
          </cell>
          <cell r="C497" t="str">
            <v>und</v>
          </cell>
          <cell r="E497">
            <v>6</v>
          </cell>
          <cell r="F497">
            <v>0.43</v>
          </cell>
          <cell r="G497">
            <v>2.58</v>
          </cell>
        </row>
        <row r="498">
          <cell r="A498" t="str">
            <v>1,03,21</v>
          </cell>
          <cell r="B498" t="str">
            <v>Tarugo plastico verde de 1/4</v>
          </cell>
          <cell r="C498" t="str">
            <v>und</v>
          </cell>
          <cell r="E498">
            <v>6</v>
          </cell>
          <cell r="F498">
            <v>0.115</v>
          </cell>
          <cell r="G498">
            <v>0.69</v>
          </cell>
        </row>
        <row r="499">
          <cell r="A499" t="str">
            <v>1,03,21</v>
          </cell>
          <cell r="B499" t="str">
            <v>Tornillo autoroscante de 8x1"</v>
          </cell>
          <cell r="C499" t="str">
            <v>und</v>
          </cell>
          <cell r="E499">
            <v>6</v>
          </cell>
          <cell r="F499">
            <v>4.2000000000000003E-2</v>
          </cell>
          <cell r="G499">
            <v>0.25</v>
          </cell>
        </row>
        <row r="500">
          <cell r="A500" t="str">
            <v>1,03,21</v>
          </cell>
          <cell r="B500" t="str">
            <v>Tornillo autoroscante de8x1/2"</v>
          </cell>
          <cell r="C500" t="str">
            <v>und</v>
          </cell>
          <cell r="E500">
            <v>4</v>
          </cell>
          <cell r="F500">
            <v>4.2000000000000003E-2</v>
          </cell>
          <cell r="G500">
            <v>0.17</v>
          </cell>
        </row>
        <row r="501">
          <cell r="A501" t="str">
            <v>1,03,21</v>
          </cell>
          <cell r="B501" t="str">
            <v>Pegamento de 1/4 de galón</v>
          </cell>
          <cell r="C501" t="str">
            <v>und</v>
          </cell>
          <cell r="E501">
            <v>0.01</v>
          </cell>
          <cell r="F501">
            <v>6.3959999999999999</v>
          </cell>
          <cell r="G501">
            <v>0.06</v>
          </cell>
        </row>
        <row r="502">
          <cell r="A502" t="str">
            <v>1,03,21</v>
          </cell>
          <cell r="B502" t="str">
            <v>Mano de obra</v>
          </cell>
          <cell r="G502">
            <v>20.64</v>
          </cell>
        </row>
        <row r="503">
          <cell r="A503" t="str">
            <v>1,03,21</v>
          </cell>
          <cell r="B503" t="str">
            <v>Operario</v>
          </cell>
          <cell r="C503" t="str">
            <v>HH</v>
          </cell>
          <cell r="D503">
            <v>1</v>
          </cell>
          <cell r="E503">
            <v>4</v>
          </cell>
          <cell r="F503">
            <v>2.84</v>
          </cell>
          <cell r="G503">
            <v>11.36</v>
          </cell>
          <cell r="H503">
            <v>2</v>
          </cell>
        </row>
        <row r="504">
          <cell r="A504" t="str">
            <v>1,03,21</v>
          </cell>
          <cell r="B504" t="str">
            <v>Peón</v>
          </cell>
          <cell r="C504" t="str">
            <v>HH</v>
          </cell>
          <cell r="D504">
            <v>1</v>
          </cell>
          <cell r="E504">
            <v>4</v>
          </cell>
          <cell r="F504">
            <v>2.3199999999999998</v>
          </cell>
          <cell r="G504">
            <v>9.2799999999999994</v>
          </cell>
          <cell r="H504">
            <v>2</v>
          </cell>
        </row>
        <row r="505">
          <cell r="A505" t="str">
            <v>1,03,21</v>
          </cell>
          <cell r="B505" t="str">
            <v>Equipos</v>
          </cell>
          <cell r="G505">
            <v>4.78</v>
          </cell>
        </row>
        <row r="506">
          <cell r="A506" t="str">
            <v>1,03,21</v>
          </cell>
          <cell r="B506" t="str">
            <v>Escalera</v>
          </cell>
          <cell r="C506" t="str">
            <v>DIA</v>
          </cell>
          <cell r="D506">
            <v>1</v>
          </cell>
          <cell r="E506">
            <v>0.5</v>
          </cell>
          <cell r="F506">
            <v>1</v>
          </cell>
          <cell r="G506">
            <v>0.5</v>
          </cell>
        </row>
        <row r="507">
          <cell r="A507" t="str">
            <v>1,03,21</v>
          </cell>
          <cell r="B507" t="str">
            <v>Taladro Hilti</v>
          </cell>
          <cell r="C507" t="str">
            <v>DIA</v>
          </cell>
          <cell r="D507">
            <v>1</v>
          </cell>
          <cell r="E507">
            <v>0.5</v>
          </cell>
          <cell r="F507">
            <v>6.5</v>
          </cell>
          <cell r="G507">
            <v>3.25</v>
          </cell>
        </row>
        <row r="508">
          <cell r="A508" t="str">
            <v>1,03,21</v>
          </cell>
          <cell r="B508" t="str">
            <v>Desgaste de herramientas</v>
          </cell>
          <cell r="C508" t="str">
            <v>%MO</v>
          </cell>
          <cell r="E508">
            <v>0.05</v>
          </cell>
          <cell r="F508">
            <v>20.64</v>
          </cell>
          <cell r="G508">
            <v>1.03</v>
          </cell>
        </row>
        <row r="509">
          <cell r="A509" t="str">
            <v>1,03,22</v>
          </cell>
          <cell r="B509" t="str">
            <v>Alimentador desde el TE-17 al STE-17</v>
          </cell>
          <cell r="F509" t="str">
            <v>( pto )</v>
          </cell>
          <cell r="G509">
            <v>157.13</v>
          </cell>
        </row>
        <row r="510">
          <cell r="A510" t="str">
            <v>1,03,22</v>
          </cell>
          <cell r="C510" t="str">
            <v>und.</v>
          </cell>
          <cell r="D510" t="str">
            <v>cuad.</v>
          </cell>
          <cell r="E510" t="str">
            <v>cant.</v>
          </cell>
          <cell r="F510" t="str">
            <v>prec. $</v>
          </cell>
          <cell r="G510" t="str">
            <v>parcial $</v>
          </cell>
        </row>
        <row r="511">
          <cell r="A511" t="str">
            <v>1,03,22</v>
          </cell>
          <cell r="B511" t="str">
            <v>Materiales</v>
          </cell>
          <cell r="G511">
            <v>106.28999999999999</v>
          </cell>
        </row>
        <row r="512">
          <cell r="A512" t="str">
            <v>1,03,22</v>
          </cell>
          <cell r="B512" t="str">
            <v>Tubería PVC SAP de 35 mm</v>
          </cell>
          <cell r="C512" t="str">
            <v>ml</v>
          </cell>
          <cell r="E512">
            <v>6</v>
          </cell>
          <cell r="F512">
            <v>0.87</v>
          </cell>
          <cell r="G512">
            <v>5.22</v>
          </cell>
        </row>
        <row r="513">
          <cell r="A513" t="str">
            <v>1,03,22</v>
          </cell>
          <cell r="B513" t="str">
            <v>Curva PVC SAP de 35 mm</v>
          </cell>
          <cell r="C513" t="str">
            <v>und</v>
          </cell>
          <cell r="E513">
            <v>2</v>
          </cell>
          <cell r="F513">
            <v>1.39</v>
          </cell>
          <cell r="G513">
            <v>2.78</v>
          </cell>
        </row>
        <row r="514">
          <cell r="A514" t="str">
            <v>1,03,22</v>
          </cell>
          <cell r="B514" t="str">
            <v>Unión PVC SAP de 35 mm</v>
          </cell>
          <cell r="C514" t="str">
            <v>und</v>
          </cell>
          <cell r="E514">
            <v>4</v>
          </cell>
          <cell r="F514">
            <v>0.53</v>
          </cell>
          <cell r="G514">
            <v>2.12</v>
          </cell>
        </row>
        <row r="515">
          <cell r="A515" t="str">
            <v>1,03,22</v>
          </cell>
          <cell r="B515" t="str">
            <v>Conexión PVC SAP de 35 mm</v>
          </cell>
          <cell r="C515" t="str">
            <v>und</v>
          </cell>
          <cell r="E515">
            <v>4</v>
          </cell>
          <cell r="F515">
            <v>0.31</v>
          </cell>
          <cell r="G515">
            <v>1.24</v>
          </cell>
        </row>
        <row r="516">
          <cell r="A516" t="str">
            <v>1,03,22</v>
          </cell>
          <cell r="B516" t="str">
            <v>Conductor de 10mm2 THW</v>
          </cell>
          <cell r="C516" t="str">
            <v>ml</v>
          </cell>
          <cell r="E516">
            <v>140</v>
          </cell>
          <cell r="F516">
            <v>0.64800000000000002</v>
          </cell>
          <cell r="G516">
            <v>90.72</v>
          </cell>
        </row>
        <row r="517">
          <cell r="A517" t="str">
            <v>1,03,22</v>
          </cell>
          <cell r="B517" t="str">
            <v>Abrazadera para riel acanalado de 35 mm</v>
          </cell>
          <cell r="C517" t="str">
            <v>und</v>
          </cell>
          <cell r="E517">
            <v>4</v>
          </cell>
          <cell r="F517">
            <v>0.88</v>
          </cell>
          <cell r="G517">
            <v>3.52</v>
          </cell>
        </row>
        <row r="518">
          <cell r="A518" t="str">
            <v>1,03,22</v>
          </cell>
          <cell r="B518" t="str">
            <v>Tarugo plastico verde de 1/4</v>
          </cell>
          <cell r="C518" t="str">
            <v>und</v>
          </cell>
          <cell r="E518">
            <v>4</v>
          </cell>
          <cell r="F518">
            <v>0.115</v>
          </cell>
          <cell r="G518">
            <v>0.46</v>
          </cell>
        </row>
        <row r="519">
          <cell r="A519" t="str">
            <v>1,03,22</v>
          </cell>
          <cell r="B519" t="str">
            <v>Tornillo autoroscante de 8x1"</v>
          </cell>
          <cell r="C519" t="str">
            <v>und</v>
          </cell>
          <cell r="E519">
            <v>4</v>
          </cell>
          <cell r="F519">
            <v>4.2000000000000003E-2</v>
          </cell>
          <cell r="G519">
            <v>0.17</v>
          </cell>
        </row>
        <row r="520">
          <cell r="A520" t="str">
            <v>1,03,22</v>
          </cell>
          <cell r="B520" t="str">
            <v>Pegamento de 1/4 de galón</v>
          </cell>
          <cell r="C520" t="str">
            <v>und</v>
          </cell>
          <cell r="E520">
            <v>0.01</v>
          </cell>
          <cell r="F520">
            <v>6.3959999999999999</v>
          </cell>
          <cell r="G520">
            <v>0.06</v>
          </cell>
        </row>
        <row r="521">
          <cell r="A521" t="str">
            <v>1,03,22</v>
          </cell>
          <cell r="B521" t="str">
            <v>Mano de obra</v>
          </cell>
          <cell r="G521">
            <v>41.28</v>
          </cell>
        </row>
        <row r="522">
          <cell r="A522" t="str">
            <v>1,03,22</v>
          </cell>
          <cell r="B522" t="str">
            <v>Operario</v>
          </cell>
          <cell r="C522" t="str">
            <v>HH</v>
          </cell>
          <cell r="D522">
            <v>1</v>
          </cell>
          <cell r="E522">
            <v>8</v>
          </cell>
          <cell r="F522">
            <v>2.84</v>
          </cell>
          <cell r="G522">
            <v>22.72</v>
          </cell>
          <cell r="H522">
            <v>1</v>
          </cell>
        </row>
        <row r="523">
          <cell r="A523" t="str">
            <v>1,03,22</v>
          </cell>
          <cell r="B523" t="str">
            <v>Peón</v>
          </cell>
          <cell r="C523" t="str">
            <v>HH</v>
          </cell>
          <cell r="D523">
            <v>1</v>
          </cell>
          <cell r="E523">
            <v>8</v>
          </cell>
          <cell r="F523">
            <v>2.3199999999999998</v>
          </cell>
          <cell r="G523">
            <v>18.559999999999999</v>
          </cell>
          <cell r="H523">
            <v>1</v>
          </cell>
        </row>
        <row r="524">
          <cell r="A524" t="str">
            <v>1,03,22</v>
          </cell>
          <cell r="B524" t="str">
            <v>Equipos</v>
          </cell>
          <cell r="G524">
            <v>9.56</v>
          </cell>
        </row>
        <row r="525">
          <cell r="A525" t="str">
            <v>1,03,22</v>
          </cell>
          <cell r="B525" t="str">
            <v>Escalera</v>
          </cell>
          <cell r="C525" t="str">
            <v>DIA</v>
          </cell>
          <cell r="D525">
            <v>1</v>
          </cell>
          <cell r="E525">
            <v>1</v>
          </cell>
          <cell r="F525">
            <v>1</v>
          </cell>
          <cell r="G525">
            <v>1</v>
          </cell>
        </row>
        <row r="526">
          <cell r="A526" t="str">
            <v>1,03,22</v>
          </cell>
          <cell r="B526" t="str">
            <v>Taladro Hilti</v>
          </cell>
          <cell r="C526" t="str">
            <v>DIA</v>
          </cell>
          <cell r="D526">
            <v>1</v>
          </cell>
          <cell r="E526">
            <v>1</v>
          </cell>
          <cell r="F526">
            <v>6.5</v>
          </cell>
          <cell r="G526">
            <v>6.5</v>
          </cell>
        </row>
        <row r="527">
          <cell r="A527" t="str">
            <v>1,03,22</v>
          </cell>
          <cell r="B527" t="str">
            <v>Desgaste de herramientas</v>
          </cell>
          <cell r="C527" t="str">
            <v>%MO</v>
          </cell>
          <cell r="E527">
            <v>0.05</v>
          </cell>
          <cell r="F527">
            <v>41.28</v>
          </cell>
          <cell r="G527">
            <v>2.06</v>
          </cell>
        </row>
        <row r="528">
          <cell r="A528" t="str">
            <v>1,03,23</v>
          </cell>
          <cell r="B528" t="str">
            <v>Tablero eléctrico TO17-1</v>
          </cell>
          <cell r="F528" t="str">
            <v>(und)</v>
          </cell>
          <cell r="G528">
            <v>462.1400000000001</v>
          </cell>
        </row>
        <row r="529">
          <cell r="A529" t="str">
            <v>1,03,23</v>
          </cell>
          <cell r="C529" t="str">
            <v>und.</v>
          </cell>
          <cell r="D529" t="str">
            <v>cuad.</v>
          </cell>
          <cell r="E529" t="str">
            <v>cant.</v>
          </cell>
          <cell r="F529" t="str">
            <v>prec. $</v>
          </cell>
          <cell r="G529" t="str">
            <v>parcial $</v>
          </cell>
        </row>
        <row r="530">
          <cell r="A530" t="str">
            <v>1,03,23</v>
          </cell>
          <cell r="B530" t="str">
            <v>Materiales</v>
          </cell>
          <cell r="G530">
            <v>387.37000000000006</v>
          </cell>
        </row>
        <row r="531">
          <cell r="A531" t="str">
            <v>1,03,23</v>
          </cell>
          <cell r="B531" t="str">
            <v>Tablero eléctrico TO17-1</v>
          </cell>
          <cell r="C531" t="str">
            <v>und</v>
          </cell>
          <cell r="E531">
            <v>1</v>
          </cell>
          <cell r="F531">
            <v>376</v>
          </cell>
          <cell r="G531">
            <v>376</v>
          </cell>
        </row>
        <row r="532">
          <cell r="A532" t="str">
            <v>1,03,23</v>
          </cell>
          <cell r="B532" t="str">
            <v>Varilla roscada de 1/2"x1,8</v>
          </cell>
          <cell r="C532" t="str">
            <v>und</v>
          </cell>
          <cell r="E532">
            <v>0.3</v>
          </cell>
          <cell r="F532">
            <v>3.71</v>
          </cell>
          <cell r="G532">
            <v>1.1100000000000001</v>
          </cell>
        </row>
        <row r="533">
          <cell r="A533" t="str">
            <v>1,03,23</v>
          </cell>
          <cell r="B533" t="str">
            <v>tuerca hexagonal de 1/2"</v>
          </cell>
          <cell r="C533" t="str">
            <v>und</v>
          </cell>
          <cell r="E533">
            <v>6</v>
          </cell>
          <cell r="F533">
            <v>0.12</v>
          </cell>
          <cell r="G533">
            <v>0.72</v>
          </cell>
        </row>
        <row r="534">
          <cell r="A534" t="str">
            <v>1,03,23</v>
          </cell>
          <cell r="B534" t="str">
            <v>Arandela cuadrada de 1/2"</v>
          </cell>
          <cell r="C534" t="str">
            <v>und</v>
          </cell>
          <cell r="E534">
            <v>6</v>
          </cell>
          <cell r="F534">
            <v>0.53</v>
          </cell>
          <cell r="G534">
            <v>3.18</v>
          </cell>
        </row>
        <row r="535">
          <cell r="A535" t="str">
            <v>1,03,23</v>
          </cell>
          <cell r="B535" t="str">
            <v>Taco de expansión de 1/2"</v>
          </cell>
          <cell r="C535" t="str">
            <v>und</v>
          </cell>
          <cell r="E535">
            <v>6</v>
          </cell>
          <cell r="F535">
            <v>1.06</v>
          </cell>
          <cell r="G535">
            <v>6.36</v>
          </cell>
        </row>
        <row r="536">
          <cell r="A536" t="str">
            <v>1,03,23</v>
          </cell>
          <cell r="B536" t="str">
            <v>Mano de obra</v>
          </cell>
          <cell r="G536">
            <v>61.92</v>
          </cell>
        </row>
        <row r="537">
          <cell r="A537" t="str">
            <v>1,03,23</v>
          </cell>
          <cell r="B537" t="str">
            <v>Operario</v>
          </cell>
          <cell r="C537" t="str">
            <v>HH</v>
          </cell>
          <cell r="D537">
            <v>1</v>
          </cell>
          <cell r="E537">
            <v>12</v>
          </cell>
          <cell r="F537">
            <v>2.84</v>
          </cell>
          <cell r="G537">
            <v>34.08</v>
          </cell>
          <cell r="H537">
            <v>0.66666666666666663</v>
          </cell>
        </row>
        <row r="538">
          <cell r="A538" t="str">
            <v>1,03,23</v>
          </cell>
          <cell r="B538" t="str">
            <v>Peón</v>
          </cell>
          <cell r="C538" t="str">
            <v>HH</v>
          </cell>
          <cell r="D538">
            <v>1</v>
          </cell>
          <cell r="E538">
            <v>12</v>
          </cell>
          <cell r="F538">
            <v>2.3199999999999998</v>
          </cell>
          <cell r="G538">
            <v>27.84</v>
          </cell>
          <cell r="H538">
            <v>0.66666666666666663</v>
          </cell>
        </row>
        <row r="539">
          <cell r="A539" t="str">
            <v>1,03,23</v>
          </cell>
          <cell r="B539" t="str">
            <v>Equipos</v>
          </cell>
          <cell r="G539">
            <v>12.85</v>
          </cell>
        </row>
        <row r="540">
          <cell r="A540" t="str">
            <v>1,03,23</v>
          </cell>
          <cell r="B540" t="str">
            <v>Taladro Hilti</v>
          </cell>
          <cell r="C540" t="str">
            <v>DIA</v>
          </cell>
          <cell r="D540">
            <v>1</v>
          </cell>
          <cell r="E540">
            <v>1.5</v>
          </cell>
          <cell r="F540">
            <v>6.5</v>
          </cell>
          <cell r="G540">
            <v>9.75</v>
          </cell>
        </row>
        <row r="541">
          <cell r="A541" t="str">
            <v>1,03,23</v>
          </cell>
          <cell r="B541" t="str">
            <v>Desgaste de herramientas</v>
          </cell>
          <cell r="C541" t="str">
            <v>%MO</v>
          </cell>
          <cell r="E541">
            <v>0.05</v>
          </cell>
          <cell r="F541">
            <v>61.92</v>
          </cell>
          <cell r="G541">
            <v>3.1</v>
          </cell>
        </row>
        <row r="542">
          <cell r="A542" t="str">
            <v>1,03,24</v>
          </cell>
          <cell r="B542" t="str">
            <v>Tablero eléctrico TO17-2</v>
          </cell>
          <cell r="F542" t="str">
            <v>(und)</v>
          </cell>
          <cell r="G542">
            <v>1051.03</v>
          </cell>
        </row>
        <row r="543">
          <cell r="A543" t="str">
            <v>1,03,24</v>
          </cell>
          <cell r="C543" t="str">
            <v>und.</v>
          </cell>
          <cell r="D543" t="str">
            <v>cuad.</v>
          </cell>
          <cell r="E543" t="str">
            <v>cant.</v>
          </cell>
          <cell r="F543" t="str">
            <v>prec. $</v>
          </cell>
          <cell r="G543" t="str">
            <v>parcial $</v>
          </cell>
        </row>
        <row r="544">
          <cell r="A544" t="str">
            <v>1,03,24</v>
          </cell>
          <cell r="B544" t="str">
            <v>Materiales</v>
          </cell>
          <cell r="G544">
            <v>912.37</v>
          </cell>
        </row>
        <row r="545">
          <cell r="A545" t="str">
            <v>1,03,24</v>
          </cell>
          <cell r="B545" t="str">
            <v>Tablero eléctrico TO17-2</v>
          </cell>
          <cell r="C545" t="str">
            <v>und</v>
          </cell>
          <cell r="E545">
            <v>1</v>
          </cell>
          <cell r="F545">
            <v>901</v>
          </cell>
          <cell r="G545">
            <v>901</v>
          </cell>
        </row>
        <row r="546">
          <cell r="A546" t="str">
            <v>1,03,24</v>
          </cell>
          <cell r="B546" t="str">
            <v>Varilla roscada de 1/2"x1,8</v>
          </cell>
          <cell r="C546" t="str">
            <v>und</v>
          </cell>
          <cell r="E546">
            <v>0.3</v>
          </cell>
          <cell r="F546">
            <v>3.71</v>
          </cell>
          <cell r="G546">
            <v>1.1100000000000001</v>
          </cell>
        </row>
        <row r="547">
          <cell r="A547" t="str">
            <v>1,03,24</v>
          </cell>
          <cell r="B547" t="str">
            <v>Tuerca hexagonal de 1/2"</v>
          </cell>
          <cell r="C547" t="str">
            <v>und</v>
          </cell>
          <cell r="E547">
            <v>6</v>
          </cell>
          <cell r="F547">
            <v>0.12</v>
          </cell>
          <cell r="G547">
            <v>0.72</v>
          </cell>
        </row>
        <row r="548">
          <cell r="A548" t="str">
            <v>1,03,24</v>
          </cell>
          <cell r="B548" t="str">
            <v>Arandela cuadrada de 1/2"</v>
          </cell>
          <cell r="C548" t="str">
            <v>und</v>
          </cell>
          <cell r="E548">
            <v>6</v>
          </cell>
          <cell r="F548">
            <v>0.53</v>
          </cell>
          <cell r="G548">
            <v>3.18</v>
          </cell>
        </row>
        <row r="549">
          <cell r="A549" t="str">
            <v>1,03,24</v>
          </cell>
          <cell r="B549" t="str">
            <v>Taco de expansión de 1/2"</v>
          </cell>
          <cell r="C549" t="str">
            <v>und</v>
          </cell>
          <cell r="E549">
            <v>6</v>
          </cell>
          <cell r="F549">
            <v>1.06</v>
          </cell>
          <cell r="G549">
            <v>6.36</v>
          </cell>
        </row>
        <row r="550">
          <cell r="A550" t="str">
            <v>1,03,24</v>
          </cell>
          <cell r="B550" t="str">
            <v>Mano de obra</v>
          </cell>
          <cell r="G550">
            <v>119.67999999999999</v>
          </cell>
        </row>
        <row r="551">
          <cell r="A551" t="str">
            <v>1,03,24</v>
          </cell>
          <cell r="B551" t="str">
            <v>Operario</v>
          </cell>
          <cell r="C551" t="str">
            <v>HH</v>
          </cell>
          <cell r="D551">
            <v>1</v>
          </cell>
          <cell r="E551">
            <v>16</v>
          </cell>
          <cell r="F551">
            <v>2.84</v>
          </cell>
          <cell r="G551">
            <v>45.44</v>
          </cell>
          <cell r="H551">
            <v>0.5</v>
          </cell>
        </row>
        <row r="552">
          <cell r="A552" t="str">
            <v>1,03,24</v>
          </cell>
          <cell r="B552" t="str">
            <v>Peón</v>
          </cell>
          <cell r="C552" t="str">
            <v>HH</v>
          </cell>
          <cell r="D552">
            <v>2</v>
          </cell>
          <cell r="E552">
            <v>16</v>
          </cell>
          <cell r="F552">
            <v>2.3199999999999998</v>
          </cell>
          <cell r="G552">
            <v>74.239999999999995</v>
          </cell>
          <cell r="H552">
            <v>0.5</v>
          </cell>
        </row>
        <row r="553">
          <cell r="A553" t="str">
            <v>1,03,24</v>
          </cell>
          <cell r="B553" t="str">
            <v>Equipos</v>
          </cell>
          <cell r="G553">
            <v>18.98</v>
          </cell>
        </row>
        <row r="554">
          <cell r="A554" t="str">
            <v>1,03,24</v>
          </cell>
          <cell r="B554" t="str">
            <v>Taladro Hilti</v>
          </cell>
          <cell r="C554" t="str">
            <v>DIA</v>
          </cell>
          <cell r="D554">
            <v>1</v>
          </cell>
          <cell r="E554">
            <v>2</v>
          </cell>
          <cell r="F554">
            <v>6.5</v>
          </cell>
          <cell r="G554">
            <v>13</v>
          </cell>
        </row>
        <row r="555">
          <cell r="A555" t="str">
            <v>1,03,24</v>
          </cell>
          <cell r="B555" t="str">
            <v>Desgaste de herramientas</v>
          </cell>
          <cell r="C555" t="str">
            <v>%MO</v>
          </cell>
          <cell r="E555">
            <v>0.05</v>
          </cell>
          <cell r="F555">
            <v>119.67999999999999</v>
          </cell>
          <cell r="G555">
            <v>5.98</v>
          </cell>
        </row>
        <row r="556">
          <cell r="A556" t="str">
            <v>1,03,25</v>
          </cell>
          <cell r="B556" t="str">
            <v>Tablero eléctrico STE-17</v>
          </cell>
          <cell r="F556" t="str">
            <v>(und)</v>
          </cell>
          <cell r="G556">
            <v>286.21000000000004</v>
          </cell>
        </row>
        <row r="557">
          <cell r="A557" t="str">
            <v>1,03,25</v>
          </cell>
          <cell r="C557" t="str">
            <v>und.</v>
          </cell>
          <cell r="D557" t="str">
            <v>cuad.</v>
          </cell>
          <cell r="E557" t="str">
            <v>cant.</v>
          </cell>
          <cell r="F557" t="str">
            <v>prec. $</v>
          </cell>
          <cell r="G557" t="str">
            <v>parcial $</v>
          </cell>
        </row>
        <row r="558">
          <cell r="A558" t="str">
            <v>1,03,25</v>
          </cell>
          <cell r="B558" t="str">
            <v>Materiales</v>
          </cell>
          <cell r="G558">
            <v>236.37000000000003</v>
          </cell>
        </row>
        <row r="559">
          <cell r="A559" t="str">
            <v>1,03,25</v>
          </cell>
          <cell r="B559" t="str">
            <v>Tablero eléctrico STE-17</v>
          </cell>
          <cell r="C559" t="str">
            <v>und</v>
          </cell>
          <cell r="E559">
            <v>1</v>
          </cell>
          <cell r="F559">
            <v>225</v>
          </cell>
          <cell r="G559">
            <v>225</v>
          </cell>
        </row>
        <row r="560">
          <cell r="A560" t="str">
            <v>1,03,25</v>
          </cell>
          <cell r="B560" t="str">
            <v>Varilla roscada de 1/2"x1,8</v>
          </cell>
          <cell r="C560" t="str">
            <v>und</v>
          </cell>
          <cell r="E560">
            <v>0.3</v>
          </cell>
          <cell r="F560">
            <v>3.71</v>
          </cell>
          <cell r="G560">
            <v>1.1100000000000001</v>
          </cell>
        </row>
        <row r="561">
          <cell r="A561" t="str">
            <v>1,03,25</v>
          </cell>
          <cell r="B561" t="str">
            <v>tuerca hexagonal de 1/2"</v>
          </cell>
          <cell r="C561" t="str">
            <v>und</v>
          </cell>
          <cell r="E561">
            <v>6</v>
          </cell>
          <cell r="F561">
            <v>0.12</v>
          </cell>
          <cell r="G561">
            <v>0.72</v>
          </cell>
        </row>
        <row r="562">
          <cell r="A562" t="str">
            <v>1,03,25</v>
          </cell>
          <cell r="B562" t="str">
            <v>Arandela cuadrada de 1/2"</v>
          </cell>
          <cell r="C562" t="str">
            <v>und</v>
          </cell>
          <cell r="E562">
            <v>6</v>
          </cell>
          <cell r="F562">
            <v>0.53</v>
          </cell>
          <cell r="G562">
            <v>3.18</v>
          </cell>
        </row>
        <row r="563">
          <cell r="A563" t="str">
            <v>1,03,25</v>
          </cell>
          <cell r="B563" t="str">
            <v>Taco de expansión de 1/2"</v>
          </cell>
          <cell r="C563" t="str">
            <v>und</v>
          </cell>
          <cell r="E563">
            <v>6</v>
          </cell>
          <cell r="F563">
            <v>1.06</v>
          </cell>
          <cell r="G563">
            <v>6.36</v>
          </cell>
        </row>
        <row r="564">
          <cell r="A564" t="str">
            <v>1,03,25</v>
          </cell>
          <cell r="B564" t="str">
            <v>Mano de obra</v>
          </cell>
          <cell r="G564">
            <v>41.28</v>
          </cell>
        </row>
        <row r="565">
          <cell r="A565" t="str">
            <v>1,03,25</v>
          </cell>
          <cell r="B565" t="str">
            <v>Operario</v>
          </cell>
          <cell r="C565" t="str">
            <v>HH</v>
          </cell>
          <cell r="D565">
            <v>1</v>
          </cell>
          <cell r="E565">
            <v>8</v>
          </cell>
          <cell r="F565">
            <v>2.84</v>
          </cell>
          <cell r="G565">
            <v>22.72</v>
          </cell>
          <cell r="H565">
            <v>1</v>
          </cell>
        </row>
        <row r="566">
          <cell r="A566" t="str">
            <v>1,03,25</v>
          </cell>
          <cell r="B566" t="str">
            <v>Peón</v>
          </cell>
          <cell r="C566" t="str">
            <v>HH</v>
          </cell>
          <cell r="D566">
            <v>1</v>
          </cell>
          <cell r="E566">
            <v>8</v>
          </cell>
          <cell r="F566">
            <v>2.3199999999999998</v>
          </cell>
          <cell r="G566">
            <v>18.559999999999999</v>
          </cell>
          <cell r="H566">
            <v>1</v>
          </cell>
        </row>
        <row r="567">
          <cell r="A567" t="str">
            <v>1,03,25</v>
          </cell>
          <cell r="B567" t="str">
            <v>Equipos</v>
          </cell>
          <cell r="G567">
            <v>8.56</v>
          </cell>
        </row>
        <row r="568">
          <cell r="A568" t="str">
            <v>1,03,25</v>
          </cell>
          <cell r="B568" t="str">
            <v>Taladro Hilti</v>
          </cell>
          <cell r="C568" t="str">
            <v>DIA</v>
          </cell>
          <cell r="D568">
            <v>1</v>
          </cell>
          <cell r="E568">
            <v>1</v>
          </cell>
          <cell r="F568">
            <v>6.5</v>
          </cell>
          <cell r="G568">
            <v>6.5</v>
          </cell>
        </row>
        <row r="569">
          <cell r="A569" t="str">
            <v>1,03,25</v>
          </cell>
          <cell r="B569" t="str">
            <v>Desgaste de herramientas</v>
          </cell>
          <cell r="C569" t="str">
            <v>%MO</v>
          </cell>
          <cell r="E569">
            <v>0.05</v>
          </cell>
          <cell r="F569">
            <v>41.28</v>
          </cell>
          <cell r="G569">
            <v>2.06</v>
          </cell>
        </row>
        <row r="570">
          <cell r="A570" t="str">
            <v>1,03,26</v>
          </cell>
          <cell r="B570" t="str">
            <v>Tablero eléctrico TE-17</v>
          </cell>
          <cell r="F570" t="str">
            <v>(und)</v>
          </cell>
          <cell r="G570">
            <v>358.21000000000009</v>
          </cell>
        </row>
        <row r="571">
          <cell r="A571" t="str">
            <v>1,03,26</v>
          </cell>
          <cell r="C571" t="str">
            <v>und.</v>
          </cell>
          <cell r="D571" t="str">
            <v>cuad.</v>
          </cell>
          <cell r="E571" t="str">
            <v>cant.</v>
          </cell>
          <cell r="F571" t="str">
            <v>prec. $</v>
          </cell>
          <cell r="G571" t="str">
            <v>parcial $</v>
          </cell>
        </row>
        <row r="572">
          <cell r="A572" t="str">
            <v>1,03,26</v>
          </cell>
          <cell r="B572" t="str">
            <v>Materiales</v>
          </cell>
          <cell r="G572">
            <v>308.37000000000006</v>
          </cell>
        </row>
        <row r="573">
          <cell r="A573" t="str">
            <v>1,03,26</v>
          </cell>
          <cell r="B573" t="str">
            <v>Tablero eléctrico TE-17</v>
          </cell>
          <cell r="C573" t="str">
            <v>und</v>
          </cell>
          <cell r="E573">
            <v>1</v>
          </cell>
          <cell r="F573">
            <v>297</v>
          </cell>
          <cell r="G573">
            <v>297</v>
          </cell>
        </row>
        <row r="574">
          <cell r="A574" t="str">
            <v>1,03,26</v>
          </cell>
          <cell r="B574" t="str">
            <v>Varilla roscada de 1/2"x1,8</v>
          </cell>
          <cell r="C574" t="str">
            <v>und</v>
          </cell>
          <cell r="E574">
            <v>0.3</v>
          </cell>
          <cell r="F574">
            <v>3.71</v>
          </cell>
          <cell r="G574">
            <v>1.1100000000000001</v>
          </cell>
        </row>
        <row r="575">
          <cell r="A575" t="str">
            <v>1,03,26</v>
          </cell>
          <cell r="B575" t="str">
            <v>tuerca hexagonal de 1/2"</v>
          </cell>
          <cell r="C575" t="str">
            <v>und</v>
          </cell>
          <cell r="E575">
            <v>6</v>
          </cell>
          <cell r="F575">
            <v>0.12</v>
          </cell>
          <cell r="G575">
            <v>0.72</v>
          </cell>
        </row>
        <row r="576">
          <cell r="A576" t="str">
            <v>1,03,26</v>
          </cell>
          <cell r="B576" t="str">
            <v>Arandela cuadrada de 1/2"</v>
          </cell>
          <cell r="C576" t="str">
            <v>und</v>
          </cell>
          <cell r="E576">
            <v>6</v>
          </cell>
          <cell r="F576">
            <v>0.53</v>
          </cell>
          <cell r="G576">
            <v>3.18</v>
          </cell>
        </row>
        <row r="577">
          <cell r="A577" t="str">
            <v>1,03,26</v>
          </cell>
          <cell r="B577" t="str">
            <v>Taco de expansión de 1/2"</v>
          </cell>
          <cell r="C577" t="str">
            <v>und</v>
          </cell>
          <cell r="E577">
            <v>6</v>
          </cell>
          <cell r="F577">
            <v>1.06</v>
          </cell>
          <cell r="G577">
            <v>6.36</v>
          </cell>
        </row>
        <row r="578">
          <cell r="A578" t="str">
            <v>1,03,26</v>
          </cell>
          <cell r="B578" t="str">
            <v>Mano de obra</v>
          </cell>
          <cell r="G578">
            <v>41.28</v>
          </cell>
        </row>
        <row r="579">
          <cell r="A579" t="str">
            <v>1,03,26</v>
          </cell>
          <cell r="B579" t="str">
            <v>Operario</v>
          </cell>
          <cell r="C579" t="str">
            <v>HH</v>
          </cell>
          <cell r="D579">
            <v>1</v>
          </cell>
          <cell r="E579">
            <v>8</v>
          </cell>
          <cell r="F579">
            <v>2.84</v>
          </cell>
          <cell r="G579">
            <v>22.72</v>
          </cell>
          <cell r="H579">
            <v>1</v>
          </cell>
        </row>
        <row r="580">
          <cell r="A580" t="str">
            <v>1,03,26</v>
          </cell>
          <cell r="B580" t="str">
            <v>Peón</v>
          </cell>
          <cell r="C580" t="str">
            <v>HH</v>
          </cell>
          <cell r="D580">
            <v>1</v>
          </cell>
          <cell r="E580">
            <v>8</v>
          </cell>
          <cell r="F580">
            <v>2.3199999999999998</v>
          </cell>
          <cell r="G580">
            <v>18.559999999999999</v>
          </cell>
          <cell r="H580">
            <v>1</v>
          </cell>
        </row>
        <row r="581">
          <cell r="A581" t="str">
            <v>1,03,26</v>
          </cell>
          <cell r="B581" t="str">
            <v>Equipos</v>
          </cell>
          <cell r="G581">
            <v>8.56</v>
          </cell>
        </row>
        <row r="582">
          <cell r="A582" t="str">
            <v>1,03,26</v>
          </cell>
          <cell r="B582" t="str">
            <v>Taladro Hilti</v>
          </cell>
          <cell r="C582" t="str">
            <v>DIA</v>
          </cell>
          <cell r="D582">
            <v>1</v>
          </cell>
          <cell r="E582">
            <v>1</v>
          </cell>
          <cell r="F582">
            <v>6.5</v>
          </cell>
          <cell r="G582">
            <v>6.5</v>
          </cell>
        </row>
        <row r="583">
          <cell r="A583" t="str">
            <v>1,03,26</v>
          </cell>
          <cell r="B583" t="str">
            <v>Desgaste de herramientas</v>
          </cell>
          <cell r="C583" t="str">
            <v>%MO</v>
          </cell>
          <cell r="E583">
            <v>0.05</v>
          </cell>
          <cell r="F583">
            <v>41.28</v>
          </cell>
          <cell r="G583">
            <v>2.06</v>
          </cell>
        </row>
        <row r="584">
          <cell r="A584" t="str">
            <v>1,03,27</v>
          </cell>
          <cell r="B584" t="str">
            <v>Panel de control de luces (Banco de interruptores c/ 9 dado Magic) 17-A</v>
          </cell>
          <cell r="F584" t="str">
            <v>(und)</v>
          </cell>
          <cell r="G584">
            <v>139.34</v>
          </cell>
        </row>
        <row r="585">
          <cell r="A585" t="str">
            <v>1,03,27</v>
          </cell>
          <cell r="C585" t="str">
            <v>und.</v>
          </cell>
          <cell r="D585" t="str">
            <v>cuad.</v>
          </cell>
          <cell r="E585" t="str">
            <v>cant.</v>
          </cell>
          <cell r="F585" t="str">
            <v>prec. $</v>
          </cell>
          <cell r="G585" t="str">
            <v>parcial $</v>
          </cell>
        </row>
        <row r="586">
          <cell r="A586" t="str">
            <v>1,03,27</v>
          </cell>
          <cell r="B586" t="str">
            <v>Materiales</v>
          </cell>
          <cell r="G586">
            <v>96</v>
          </cell>
        </row>
        <row r="587">
          <cell r="A587" t="str">
            <v>1,03,27</v>
          </cell>
          <cell r="B587" t="str">
            <v>Tablero con 9 interruptores unipolares magic</v>
          </cell>
          <cell r="C587" t="str">
            <v>und</v>
          </cell>
          <cell r="E587">
            <v>1</v>
          </cell>
          <cell r="F587">
            <v>83</v>
          </cell>
          <cell r="G587">
            <v>83</v>
          </cell>
        </row>
        <row r="588">
          <cell r="A588" t="str">
            <v>1,03,27</v>
          </cell>
          <cell r="B588" t="str">
            <v>Conductor de 4mm2 THW</v>
          </cell>
          <cell r="C588" t="str">
            <v>ml</v>
          </cell>
          <cell r="E588">
            <v>25</v>
          </cell>
          <cell r="F588">
            <v>0.32</v>
          </cell>
          <cell r="G588">
            <v>8</v>
          </cell>
        </row>
        <row r="589">
          <cell r="A589" t="str">
            <v>1,03,27</v>
          </cell>
          <cell r="B589" t="str">
            <v>Material menudo</v>
          </cell>
          <cell r="C589" t="str">
            <v>und</v>
          </cell>
          <cell r="E589">
            <v>1</v>
          </cell>
          <cell r="F589">
            <v>5</v>
          </cell>
          <cell r="G589">
            <v>5</v>
          </cell>
        </row>
        <row r="590">
          <cell r="A590" t="str">
            <v>1,03,27</v>
          </cell>
          <cell r="B590" t="str">
            <v>Mano de obra</v>
          </cell>
          <cell r="G590">
            <v>41.28</v>
          </cell>
        </row>
        <row r="591">
          <cell r="A591" t="str">
            <v>1,03,27</v>
          </cell>
          <cell r="B591" t="str">
            <v>Operario</v>
          </cell>
          <cell r="C591" t="str">
            <v>HH</v>
          </cell>
          <cell r="D591">
            <v>1</v>
          </cell>
          <cell r="E591">
            <v>8</v>
          </cell>
          <cell r="F591">
            <v>2.84</v>
          </cell>
          <cell r="G591">
            <v>22.72</v>
          </cell>
          <cell r="H591">
            <v>1</v>
          </cell>
        </row>
        <row r="592">
          <cell r="A592" t="str">
            <v>1,03,27</v>
          </cell>
          <cell r="B592" t="str">
            <v>Peón</v>
          </cell>
          <cell r="C592" t="str">
            <v>HH</v>
          </cell>
          <cell r="D592">
            <v>1</v>
          </cell>
          <cell r="E592">
            <v>8</v>
          </cell>
          <cell r="F592">
            <v>2.3199999999999998</v>
          </cell>
          <cell r="G592">
            <v>18.559999999999999</v>
          </cell>
          <cell r="H592">
            <v>1</v>
          </cell>
        </row>
        <row r="593">
          <cell r="A593" t="str">
            <v>1,03,27</v>
          </cell>
          <cell r="B593" t="str">
            <v>Equipos</v>
          </cell>
          <cell r="G593">
            <v>2.06</v>
          </cell>
        </row>
        <row r="594">
          <cell r="A594" t="str">
            <v>1,03,27</v>
          </cell>
          <cell r="B594" t="str">
            <v>Desgaste de herramientas</v>
          </cell>
          <cell r="C594" t="str">
            <v>%MO</v>
          </cell>
          <cell r="E594">
            <v>0.05</v>
          </cell>
          <cell r="F594">
            <v>41.28</v>
          </cell>
          <cell r="G594">
            <v>2.06</v>
          </cell>
        </row>
        <row r="595">
          <cell r="A595" t="str">
            <v>1,03,28</v>
          </cell>
          <cell r="B595" t="str">
            <v>Panel de control de luces (Banco de interruptores c/ 11 dado Magic) 17-B</v>
          </cell>
          <cell r="F595" t="str">
            <v>(und)</v>
          </cell>
          <cell r="G595">
            <v>150.34</v>
          </cell>
        </row>
        <row r="596">
          <cell r="A596" t="str">
            <v>1,03,28</v>
          </cell>
          <cell r="C596" t="str">
            <v>und.</v>
          </cell>
          <cell r="D596" t="str">
            <v>cuad.</v>
          </cell>
          <cell r="E596" t="str">
            <v>cant.</v>
          </cell>
          <cell r="F596" t="str">
            <v>prec. $</v>
          </cell>
          <cell r="G596" t="str">
            <v>parcial $</v>
          </cell>
        </row>
        <row r="597">
          <cell r="A597" t="str">
            <v>1,03,28</v>
          </cell>
          <cell r="B597" t="str">
            <v>Materiales</v>
          </cell>
          <cell r="G597">
            <v>107</v>
          </cell>
        </row>
        <row r="598">
          <cell r="A598" t="str">
            <v>1,03,28</v>
          </cell>
          <cell r="B598" t="str">
            <v>Tablero con 9 interruptores unipolares magic</v>
          </cell>
          <cell r="C598" t="str">
            <v>und</v>
          </cell>
          <cell r="E598">
            <v>1</v>
          </cell>
          <cell r="F598">
            <v>94</v>
          </cell>
          <cell r="G598">
            <v>94</v>
          </cell>
        </row>
        <row r="599">
          <cell r="A599" t="str">
            <v>1,03,28</v>
          </cell>
          <cell r="B599" t="str">
            <v>Conductor de 4mm2 THW</v>
          </cell>
          <cell r="C599" t="str">
            <v>ml</v>
          </cell>
          <cell r="E599">
            <v>25</v>
          </cell>
          <cell r="F599">
            <v>0.32</v>
          </cell>
          <cell r="G599">
            <v>8</v>
          </cell>
        </row>
        <row r="600">
          <cell r="A600" t="str">
            <v>1,03,28</v>
          </cell>
          <cell r="B600" t="str">
            <v>Material menudo</v>
          </cell>
          <cell r="C600" t="str">
            <v>und</v>
          </cell>
          <cell r="E600">
            <v>1</v>
          </cell>
          <cell r="F600">
            <v>5</v>
          </cell>
          <cell r="G600">
            <v>5</v>
          </cell>
        </row>
        <row r="601">
          <cell r="A601" t="str">
            <v>1,03,28</v>
          </cell>
          <cell r="B601" t="str">
            <v>Mano de obra</v>
          </cell>
          <cell r="G601">
            <v>41.28</v>
          </cell>
        </row>
        <row r="602">
          <cell r="A602" t="str">
            <v>1,03,28</v>
          </cell>
          <cell r="B602" t="str">
            <v>Operario</v>
          </cell>
          <cell r="C602" t="str">
            <v>HH</v>
          </cell>
          <cell r="D602">
            <v>1</v>
          </cell>
          <cell r="E602">
            <v>8</v>
          </cell>
          <cell r="F602">
            <v>2.84</v>
          </cell>
          <cell r="G602">
            <v>22.72</v>
          </cell>
          <cell r="H602">
            <v>1</v>
          </cell>
        </row>
        <row r="603">
          <cell r="A603" t="str">
            <v>1,03,28</v>
          </cell>
          <cell r="B603" t="str">
            <v>Peón</v>
          </cell>
          <cell r="C603" t="str">
            <v>HH</v>
          </cell>
          <cell r="D603">
            <v>1</v>
          </cell>
          <cell r="E603">
            <v>8</v>
          </cell>
          <cell r="F603">
            <v>2.3199999999999998</v>
          </cell>
          <cell r="G603">
            <v>18.559999999999999</v>
          </cell>
          <cell r="H603">
            <v>1</v>
          </cell>
        </row>
        <row r="604">
          <cell r="A604" t="str">
            <v>1,03,28</v>
          </cell>
          <cell r="B604" t="str">
            <v>Equipos</v>
          </cell>
          <cell r="G604">
            <v>2.06</v>
          </cell>
        </row>
        <row r="605">
          <cell r="A605" t="str">
            <v>1,03,28</v>
          </cell>
          <cell r="B605" t="str">
            <v>Desgaste de herramientas</v>
          </cell>
          <cell r="C605" t="str">
            <v>%MO</v>
          </cell>
          <cell r="E605">
            <v>0.05</v>
          </cell>
          <cell r="F605">
            <v>41.28</v>
          </cell>
          <cell r="G605">
            <v>2.06</v>
          </cell>
        </row>
        <row r="606">
          <cell r="A606" t="str">
            <v>1,03,29</v>
          </cell>
          <cell r="B606" t="str">
            <v>Placa de tomacorriente trifasico</v>
          </cell>
          <cell r="F606" t="str">
            <v>( und )</v>
          </cell>
          <cell r="G606">
            <v>35.299999999999997</v>
          </cell>
        </row>
        <row r="607">
          <cell r="A607" t="str">
            <v>1,03,29</v>
          </cell>
          <cell r="C607" t="str">
            <v>und.</v>
          </cell>
          <cell r="D607" t="str">
            <v>cuad.</v>
          </cell>
          <cell r="E607" t="str">
            <v>cant.</v>
          </cell>
          <cell r="F607" t="str">
            <v>prec. $</v>
          </cell>
          <cell r="G607" t="str">
            <v>parcial $</v>
          </cell>
        </row>
        <row r="608">
          <cell r="A608" t="str">
            <v>1,03,29</v>
          </cell>
          <cell r="B608" t="str">
            <v>Materiales</v>
          </cell>
          <cell r="G608">
            <v>32.269999999999996</v>
          </cell>
        </row>
        <row r="609">
          <cell r="A609" t="str">
            <v>1,03,29</v>
          </cell>
          <cell r="B609" t="str">
            <v>Placa serie Leviton</v>
          </cell>
          <cell r="C609" t="str">
            <v>ml</v>
          </cell>
          <cell r="E609">
            <v>1</v>
          </cell>
          <cell r="F609">
            <v>1.47</v>
          </cell>
          <cell r="G609">
            <v>1.47</v>
          </cell>
        </row>
        <row r="610">
          <cell r="A610" t="str">
            <v>1,03,29</v>
          </cell>
          <cell r="B610" t="str">
            <v>Tomacorriente trifasico+ LT de linea leviton</v>
          </cell>
          <cell r="C610" t="str">
            <v>und</v>
          </cell>
          <cell r="E610">
            <v>2</v>
          </cell>
          <cell r="F610">
            <v>15</v>
          </cell>
          <cell r="G610">
            <v>30</v>
          </cell>
        </row>
        <row r="611">
          <cell r="A611" t="str">
            <v>1,03,29</v>
          </cell>
          <cell r="B611" t="str">
            <v xml:space="preserve">Stobolt </v>
          </cell>
          <cell r="C611" t="str">
            <v>und</v>
          </cell>
          <cell r="E611">
            <v>2</v>
          </cell>
          <cell r="F611">
            <v>0.4</v>
          </cell>
          <cell r="G611">
            <v>0.8</v>
          </cell>
        </row>
        <row r="612">
          <cell r="A612" t="str">
            <v>1,03,29</v>
          </cell>
          <cell r="B612" t="str">
            <v>Mano de obra</v>
          </cell>
          <cell r="G612">
            <v>2.75</v>
          </cell>
        </row>
        <row r="613">
          <cell r="A613" t="str">
            <v>1,03,29</v>
          </cell>
          <cell r="B613" t="str">
            <v>Operario</v>
          </cell>
          <cell r="C613" t="str">
            <v>HH</v>
          </cell>
          <cell r="D613">
            <v>1</v>
          </cell>
          <cell r="E613">
            <v>0.53333333333333333</v>
          </cell>
          <cell r="F613">
            <v>2.84</v>
          </cell>
          <cell r="G613">
            <v>1.51</v>
          </cell>
          <cell r="H613">
            <v>15</v>
          </cell>
        </row>
        <row r="614">
          <cell r="A614" t="str">
            <v>1,03,29</v>
          </cell>
          <cell r="B614" t="str">
            <v>Peón</v>
          </cell>
          <cell r="C614" t="str">
            <v>HH</v>
          </cell>
          <cell r="D614">
            <v>1</v>
          </cell>
          <cell r="E614">
            <v>0.53333333333333333</v>
          </cell>
          <cell r="F614">
            <v>2.3199999999999998</v>
          </cell>
          <cell r="G614">
            <v>1.24</v>
          </cell>
          <cell r="H614">
            <v>15</v>
          </cell>
        </row>
        <row r="615">
          <cell r="A615" t="str">
            <v>1,03,29</v>
          </cell>
          <cell r="B615" t="str">
            <v>Equipos</v>
          </cell>
          <cell r="G615">
            <v>0.28000000000000003</v>
          </cell>
        </row>
        <row r="616">
          <cell r="A616" t="str">
            <v>1,03,29</v>
          </cell>
          <cell r="B616" t="str">
            <v>Desgaste de herramientas</v>
          </cell>
          <cell r="C616" t="str">
            <v>%MO</v>
          </cell>
          <cell r="E616">
            <v>0.1</v>
          </cell>
          <cell r="F616">
            <v>2.75</v>
          </cell>
          <cell r="G616">
            <v>0.28000000000000003</v>
          </cell>
        </row>
        <row r="617">
          <cell r="A617" t="str">
            <v>2,01,01</v>
          </cell>
          <cell r="B617" t="str">
            <v>Tubería de PVC SAP de 35 mm Ø data</v>
          </cell>
          <cell r="F617" t="str">
            <v>( ml )</v>
          </cell>
          <cell r="G617">
            <v>4.03</v>
          </cell>
        </row>
        <row r="618">
          <cell r="A618" t="str">
            <v>2,01,01</v>
          </cell>
          <cell r="C618" t="str">
            <v>und.</v>
          </cell>
          <cell r="D618" t="str">
            <v>cuad.</v>
          </cell>
          <cell r="E618" t="str">
            <v>cant.</v>
          </cell>
          <cell r="F618" t="str">
            <v>prec. $</v>
          </cell>
          <cell r="G618" t="str">
            <v>parcial $</v>
          </cell>
        </row>
        <row r="619">
          <cell r="A619" t="str">
            <v>2,01,01</v>
          </cell>
          <cell r="B619" t="str">
            <v>Materiales</v>
          </cell>
          <cell r="G619">
            <v>2</v>
          </cell>
        </row>
        <row r="620">
          <cell r="A620" t="str">
            <v>2,01,01</v>
          </cell>
          <cell r="B620" t="str">
            <v>Tubería PVC SAP de 35 mm</v>
          </cell>
          <cell r="C620" t="str">
            <v>ml</v>
          </cell>
          <cell r="E620">
            <v>1</v>
          </cell>
          <cell r="F620">
            <v>0.87</v>
          </cell>
          <cell r="G620">
            <v>0.87</v>
          </cell>
        </row>
        <row r="621">
          <cell r="A621" t="str">
            <v>2,01,01</v>
          </cell>
          <cell r="B621" t="str">
            <v>Curva PVC SAP de 35 mm</v>
          </cell>
          <cell r="C621" t="str">
            <v>und</v>
          </cell>
          <cell r="E621">
            <v>0.34210526315789475</v>
          </cell>
          <cell r="F621">
            <v>1.39</v>
          </cell>
          <cell r="G621">
            <v>0.48</v>
          </cell>
        </row>
        <row r="622">
          <cell r="A622" t="str">
            <v>2,01,01</v>
          </cell>
          <cell r="B622" t="str">
            <v>Unión PVC SAP de 35 mm</v>
          </cell>
          <cell r="C622" t="str">
            <v>und</v>
          </cell>
          <cell r="E622">
            <v>0.34210526315789475</v>
          </cell>
          <cell r="F622">
            <v>0.53</v>
          </cell>
          <cell r="G622">
            <v>0.18</v>
          </cell>
        </row>
        <row r="623">
          <cell r="A623" t="str">
            <v>2,01,01</v>
          </cell>
          <cell r="B623" t="str">
            <v>Conexión PVC SAP de 35 mm</v>
          </cell>
          <cell r="C623" t="str">
            <v>und</v>
          </cell>
          <cell r="E623">
            <v>0.34210526315789475</v>
          </cell>
          <cell r="F623">
            <v>0.31</v>
          </cell>
          <cell r="G623">
            <v>0.11</v>
          </cell>
        </row>
        <row r="624">
          <cell r="A624" t="str">
            <v>2,01,01</v>
          </cell>
          <cell r="B624" t="str">
            <v>Abrazadera galv. 35mm</v>
          </cell>
          <cell r="C624" t="str">
            <v>und</v>
          </cell>
          <cell r="E624">
            <v>0.51315789473684215</v>
          </cell>
          <cell r="F624">
            <v>0.43</v>
          </cell>
          <cell r="G624">
            <v>0.22</v>
          </cell>
        </row>
        <row r="625">
          <cell r="A625" t="str">
            <v>2,01,01</v>
          </cell>
          <cell r="B625" t="str">
            <v>Tarugo plastico verde de 1/4</v>
          </cell>
          <cell r="C625" t="str">
            <v>und</v>
          </cell>
          <cell r="E625">
            <v>0.51315789473684215</v>
          </cell>
          <cell r="F625">
            <v>0.115</v>
          </cell>
          <cell r="G625">
            <v>0.06</v>
          </cell>
        </row>
        <row r="626">
          <cell r="A626" t="str">
            <v>2,01,01</v>
          </cell>
          <cell r="B626" t="str">
            <v>Tornillo autoroscante de 8x1"</v>
          </cell>
          <cell r="C626" t="str">
            <v>und</v>
          </cell>
          <cell r="E626">
            <v>0.51315789473684215</v>
          </cell>
          <cell r="F626">
            <v>4.2000000000000003E-2</v>
          </cell>
          <cell r="G626">
            <v>0.02</v>
          </cell>
        </row>
        <row r="627">
          <cell r="A627" t="str">
            <v>2,01,01</v>
          </cell>
          <cell r="B627" t="str">
            <v>Pegamento de 1/4 de galón</v>
          </cell>
          <cell r="C627" t="str">
            <v>und</v>
          </cell>
          <cell r="E627">
            <v>0.01</v>
          </cell>
          <cell r="F627">
            <v>6.3959999999999999</v>
          </cell>
          <cell r="G627">
            <v>0.06</v>
          </cell>
        </row>
        <row r="628">
          <cell r="A628" t="str">
            <v>2,01,01</v>
          </cell>
          <cell r="B628" t="str">
            <v>Mano de obra</v>
          </cell>
          <cell r="G628">
            <v>1.65</v>
          </cell>
        </row>
        <row r="629">
          <cell r="A629" t="str">
            <v>2,01,01</v>
          </cell>
          <cell r="B629" t="str">
            <v>Operario</v>
          </cell>
          <cell r="C629" t="str">
            <v>HH</v>
          </cell>
          <cell r="D629">
            <v>1</v>
          </cell>
          <cell r="E629">
            <v>0.32</v>
          </cell>
          <cell r="F629">
            <v>2.84</v>
          </cell>
          <cell r="G629">
            <v>0.91</v>
          </cell>
          <cell r="H629">
            <v>25</v>
          </cell>
        </row>
        <row r="630">
          <cell r="A630" t="str">
            <v>2,01,01</v>
          </cell>
          <cell r="B630" t="str">
            <v>Peón</v>
          </cell>
          <cell r="C630" t="str">
            <v>HH</v>
          </cell>
          <cell r="D630">
            <v>1</v>
          </cell>
          <cell r="E630">
            <v>0.32</v>
          </cell>
          <cell r="F630">
            <v>2.3199999999999998</v>
          </cell>
          <cell r="G630">
            <v>0.74</v>
          </cell>
          <cell r="H630">
            <v>25</v>
          </cell>
        </row>
        <row r="631">
          <cell r="A631" t="str">
            <v>2,01,01</v>
          </cell>
          <cell r="B631" t="str">
            <v>Equipos y/o herramientas</v>
          </cell>
          <cell r="G631">
            <v>0.38</v>
          </cell>
        </row>
        <row r="632">
          <cell r="A632" t="str">
            <v>2,01,01</v>
          </cell>
          <cell r="B632" t="str">
            <v>Escalera</v>
          </cell>
          <cell r="C632" t="str">
            <v>DIA</v>
          </cell>
          <cell r="D632">
            <v>1</v>
          </cell>
          <cell r="E632">
            <v>0.04</v>
          </cell>
          <cell r="F632">
            <v>1</v>
          </cell>
          <cell r="G632">
            <v>0.04</v>
          </cell>
        </row>
        <row r="633">
          <cell r="A633" t="str">
            <v>2,01,01</v>
          </cell>
          <cell r="B633" t="str">
            <v>Taladro Hilti</v>
          </cell>
          <cell r="C633" t="str">
            <v>DIA</v>
          </cell>
          <cell r="D633">
            <v>1</v>
          </cell>
          <cell r="E633">
            <v>0.04</v>
          </cell>
          <cell r="F633">
            <v>6.5</v>
          </cell>
          <cell r="G633">
            <v>0.26</v>
          </cell>
        </row>
        <row r="634">
          <cell r="A634" t="str">
            <v>2,01,01</v>
          </cell>
          <cell r="B634" t="str">
            <v>Desgaste de herramientas</v>
          </cell>
          <cell r="C634" t="str">
            <v>%MO</v>
          </cell>
          <cell r="E634">
            <v>0.05</v>
          </cell>
          <cell r="F634">
            <v>1.65</v>
          </cell>
          <cell r="G634">
            <v>0.08</v>
          </cell>
        </row>
        <row r="635">
          <cell r="A635" t="str">
            <v>2,01,02</v>
          </cell>
          <cell r="B635" t="str">
            <v>Tubería de PVC SAP de 25 mm Ø data</v>
          </cell>
          <cell r="F635" t="str">
            <v>( ml )</v>
          </cell>
          <cell r="G635">
            <v>2.4100000000000006</v>
          </cell>
        </row>
        <row r="636">
          <cell r="A636" t="str">
            <v>2,01,02</v>
          </cell>
          <cell r="C636" t="str">
            <v>und.</v>
          </cell>
          <cell r="D636" t="str">
            <v>cuad.</v>
          </cell>
          <cell r="E636" t="str">
            <v>cant.</v>
          </cell>
          <cell r="F636" t="str">
            <v>prec. $</v>
          </cell>
          <cell r="G636" t="str">
            <v>parcial $</v>
          </cell>
        </row>
        <row r="637">
          <cell r="A637" t="str">
            <v>2,01,02</v>
          </cell>
          <cell r="B637" t="str">
            <v>Materiales</v>
          </cell>
          <cell r="G637">
            <v>1.4000000000000004</v>
          </cell>
        </row>
        <row r="638">
          <cell r="A638" t="str">
            <v>2,01,02</v>
          </cell>
          <cell r="B638" t="str">
            <v>Tubería PVC SAP de 25 mm</v>
          </cell>
          <cell r="C638" t="str">
            <v>ml</v>
          </cell>
          <cell r="E638">
            <v>1</v>
          </cell>
          <cell r="F638">
            <v>0.52</v>
          </cell>
          <cell r="G638">
            <v>0.52</v>
          </cell>
        </row>
        <row r="639">
          <cell r="A639" t="str">
            <v>2,01,02</v>
          </cell>
          <cell r="B639" t="str">
            <v>Curva PVC SAP de 25 mm</v>
          </cell>
          <cell r="C639" t="str">
            <v>und</v>
          </cell>
          <cell r="E639">
            <v>0.4375</v>
          </cell>
          <cell r="F639">
            <v>0.89</v>
          </cell>
          <cell r="G639">
            <v>0.39</v>
          </cell>
        </row>
        <row r="640">
          <cell r="A640" t="str">
            <v>2,01,02</v>
          </cell>
          <cell r="B640" t="str">
            <v>Unión PVC SAP de 25 mm</v>
          </cell>
          <cell r="C640" t="str">
            <v>und</v>
          </cell>
          <cell r="E640">
            <v>0.625</v>
          </cell>
          <cell r="F640">
            <v>0.34</v>
          </cell>
          <cell r="G640">
            <v>0.21</v>
          </cell>
        </row>
        <row r="641">
          <cell r="A641" t="str">
            <v>2,01,02</v>
          </cell>
          <cell r="B641" t="str">
            <v>Conexión PVC SAP de 25 mm</v>
          </cell>
          <cell r="C641" t="str">
            <v>und</v>
          </cell>
          <cell r="E641">
            <v>0.3125</v>
          </cell>
          <cell r="F641">
            <v>0.2</v>
          </cell>
          <cell r="G641">
            <v>0.06</v>
          </cell>
        </row>
        <row r="642">
          <cell r="A642" t="str">
            <v>2,01,02</v>
          </cell>
          <cell r="B642" t="str">
            <v>Abrazadera galv. 25mm</v>
          </cell>
          <cell r="C642" t="str">
            <v>und</v>
          </cell>
          <cell r="E642">
            <v>0.46875</v>
          </cell>
          <cell r="F642">
            <v>0.2</v>
          </cell>
          <cell r="G642">
            <v>0.09</v>
          </cell>
        </row>
        <row r="643">
          <cell r="A643" t="str">
            <v>2,01,02</v>
          </cell>
          <cell r="B643" t="str">
            <v>Tarugo plastico verde de 1/4</v>
          </cell>
          <cell r="C643" t="str">
            <v>und</v>
          </cell>
          <cell r="E643">
            <v>0.46875</v>
          </cell>
          <cell r="F643">
            <v>0.115</v>
          </cell>
          <cell r="G643">
            <v>0.05</v>
          </cell>
        </row>
        <row r="644">
          <cell r="A644" t="str">
            <v>2,01,02</v>
          </cell>
          <cell r="B644" t="str">
            <v>Tornillo autoroscante de 8x1"</v>
          </cell>
          <cell r="C644" t="str">
            <v>und</v>
          </cell>
          <cell r="E644">
            <v>0.46875</v>
          </cell>
          <cell r="F644">
            <v>4.2000000000000003E-2</v>
          </cell>
          <cell r="G644">
            <v>0.02</v>
          </cell>
        </row>
        <row r="645">
          <cell r="A645" t="str">
            <v>2,01,02</v>
          </cell>
          <cell r="B645" t="str">
            <v>Pegamento de 1/4 de galón</v>
          </cell>
          <cell r="C645" t="str">
            <v>und</v>
          </cell>
          <cell r="E645">
            <v>0.01</v>
          </cell>
          <cell r="F645">
            <v>6.3959999999999999</v>
          </cell>
          <cell r="G645">
            <v>0.06</v>
          </cell>
        </row>
        <row r="646">
          <cell r="A646" t="str">
            <v>2,01,02</v>
          </cell>
          <cell r="B646" t="str">
            <v>Mano de obra</v>
          </cell>
          <cell r="G646">
            <v>0.82000000000000006</v>
          </cell>
        </row>
        <row r="647">
          <cell r="A647" t="str">
            <v>2,01,02</v>
          </cell>
          <cell r="B647" t="str">
            <v>Operario</v>
          </cell>
          <cell r="C647" t="str">
            <v>HH</v>
          </cell>
          <cell r="D647">
            <v>1</v>
          </cell>
          <cell r="E647">
            <v>0.16</v>
          </cell>
          <cell r="F647">
            <v>2.84</v>
          </cell>
          <cell r="G647">
            <v>0.45</v>
          </cell>
          <cell r="H647">
            <v>50</v>
          </cell>
        </row>
        <row r="648">
          <cell r="A648" t="str">
            <v>2,01,02</v>
          </cell>
          <cell r="B648" t="str">
            <v>Peón</v>
          </cell>
          <cell r="C648" t="str">
            <v>HH</v>
          </cell>
          <cell r="D648">
            <v>1</v>
          </cell>
          <cell r="E648">
            <v>0.16</v>
          </cell>
          <cell r="F648">
            <v>2.3199999999999998</v>
          </cell>
          <cell r="G648">
            <v>0.37</v>
          </cell>
          <cell r="H648">
            <v>50</v>
          </cell>
        </row>
        <row r="649">
          <cell r="A649" t="str">
            <v>2,01,02</v>
          </cell>
          <cell r="B649" t="str">
            <v>Equipos y/o herramientas</v>
          </cell>
          <cell r="G649">
            <v>0.19</v>
          </cell>
        </row>
        <row r="650">
          <cell r="A650" t="str">
            <v>2,01,02</v>
          </cell>
          <cell r="B650" t="str">
            <v>Escalera</v>
          </cell>
          <cell r="C650" t="str">
            <v>DIA</v>
          </cell>
          <cell r="D650">
            <v>1</v>
          </cell>
          <cell r="E650">
            <v>0.02</v>
          </cell>
          <cell r="F650">
            <v>1</v>
          </cell>
          <cell r="G650">
            <v>0.02</v>
          </cell>
        </row>
        <row r="651">
          <cell r="A651" t="str">
            <v>2,01,02</v>
          </cell>
          <cell r="B651" t="str">
            <v>Taladro Hilti</v>
          </cell>
          <cell r="C651" t="str">
            <v>DIA</v>
          </cell>
          <cell r="D651">
            <v>1</v>
          </cell>
          <cell r="E651">
            <v>0.02</v>
          </cell>
          <cell r="F651">
            <v>6.5</v>
          </cell>
          <cell r="G651">
            <v>0.13</v>
          </cell>
        </row>
        <row r="652">
          <cell r="A652" t="str">
            <v>2,01,02</v>
          </cell>
          <cell r="B652" t="str">
            <v>Desgaste de herramientas</v>
          </cell>
          <cell r="C652" t="str">
            <v>%MO</v>
          </cell>
          <cell r="E652">
            <v>0.05</v>
          </cell>
          <cell r="F652">
            <v>0.82000000000000006</v>
          </cell>
          <cell r="G652">
            <v>0.04</v>
          </cell>
        </row>
        <row r="653">
          <cell r="A653" t="str">
            <v>2,01,03</v>
          </cell>
          <cell r="B653" t="str">
            <v>Tubería de PVC SAP de 20 mm Ø data</v>
          </cell>
          <cell r="F653" t="str">
            <v>( ml )</v>
          </cell>
          <cell r="G653">
            <v>2.08</v>
          </cell>
        </row>
        <row r="654">
          <cell r="A654" t="str">
            <v>2,01,03</v>
          </cell>
          <cell r="C654" t="str">
            <v>und.</v>
          </cell>
          <cell r="D654" t="str">
            <v>cuad.</v>
          </cell>
          <cell r="E654" t="str">
            <v>cant.</v>
          </cell>
          <cell r="F654" t="str">
            <v>prec. $</v>
          </cell>
          <cell r="G654" t="str">
            <v>parcial $</v>
          </cell>
        </row>
        <row r="655">
          <cell r="A655" t="str">
            <v>2,01,03</v>
          </cell>
          <cell r="B655" t="str">
            <v>Materiales</v>
          </cell>
          <cell r="G655">
            <v>1.36</v>
          </cell>
        </row>
        <row r="656">
          <cell r="A656" t="str">
            <v>2,01,03</v>
          </cell>
          <cell r="B656" t="str">
            <v>Tubería PVC SAP de 20 mm</v>
          </cell>
          <cell r="C656" t="str">
            <v>ml</v>
          </cell>
          <cell r="E656">
            <v>1</v>
          </cell>
          <cell r="F656">
            <v>0.41</v>
          </cell>
          <cell r="G656">
            <v>0.41</v>
          </cell>
        </row>
        <row r="657">
          <cell r="A657" t="str">
            <v>2,01,03</v>
          </cell>
          <cell r="B657" t="str">
            <v>Curva PVC SAP de 20 mm</v>
          </cell>
          <cell r="C657" t="str">
            <v>und</v>
          </cell>
          <cell r="E657">
            <v>0.28947368421052633</v>
          </cell>
          <cell r="F657">
            <v>0.59</v>
          </cell>
          <cell r="G657">
            <v>0.17</v>
          </cell>
        </row>
        <row r="658">
          <cell r="A658" t="str">
            <v>2,01,03</v>
          </cell>
          <cell r="B658" t="str">
            <v>Unión PVC SAP de 20 mm</v>
          </cell>
          <cell r="C658" t="str">
            <v>und</v>
          </cell>
          <cell r="E658">
            <v>0.65789473684210531</v>
          </cell>
          <cell r="F658">
            <v>0.25</v>
          </cell>
          <cell r="G658">
            <v>0.16</v>
          </cell>
        </row>
        <row r="659">
          <cell r="A659" t="str">
            <v>2,01,03</v>
          </cell>
          <cell r="B659" t="str">
            <v>Conexión PVC SAP de 20 mm</v>
          </cell>
          <cell r="C659" t="str">
            <v>und</v>
          </cell>
          <cell r="E659">
            <v>0.57894736842105265</v>
          </cell>
          <cell r="F659">
            <v>0.17399999999999999</v>
          </cell>
          <cell r="G659">
            <v>0.1</v>
          </cell>
        </row>
        <row r="660">
          <cell r="A660" t="str">
            <v>2,01,03</v>
          </cell>
          <cell r="B660" t="str">
            <v>Abrazadera galv. 20mm</v>
          </cell>
          <cell r="C660" t="str">
            <v>und</v>
          </cell>
          <cell r="E660">
            <v>0.78947368421052633</v>
          </cell>
          <cell r="F660">
            <v>0.43</v>
          </cell>
          <cell r="G660">
            <v>0.34</v>
          </cell>
        </row>
        <row r="661">
          <cell r="A661" t="str">
            <v>2,01,03</v>
          </cell>
          <cell r="B661" t="str">
            <v>Tarugo plastico verde de 1/4</v>
          </cell>
          <cell r="C661" t="str">
            <v>und</v>
          </cell>
          <cell r="E661">
            <v>0.78947368421052633</v>
          </cell>
          <cell r="F661">
            <v>0.115</v>
          </cell>
          <cell r="G661">
            <v>0.09</v>
          </cell>
        </row>
        <row r="662">
          <cell r="A662" t="str">
            <v>2,01,03</v>
          </cell>
          <cell r="B662" t="str">
            <v>Tornillo autoroscante de 8x1"</v>
          </cell>
          <cell r="C662" t="str">
            <v>und</v>
          </cell>
          <cell r="E662">
            <v>0.78947368421052633</v>
          </cell>
          <cell r="F662">
            <v>4.2000000000000003E-2</v>
          </cell>
          <cell r="G662">
            <v>0.03</v>
          </cell>
        </row>
        <row r="663">
          <cell r="A663" t="str">
            <v>2,01,03</v>
          </cell>
          <cell r="B663" t="str">
            <v>Pegamento de 1/4 de galón</v>
          </cell>
          <cell r="C663" t="str">
            <v>und</v>
          </cell>
          <cell r="E663">
            <v>0.01</v>
          </cell>
          <cell r="F663">
            <v>6.3959999999999999</v>
          </cell>
          <cell r="G663">
            <v>0.06</v>
          </cell>
        </row>
        <row r="664">
          <cell r="A664" t="str">
            <v>2,01,03</v>
          </cell>
          <cell r="B664" t="str">
            <v>Mano de obra</v>
          </cell>
          <cell r="G664">
            <v>0.59000000000000008</v>
          </cell>
        </row>
        <row r="665">
          <cell r="A665" t="str">
            <v>2,01,03</v>
          </cell>
          <cell r="B665" t="str">
            <v>Operario</v>
          </cell>
          <cell r="C665" t="str">
            <v>HH</v>
          </cell>
          <cell r="D665">
            <v>1</v>
          </cell>
          <cell r="E665">
            <v>0.11428571428571428</v>
          </cell>
          <cell r="F665">
            <v>2.84</v>
          </cell>
          <cell r="G665">
            <v>0.32</v>
          </cell>
          <cell r="H665">
            <v>70</v>
          </cell>
        </row>
        <row r="666">
          <cell r="A666" t="str">
            <v>2,01,03</v>
          </cell>
          <cell r="B666" t="str">
            <v>Peón</v>
          </cell>
          <cell r="C666" t="str">
            <v>HH</v>
          </cell>
          <cell r="D666">
            <v>1</v>
          </cell>
          <cell r="E666">
            <v>0.11428571428571428</v>
          </cell>
          <cell r="F666">
            <v>2.3199999999999998</v>
          </cell>
          <cell r="G666">
            <v>0.27</v>
          </cell>
          <cell r="H666">
            <v>70</v>
          </cell>
        </row>
        <row r="667">
          <cell r="A667" t="str">
            <v>2,01,03</v>
          </cell>
          <cell r="B667" t="str">
            <v>Equipos y/o herramientas</v>
          </cell>
          <cell r="G667">
            <v>0.13</v>
          </cell>
        </row>
        <row r="668">
          <cell r="A668" t="str">
            <v>2,01,03</v>
          </cell>
          <cell r="B668" t="str">
            <v>Escalera</v>
          </cell>
          <cell r="C668" t="str">
            <v>DIA</v>
          </cell>
          <cell r="D668">
            <v>1</v>
          </cell>
          <cell r="E668">
            <v>1.4285714285714285E-2</v>
          </cell>
          <cell r="F668">
            <v>1</v>
          </cell>
          <cell r="G668">
            <v>0.01</v>
          </cell>
        </row>
        <row r="669">
          <cell r="A669" t="str">
            <v>2,01,03</v>
          </cell>
          <cell r="B669" t="str">
            <v>Taladro Hilti</v>
          </cell>
          <cell r="C669" t="str">
            <v>DIA</v>
          </cell>
          <cell r="D669">
            <v>1</v>
          </cell>
          <cell r="E669">
            <v>1.4285714285714285E-2</v>
          </cell>
          <cell r="F669">
            <v>6.5</v>
          </cell>
          <cell r="G669">
            <v>0.09</v>
          </cell>
        </row>
        <row r="670">
          <cell r="A670" t="str">
            <v>2,01,03</v>
          </cell>
          <cell r="B670" t="str">
            <v>Desgaste de herramientas</v>
          </cell>
          <cell r="C670" t="str">
            <v>%MO</v>
          </cell>
          <cell r="E670">
            <v>0.05</v>
          </cell>
          <cell r="F670">
            <v>0.59000000000000008</v>
          </cell>
          <cell r="G670">
            <v>0.03</v>
          </cell>
        </row>
        <row r="671">
          <cell r="A671" t="str">
            <v>2,02,01</v>
          </cell>
          <cell r="B671" t="str">
            <v>Caja F°G° 100x100x50 mm data</v>
          </cell>
          <cell r="F671" t="str">
            <v>( und )</v>
          </cell>
          <cell r="G671">
            <v>4.58</v>
          </cell>
        </row>
        <row r="672">
          <cell r="A672" t="str">
            <v>2,02,01</v>
          </cell>
          <cell r="C672" t="str">
            <v>und.</v>
          </cell>
          <cell r="D672" t="str">
            <v>cuad.</v>
          </cell>
          <cell r="E672" t="str">
            <v>cant.</v>
          </cell>
          <cell r="F672" t="str">
            <v>prec. $</v>
          </cell>
          <cell r="G672" t="str">
            <v>parcial $</v>
          </cell>
        </row>
        <row r="673">
          <cell r="A673" t="str">
            <v>2,02,01</v>
          </cell>
          <cell r="B673" t="str">
            <v>Materiales</v>
          </cell>
          <cell r="G673">
            <v>2.0299999999999998</v>
          </cell>
        </row>
        <row r="674">
          <cell r="A674" t="str">
            <v>2,02,01</v>
          </cell>
          <cell r="B674" t="str">
            <v>Caja de F°G° de 100x100 x50 mm</v>
          </cell>
          <cell r="C674" t="str">
            <v>und</v>
          </cell>
          <cell r="E674">
            <v>1</v>
          </cell>
          <cell r="F674">
            <v>1.72</v>
          </cell>
          <cell r="G674">
            <v>1.72</v>
          </cell>
        </row>
        <row r="675">
          <cell r="A675" t="str">
            <v>2,02,01</v>
          </cell>
          <cell r="B675" t="str">
            <v>Tarugo plastico verde de 1/4</v>
          </cell>
          <cell r="C675" t="str">
            <v>und</v>
          </cell>
          <cell r="E675">
            <v>2</v>
          </cell>
          <cell r="F675">
            <v>0.115</v>
          </cell>
          <cell r="G675">
            <v>0.23</v>
          </cell>
        </row>
        <row r="676">
          <cell r="A676" t="str">
            <v>2,02,01</v>
          </cell>
          <cell r="B676" t="str">
            <v>Tornillo autoroscante de 8x1"</v>
          </cell>
          <cell r="C676" t="str">
            <v>und</v>
          </cell>
          <cell r="E676">
            <v>2</v>
          </cell>
          <cell r="F676">
            <v>4.2000000000000003E-2</v>
          </cell>
          <cell r="G676">
            <v>0.08</v>
          </cell>
        </row>
        <row r="677">
          <cell r="A677" t="str">
            <v>2,02,01</v>
          </cell>
          <cell r="B677" t="str">
            <v>Mano de obra</v>
          </cell>
          <cell r="G677">
            <v>2.0699999999999998</v>
          </cell>
        </row>
        <row r="678">
          <cell r="A678" t="str">
            <v>2,02,01</v>
          </cell>
          <cell r="B678" t="str">
            <v>Operario</v>
          </cell>
          <cell r="C678" t="str">
            <v>HH</v>
          </cell>
          <cell r="D678">
            <v>1</v>
          </cell>
          <cell r="E678">
            <v>0.4</v>
          </cell>
          <cell r="F678">
            <v>2.84</v>
          </cell>
          <cell r="G678">
            <v>1.1399999999999999</v>
          </cell>
          <cell r="H678">
            <v>20</v>
          </cell>
        </row>
        <row r="679">
          <cell r="A679" t="str">
            <v>2,02,01</v>
          </cell>
          <cell r="B679" t="str">
            <v>Peón</v>
          </cell>
          <cell r="C679" t="str">
            <v>HH</v>
          </cell>
          <cell r="D679">
            <v>1</v>
          </cell>
          <cell r="E679">
            <v>0.4</v>
          </cell>
          <cell r="F679">
            <v>2.3199999999999998</v>
          </cell>
          <cell r="G679">
            <v>0.93</v>
          </cell>
          <cell r="H679">
            <v>20</v>
          </cell>
        </row>
        <row r="680">
          <cell r="A680" t="str">
            <v>2,02,01</v>
          </cell>
          <cell r="B680" t="str">
            <v>Equipos y/o herramientas</v>
          </cell>
          <cell r="G680">
            <v>0.48</v>
          </cell>
        </row>
        <row r="681">
          <cell r="A681" t="str">
            <v>2,02,01</v>
          </cell>
          <cell r="B681" t="str">
            <v>Escalera</v>
          </cell>
          <cell r="C681" t="str">
            <v>DIA</v>
          </cell>
          <cell r="D681">
            <v>1</v>
          </cell>
          <cell r="E681">
            <v>0.05</v>
          </cell>
          <cell r="F681">
            <v>1</v>
          </cell>
          <cell r="G681">
            <v>0.05</v>
          </cell>
        </row>
        <row r="682">
          <cell r="A682" t="str">
            <v>2,02,01</v>
          </cell>
          <cell r="B682" t="str">
            <v>Taladro Hilti</v>
          </cell>
          <cell r="C682" t="str">
            <v>DIA</v>
          </cell>
          <cell r="D682">
            <v>1</v>
          </cell>
          <cell r="E682">
            <v>0.05</v>
          </cell>
          <cell r="F682">
            <v>6.5</v>
          </cell>
          <cell r="G682">
            <v>0.33</v>
          </cell>
        </row>
        <row r="683">
          <cell r="A683" t="str">
            <v>2,02,01</v>
          </cell>
          <cell r="B683" t="str">
            <v>Desgaste de herramientas</v>
          </cell>
          <cell r="C683" t="str">
            <v>%MO</v>
          </cell>
          <cell r="E683">
            <v>0.05</v>
          </cell>
          <cell r="F683">
            <v>2.0699999999999998</v>
          </cell>
          <cell r="G683">
            <v>0.1</v>
          </cell>
        </row>
        <row r="684">
          <cell r="A684" t="str">
            <v>2,02,02</v>
          </cell>
          <cell r="B684" t="str">
            <v>Caja F°G° 150x150x100 mm data</v>
          </cell>
          <cell r="F684" t="str">
            <v>( und )</v>
          </cell>
          <cell r="G684">
            <v>9.4200000000000017</v>
          </cell>
        </row>
        <row r="685">
          <cell r="A685" t="str">
            <v>2,02,02</v>
          </cell>
          <cell r="C685" t="str">
            <v>und.</v>
          </cell>
          <cell r="D685" t="str">
            <v>cuad.</v>
          </cell>
          <cell r="E685" t="str">
            <v>cant.</v>
          </cell>
          <cell r="F685" t="str">
            <v>prec. $</v>
          </cell>
          <cell r="G685" t="str">
            <v>parcial $</v>
          </cell>
        </row>
        <row r="686">
          <cell r="A686" t="str">
            <v>2,02,02</v>
          </cell>
          <cell r="B686" t="str">
            <v>Materiales</v>
          </cell>
          <cell r="G686">
            <v>6.03</v>
          </cell>
        </row>
        <row r="687">
          <cell r="A687" t="str">
            <v>2,02,02</v>
          </cell>
          <cell r="B687" t="str">
            <v>Caja de F°G° de 150x150 x75 mm</v>
          </cell>
          <cell r="C687" t="str">
            <v>und</v>
          </cell>
          <cell r="E687">
            <v>1</v>
          </cell>
          <cell r="F687">
            <v>5.4</v>
          </cell>
          <cell r="G687">
            <v>5.4</v>
          </cell>
        </row>
        <row r="688">
          <cell r="A688" t="str">
            <v>2,02,02</v>
          </cell>
          <cell r="B688" t="str">
            <v>Tarugo plastico verde de 1/4</v>
          </cell>
          <cell r="C688" t="str">
            <v>und</v>
          </cell>
          <cell r="E688">
            <v>4</v>
          </cell>
          <cell r="F688">
            <v>0.115</v>
          </cell>
          <cell r="G688">
            <v>0.46</v>
          </cell>
        </row>
        <row r="689">
          <cell r="A689" t="str">
            <v>2,02,02</v>
          </cell>
          <cell r="B689" t="str">
            <v>Tornillo autoroscante de 8x1"</v>
          </cell>
          <cell r="C689" t="str">
            <v>und</v>
          </cell>
          <cell r="E689">
            <v>4</v>
          </cell>
          <cell r="F689">
            <v>4.2000000000000003E-2</v>
          </cell>
          <cell r="G689">
            <v>0.17</v>
          </cell>
        </row>
        <row r="690">
          <cell r="A690" t="str">
            <v>2,02,02</v>
          </cell>
          <cell r="B690" t="str">
            <v>Mano de obra</v>
          </cell>
          <cell r="G690">
            <v>2.75</v>
          </cell>
        </row>
        <row r="691">
          <cell r="A691" t="str">
            <v>2,02,02</v>
          </cell>
          <cell r="B691" t="str">
            <v>Operario</v>
          </cell>
          <cell r="C691" t="str">
            <v>HH</v>
          </cell>
          <cell r="D691">
            <v>1</v>
          </cell>
          <cell r="E691">
            <v>0.53333333333333333</v>
          </cell>
          <cell r="F691">
            <v>2.84</v>
          </cell>
          <cell r="G691">
            <v>1.51</v>
          </cell>
          <cell r="H691">
            <v>15</v>
          </cell>
        </row>
        <row r="692">
          <cell r="A692" t="str">
            <v>2,02,02</v>
          </cell>
          <cell r="B692" t="str">
            <v>Peón</v>
          </cell>
          <cell r="C692" t="str">
            <v>HH</v>
          </cell>
          <cell r="D692">
            <v>1</v>
          </cell>
          <cell r="E692">
            <v>0.53333333333333333</v>
          </cell>
          <cell r="F692">
            <v>2.3199999999999998</v>
          </cell>
          <cell r="G692">
            <v>1.24</v>
          </cell>
          <cell r="H692">
            <v>15</v>
          </cell>
        </row>
        <row r="693">
          <cell r="A693" t="str">
            <v>2,02,02</v>
          </cell>
          <cell r="B693" t="str">
            <v>Equipos y/o herramientas</v>
          </cell>
          <cell r="G693">
            <v>0.64</v>
          </cell>
        </row>
        <row r="694">
          <cell r="A694" t="str">
            <v>2,02,02</v>
          </cell>
          <cell r="B694" t="str">
            <v>Escalera</v>
          </cell>
          <cell r="C694" t="str">
            <v>DIA</v>
          </cell>
          <cell r="D694">
            <v>1</v>
          </cell>
          <cell r="E694">
            <v>6.6666666666666666E-2</v>
          </cell>
          <cell r="F694">
            <v>1</v>
          </cell>
          <cell r="G694">
            <v>7.0000000000000007E-2</v>
          </cell>
        </row>
        <row r="695">
          <cell r="A695" t="str">
            <v>2,02,02</v>
          </cell>
          <cell r="B695" t="str">
            <v>Taladro Hilti</v>
          </cell>
          <cell r="C695" t="str">
            <v>DIA</v>
          </cell>
          <cell r="D695">
            <v>1</v>
          </cell>
          <cell r="E695">
            <v>6.6666666666666666E-2</v>
          </cell>
          <cell r="F695">
            <v>6.5</v>
          </cell>
          <cell r="G695">
            <v>0.43</v>
          </cell>
        </row>
        <row r="696">
          <cell r="A696" t="str">
            <v>2,02,02</v>
          </cell>
          <cell r="B696" t="str">
            <v>Desgaste de herramientas</v>
          </cell>
          <cell r="C696" t="str">
            <v>%MO</v>
          </cell>
          <cell r="E696">
            <v>0.05</v>
          </cell>
          <cell r="F696">
            <v>2.75</v>
          </cell>
          <cell r="G696">
            <v>0.14000000000000001</v>
          </cell>
        </row>
        <row r="697">
          <cell r="A697" t="str">
            <v>2,03,01</v>
          </cell>
          <cell r="B697" t="str">
            <v>Salida para Voz y Data en pared</v>
          </cell>
          <cell r="F697" t="str">
            <v>( pto )</v>
          </cell>
          <cell r="G697">
            <v>17.68</v>
          </cell>
        </row>
        <row r="698">
          <cell r="A698" t="str">
            <v>2,03,01</v>
          </cell>
          <cell r="C698" t="str">
            <v>und.</v>
          </cell>
          <cell r="D698" t="str">
            <v>cuad.</v>
          </cell>
          <cell r="E698" t="str">
            <v>cant.</v>
          </cell>
          <cell r="F698" t="str">
            <v>prec. $</v>
          </cell>
          <cell r="G698" t="str">
            <v>parcial $</v>
          </cell>
        </row>
        <row r="699">
          <cell r="A699" t="str">
            <v>2,03,01</v>
          </cell>
          <cell r="B699" t="str">
            <v>Materiales</v>
          </cell>
          <cell r="D699" t="str">
            <v xml:space="preserve"> </v>
          </cell>
          <cell r="G699">
            <v>7.52</v>
          </cell>
        </row>
        <row r="700">
          <cell r="A700" t="str">
            <v>2,03,01</v>
          </cell>
          <cell r="B700" t="str">
            <v>Tubería PVC SAP de 25 mm</v>
          </cell>
          <cell r="C700" t="str">
            <v>ml</v>
          </cell>
          <cell r="E700">
            <v>3.5</v>
          </cell>
          <cell r="F700">
            <v>0.52</v>
          </cell>
          <cell r="G700">
            <v>1.82</v>
          </cell>
        </row>
        <row r="701">
          <cell r="A701" t="str">
            <v>2,03,01</v>
          </cell>
          <cell r="B701" t="str">
            <v>Curva PVC SAP de 25 mm</v>
          </cell>
          <cell r="C701" t="str">
            <v>und</v>
          </cell>
          <cell r="E701">
            <v>1</v>
          </cell>
          <cell r="F701">
            <v>0.89</v>
          </cell>
          <cell r="G701">
            <v>0.89</v>
          </cell>
        </row>
        <row r="702">
          <cell r="A702" t="str">
            <v>2,03,01</v>
          </cell>
          <cell r="B702" t="str">
            <v>Unión PVC SAP de 25 mm</v>
          </cell>
          <cell r="C702" t="str">
            <v>und</v>
          </cell>
          <cell r="E702">
            <v>2</v>
          </cell>
          <cell r="F702">
            <v>0.34</v>
          </cell>
          <cell r="G702">
            <v>0.68</v>
          </cell>
        </row>
        <row r="703">
          <cell r="A703" t="str">
            <v>2,03,01</v>
          </cell>
          <cell r="B703" t="str">
            <v>Conexión PVC SAP de 25 mm</v>
          </cell>
          <cell r="C703" t="str">
            <v>und</v>
          </cell>
          <cell r="E703">
            <v>2</v>
          </cell>
          <cell r="F703">
            <v>0.2</v>
          </cell>
          <cell r="G703">
            <v>0.4</v>
          </cell>
        </row>
        <row r="704">
          <cell r="A704" t="str">
            <v>2,03,01</v>
          </cell>
          <cell r="B704" t="str">
            <v xml:space="preserve">Caja F°G° 100x100x50mm </v>
          </cell>
          <cell r="C704" t="str">
            <v>und</v>
          </cell>
          <cell r="E704">
            <v>1</v>
          </cell>
          <cell r="F704">
            <v>1.72</v>
          </cell>
          <cell r="G704">
            <v>1.72</v>
          </cell>
        </row>
        <row r="705">
          <cell r="A705" t="str">
            <v>2,03,01</v>
          </cell>
          <cell r="B705" t="str">
            <v>Tapa de un gang</v>
          </cell>
          <cell r="C705" t="str">
            <v>und</v>
          </cell>
          <cell r="E705">
            <v>1</v>
          </cell>
          <cell r="F705">
            <v>0.85</v>
          </cell>
          <cell r="G705">
            <v>0.85</v>
          </cell>
        </row>
        <row r="706">
          <cell r="A706" t="str">
            <v>2,03,01</v>
          </cell>
          <cell r="B706" t="str">
            <v>Abrazadera de 25 mm</v>
          </cell>
          <cell r="C706" t="str">
            <v>und</v>
          </cell>
          <cell r="E706">
            <v>2.8571428571428572</v>
          </cell>
          <cell r="F706">
            <v>0.2</v>
          </cell>
          <cell r="G706">
            <v>0.56999999999999995</v>
          </cell>
        </row>
        <row r="707">
          <cell r="A707" t="str">
            <v>2,03,01</v>
          </cell>
          <cell r="B707" t="str">
            <v>Tarugo plastico verde de 1/4</v>
          </cell>
          <cell r="C707" t="str">
            <v>und</v>
          </cell>
          <cell r="E707">
            <v>2.8571428571428572</v>
          </cell>
          <cell r="F707">
            <v>0.115</v>
          </cell>
          <cell r="G707">
            <v>0.33</v>
          </cell>
        </row>
        <row r="708">
          <cell r="A708" t="str">
            <v>2,03,01</v>
          </cell>
          <cell r="B708" t="str">
            <v>Tornillo autoroscante de 8x1"</v>
          </cell>
          <cell r="C708" t="str">
            <v>und</v>
          </cell>
          <cell r="E708">
            <v>2.8571428571428572</v>
          </cell>
          <cell r="F708">
            <v>4.2000000000000003E-2</v>
          </cell>
          <cell r="G708">
            <v>0.12</v>
          </cell>
        </row>
        <row r="709">
          <cell r="A709" t="str">
            <v>2,03,01</v>
          </cell>
          <cell r="B709" t="str">
            <v>Tornillo autoroscante de 8x1/2 "</v>
          </cell>
          <cell r="C709" t="str">
            <v>und</v>
          </cell>
          <cell r="E709">
            <v>2</v>
          </cell>
          <cell r="F709">
            <v>4.2000000000000003E-2</v>
          </cell>
          <cell r="G709">
            <v>0.08</v>
          </cell>
        </row>
        <row r="710">
          <cell r="A710" t="str">
            <v>2,03,01</v>
          </cell>
          <cell r="B710" t="str">
            <v>Pegamento de 1/4 de galón</v>
          </cell>
          <cell r="C710" t="str">
            <v>und</v>
          </cell>
          <cell r="E710">
            <v>0.01</v>
          </cell>
          <cell r="F710">
            <v>6.3959999999999999</v>
          </cell>
          <cell r="G710">
            <v>0.06</v>
          </cell>
        </row>
        <row r="711">
          <cell r="A711" t="str">
            <v>2,03,01</v>
          </cell>
          <cell r="B711" t="str">
            <v>Mano de obra</v>
          </cell>
          <cell r="G711">
            <v>8.25</v>
          </cell>
        </row>
        <row r="712">
          <cell r="A712" t="str">
            <v>2,03,01</v>
          </cell>
          <cell r="B712" t="str">
            <v>Operario</v>
          </cell>
          <cell r="C712" t="str">
            <v>HH</v>
          </cell>
          <cell r="D712">
            <v>1</v>
          </cell>
          <cell r="E712">
            <v>1.6</v>
          </cell>
          <cell r="F712">
            <v>2.84</v>
          </cell>
          <cell r="G712">
            <v>4.54</v>
          </cell>
          <cell r="H712">
            <v>5</v>
          </cell>
        </row>
        <row r="713">
          <cell r="A713" t="str">
            <v>2,03,01</v>
          </cell>
          <cell r="B713" t="str">
            <v>Peón</v>
          </cell>
          <cell r="C713" t="str">
            <v>HH</v>
          </cell>
          <cell r="D713">
            <v>1</v>
          </cell>
          <cell r="E713">
            <v>1.6</v>
          </cell>
          <cell r="F713">
            <v>2.3199999999999998</v>
          </cell>
          <cell r="G713">
            <v>3.71</v>
          </cell>
          <cell r="H713">
            <v>5</v>
          </cell>
        </row>
        <row r="714">
          <cell r="A714" t="str">
            <v>2,03,01</v>
          </cell>
          <cell r="B714" t="str">
            <v>Equipos</v>
          </cell>
          <cell r="G714">
            <v>1.91</v>
          </cell>
        </row>
        <row r="715">
          <cell r="A715" t="str">
            <v>2,03,01</v>
          </cell>
          <cell r="B715" t="str">
            <v>Escalera</v>
          </cell>
          <cell r="C715" t="str">
            <v>DIA</v>
          </cell>
          <cell r="D715">
            <v>1</v>
          </cell>
          <cell r="E715">
            <v>0.2</v>
          </cell>
          <cell r="F715">
            <v>1</v>
          </cell>
          <cell r="G715">
            <v>0.2</v>
          </cell>
        </row>
        <row r="716">
          <cell r="A716" t="str">
            <v>2,03,01</v>
          </cell>
          <cell r="B716" t="str">
            <v>Taladro Hilti</v>
          </cell>
          <cell r="C716" t="str">
            <v>DIA</v>
          </cell>
          <cell r="D716">
            <v>1</v>
          </cell>
          <cell r="E716">
            <v>0.2</v>
          </cell>
          <cell r="F716">
            <v>6.5</v>
          </cell>
          <cell r="G716">
            <v>1.3</v>
          </cell>
        </row>
        <row r="717">
          <cell r="A717" t="str">
            <v>2,03,01</v>
          </cell>
          <cell r="B717" t="str">
            <v>Desgaste de herramientas</v>
          </cell>
          <cell r="C717" t="str">
            <v>%MO</v>
          </cell>
          <cell r="E717">
            <v>0.05</v>
          </cell>
          <cell r="F717">
            <v>8.25</v>
          </cell>
          <cell r="G717">
            <v>0.41</v>
          </cell>
        </row>
        <row r="718">
          <cell r="A718" t="str">
            <v>2,03,02</v>
          </cell>
          <cell r="B718" t="str">
            <v xml:space="preserve">Salida para detector de humo </v>
          </cell>
          <cell r="F718" t="str">
            <v>( pto )</v>
          </cell>
          <cell r="G718">
            <v>9.9600000000000009</v>
          </cell>
        </row>
        <row r="719">
          <cell r="A719" t="str">
            <v>2,03,02</v>
          </cell>
          <cell r="C719" t="str">
            <v>und.</v>
          </cell>
          <cell r="D719" t="str">
            <v>cuad.</v>
          </cell>
          <cell r="E719" t="str">
            <v>cant.</v>
          </cell>
          <cell r="F719" t="str">
            <v>prec. $</v>
          </cell>
          <cell r="G719" t="str">
            <v>parcial $</v>
          </cell>
        </row>
        <row r="720">
          <cell r="A720" t="str">
            <v>2,03,02</v>
          </cell>
          <cell r="B720" t="str">
            <v>Materiales</v>
          </cell>
          <cell r="G720">
            <v>3.6000000000000005</v>
          </cell>
        </row>
        <row r="721">
          <cell r="A721" t="str">
            <v>2,03,02</v>
          </cell>
          <cell r="B721" t="str">
            <v>Tubería PVC SAP de 20 mm</v>
          </cell>
          <cell r="C721" t="str">
            <v>ml</v>
          </cell>
          <cell r="E721">
            <v>1.625</v>
          </cell>
          <cell r="F721">
            <v>0.41</v>
          </cell>
          <cell r="G721">
            <v>0.67</v>
          </cell>
        </row>
        <row r="722">
          <cell r="A722" t="str">
            <v>2,03,02</v>
          </cell>
          <cell r="B722" t="str">
            <v>Curva PVC SAP de 20 mm</v>
          </cell>
          <cell r="C722" t="str">
            <v>und</v>
          </cell>
          <cell r="E722">
            <v>1</v>
          </cell>
          <cell r="F722">
            <v>0.59</v>
          </cell>
          <cell r="G722">
            <v>0.59</v>
          </cell>
        </row>
        <row r="723">
          <cell r="A723" t="str">
            <v>2,03,02</v>
          </cell>
          <cell r="B723" t="str">
            <v>Unión PVC SAP de 20 mm</v>
          </cell>
          <cell r="C723" t="str">
            <v>und</v>
          </cell>
          <cell r="E723">
            <v>2.1875</v>
          </cell>
          <cell r="F723">
            <v>0.25</v>
          </cell>
          <cell r="G723">
            <v>0.55000000000000004</v>
          </cell>
        </row>
        <row r="724">
          <cell r="A724" t="str">
            <v>2,03,02</v>
          </cell>
          <cell r="B724" t="str">
            <v>Conexión PVC SAP de 20 mm</v>
          </cell>
          <cell r="C724" t="str">
            <v>und</v>
          </cell>
          <cell r="E724">
            <v>2.1875</v>
          </cell>
          <cell r="F724">
            <v>0.17399999999999999</v>
          </cell>
          <cell r="G724">
            <v>0.38</v>
          </cell>
        </row>
        <row r="725">
          <cell r="A725" t="str">
            <v>2,03,02</v>
          </cell>
          <cell r="B725" t="str">
            <v>Caja octogonal de 100x50 mm</v>
          </cell>
          <cell r="C725" t="str">
            <v>und</v>
          </cell>
          <cell r="E725">
            <v>1</v>
          </cell>
          <cell r="F725">
            <v>0.85</v>
          </cell>
          <cell r="G725">
            <v>0.85</v>
          </cell>
        </row>
        <row r="726">
          <cell r="A726" t="str">
            <v>2,03,02</v>
          </cell>
          <cell r="B726" t="str">
            <v>Abrazadera de 20 mm</v>
          </cell>
          <cell r="C726" t="str">
            <v>und</v>
          </cell>
          <cell r="E726">
            <v>1.40625</v>
          </cell>
          <cell r="F726">
            <v>0.14000000000000001</v>
          </cell>
          <cell r="G726">
            <v>0.2</v>
          </cell>
        </row>
        <row r="727">
          <cell r="A727" t="str">
            <v>2,03,02</v>
          </cell>
          <cell r="B727" t="str">
            <v>Tarugo plastico verde de 1/4</v>
          </cell>
          <cell r="C727" t="str">
            <v>und</v>
          </cell>
          <cell r="E727">
            <v>1.40625</v>
          </cell>
          <cell r="F727">
            <v>0.115</v>
          </cell>
          <cell r="G727">
            <v>0.16</v>
          </cell>
        </row>
        <row r="728">
          <cell r="A728" t="str">
            <v>2,03,02</v>
          </cell>
          <cell r="B728" t="str">
            <v>Tornillo autoroscante de 8x1"</v>
          </cell>
          <cell r="C728" t="str">
            <v>und</v>
          </cell>
          <cell r="E728">
            <v>1.40625</v>
          </cell>
          <cell r="F728">
            <v>4.2000000000000003E-2</v>
          </cell>
          <cell r="G728">
            <v>0.06</v>
          </cell>
        </row>
        <row r="729">
          <cell r="A729" t="str">
            <v>2,03,02</v>
          </cell>
          <cell r="B729" t="str">
            <v>Tornillo autoroscante de8x1/2"</v>
          </cell>
          <cell r="C729" t="str">
            <v>und</v>
          </cell>
          <cell r="E729">
            <v>2</v>
          </cell>
          <cell r="F729">
            <v>4.2000000000000003E-2</v>
          </cell>
          <cell r="G729">
            <v>0.08</v>
          </cell>
        </row>
        <row r="730">
          <cell r="A730" t="str">
            <v>2,03,02</v>
          </cell>
          <cell r="B730" t="str">
            <v>Pegamento de 1/4 de galón</v>
          </cell>
          <cell r="C730" t="str">
            <v>und</v>
          </cell>
          <cell r="E730">
            <v>0.01</v>
          </cell>
          <cell r="F730">
            <v>6.3959999999999999</v>
          </cell>
          <cell r="G730">
            <v>0.06</v>
          </cell>
        </row>
        <row r="731">
          <cell r="A731" t="str">
            <v>2,03,02</v>
          </cell>
          <cell r="B731" t="str">
            <v>Mano de obra</v>
          </cell>
          <cell r="G731">
            <v>5.16</v>
          </cell>
        </row>
        <row r="732">
          <cell r="A732" t="str">
            <v>2,03,02</v>
          </cell>
          <cell r="B732" t="str">
            <v>Operario</v>
          </cell>
          <cell r="C732" t="str">
            <v>HH</v>
          </cell>
          <cell r="D732">
            <v>1</v>
          </cell>
          <cell r="E732">
            <v>1</v>
          </cell>
          <cell r="F732">
            <v>2.84</v>
          </cell>
          <cell r="G732">
            <v>2.84</v>
          </cell>
          <cell r="H732">
            <v>8</v>
          </cell>
        </row>
        <row r="733">
          <cell r="A733" t="str">
            <v>2,03,02</v>
          </cell>
          <cell r="B733" t="str">
            <v>Peón</v>
          </cell>
          <cell r="C733" t="str">
            <v>HH</v>
          </cell>
          <cell r="D733">
            <v>1</v>
          </cell>
          <cell r="E733">
            <v>1</v>
          </cell>
          <cell r="F733">
            <v>2.3199999999999998</v>
          </cell>
          <cell r="G733">
            <v>2.3199999999999998</v>
          </cell>
          <cell r="H733">
            <v>8</v>
          </cell>
        </row>
        <row r="734">
          <cell r="A734" t="str">
            <v>2,03,02</v>
          </cell>
          <cell r="B734" t="str">
            <v>Equipos</v>
          </cell>
          <cell r="G734">
            <v>1.2000000000000002</v>
          </cell>
        </row>
        <row r="735">
          <cell r="A735" t="str">
            <v>2,03,02</v>
          </cell>
          <cell r="B735" t="str">
            <v>Escalera</v>
          </cell>
          <cell r="C735" t="str">
            <v>DIA</v>
          </cell>
          <cell r="D735">
            <v>1</v>
          </cell>
          <cell r="E735">
            <v>0.125</v>
          </cell>
          <cell r="F735">
            <v>1</v>
          </cell>
          <cell r="G735">
            <v>0.13</v>
          </cell>
        </row>
        <row r="736">
          <cell r="A736" t="str">
            <v>2,03,02</v>
          </cell>
          <cell r="B736" t="str">
            <v>Taladro Hilti</v>
          </cell>
          <cell r="C736" t="str">
            <v>DIA</v>
          </cell>
          <cell r="D736">
            <v>1</v>
          </cell>
          <cell r="E736">
            <v>0.125</v>
          </cell>
          <cell r="F736">
            <v>6.5</v>
          </cell>
          <cell r="G736">
            <v>0.81</v>
          </cell>
        </row>
        <row r="737">
          <cell r="A737" t="str">
            <v>2,03,02</v>
          </cell>
          <cell r="B737" t="str">
            <v>Desgaste de herramientas</v>
          </cell>
          <cell r="C737" t="str">
            <v>%MO</v>
          </cell>
          <cell r="E737">
            <v>0.05</v>
          </cell>
          <cell r="F737">
            <v>5.16</v>
          </cell>
          <cell r="G737">
            <v>0.26</v>
          </cell>
        </row>
        <row r="738">
          <cell r="A738" t="str">
            <v>2,03,03</v>
          </cell>
          <cell r="B738" t="str">
            <v>Salida para detector de temperatura</v>
          </cell>
          <cell r="F738" t="str">
            <v>( pto )</v>
          </cell>
          <cell r="G738">
            <v>10.57</v>
          </cell>
        </row>
        <row r="739">
          <cell r="A739" t="str">
            <v>2,03,03</v>
          </cell>
          <cell r="C739" t="str">
            <v>und.</v>
          </cell>
          <cell r="D739" t="str">
            <v>cuad.</v>
          </cell>
          <cell r="E739" t="str">
            <v>cant.</v>
          </cell>
          <cell r="F739" t="str">
            <v>prec. $</v>
          </cell>
          <cell r="G739" t="str">
            <v>parcial $</v>
          </cell>
        </row>
        <row r="740">
          <cell r="A740" t="str">
            <v>2,03,03</v>
          </cell>
          <cell r="B740" t="str">
            <v>Materiales</v>
          </cell>
          <cell r="G740">
            <v>4.21</v>
          </cell>
        </row>
        <row r="741">
          <cell r="A741" t="str">
            <v>2,03,03</v>
          </cell>
          <cell r="B741" t="str">
            <v>Tubería PVC SAP de 20 mm</v>
          </cell>
          <cell r="C741" t="str">
            <v>ml</v>
          </cell>
          <cell r="E741">
            <v>2.5</v>
          </cell>
          <cell r="F741">
            <v>0.41</v>
          </cell>
          <cell r="G741">
            <v>1.03</v>
          </cell>
        </row>
        <row r="742">
          <cell r="A742" t="str">
            <v>2,03,03</v>
          </cell>
          <cell r="B742" t="str">
            <v>Curva PVC SAP de 20 mm</v>
          </cell>
          <cell r="C742" t="str">
            <v>und</v>
          </cell>
          <cell r="E742">
            <v>1</v>
          </cell>
          <cell r="F742">
            <v>0.59</v>
          </cell>
          <cell r="G742">
            <v>0.59</v>
          </cell>
        </row>
        <row r="743">
          <cell r="A743" t="str">
            <v>2,03,03</v>
          </cell>
          <cell r="B743" t="str">
            <v>Unión PVC SAP de 20 mm</v>
          </cell>
          <cell r="C743" t="str">
            <v>und</v>
          </cell>
          <cell r="E743">
            <v>2</v>
          </cell>
          <cell r="F743">
            <v>0.25</v>
          </cell>
          <cell r="G743">
            <v>0.5</v>
          </cell>
        </row>
        <row r="744">
          <cell r="A744" t="str">
            <v>2,03,03</v>
          </cell>
          <cell r="B744" t="str">
            <v>Conexión PVC SAP de 20 mm</v>
          </cell>
          <cell r="C744" t="str">
            <v>und</v>
          </cell>
          <cell r="E744">
            <v>2</v>
          </cell>
          <cell r="F744">
            <v>0.17399999999999999</v>
          </cell>
          <cell r="G744">
            <v>0.35</v>
          </cell>
        </row>
        <row r="745">
          <cell r="A745" t="str">
            <v>2,03,03</v>
          </cell>
          <cell r="B745" t="str">
            <v>Caja octogonal de 100x50 mm</v>
          </cell>
          <cell r="C745" t="str">
            <v>und</v>
          </cell>
          <cell r="E745">
            <v>1</v>
          </cell>
          <cell r="F745">
            <v>0.85</v>
          </cell>
          <cell r="G745">
            <v>0.85</v>
          </cell>
        </row>
        <row r="746">
          <cell r="A746" t="str">
            <v>2,03,03</v>
          </cell>
          <cell r="B746" t="str">
            <v>Abrazadera de 20 mm</v>
          </cell>
          <cell r="C746" t="str">
            <v>und</v>
          </cell>
          <cell r="E746">
            <v>2.5</v>
          </cell>
          <cell r="F746">
            <v>0.14000000000000001</v>
          </cell>
          <cell r="G746">
            <v>0.35</v>
          </cell>
        </row>
        <row r="747">
          <cell r="A747" t="str">
            <v>2,03,03</v>
          </cell>
          <cell r="B747" t="str">
            <v>Tarugo plastico verde de 1/4</v>
          </cell>
          <cell r="C747" t="str">
            <v>und</v>
          </cell>
          <cell r="E747">
            <v>2.5</v>
          </cell>
          <cell r="F747">
            <v>0.115</v>
          </cell>
          <cell r="G747">
            <v>0.28999999999999998</v>
          </cell>
        </row>
        <row r="748">
          <cell r="A748" t="str">
            <v>2,03,03</v>
          </cell>
          <cell r="B748" t="str">
            <v>Tornillo autoroscante de 8x1"</v>
          </cell>
          <cell r="C748" t="str">
            <v>und</v>
          </cell>
          <cell r="E748">
            <v>2.5</v>
          </cell>
          <cell r="F748">
            <v>4.2000000000000003E-2</v>
          </cell>
          <cell r="G748">
            <v>0.11</v>
          </cell>
        </row>
        <row r="749">
          <cell r="A749" t="str">
            <v>2,03,03</v>
          </cell>
          <cell r="B749" t="str">
            <v>Tornillo autoroscante de8x1/2"</v>
          </cell>
          <cell r="C749" t="str">
            <v>und</v>
          </cell>
          <cell r="E749">
            <v>2</v>
          </cell>
          <cell r="F749">
            <v>4.2000000000000003E-2</v>
          </cell>
          <cell r="G749">
            <v>0.08</v>
          </cell>
        </row>
        <row r="750">
          <cell r="A750" t="str">
            <v>2,03,03</v>
          </cell>
          <cell r="B750" t="str">
            <v>Pegamento de 1/4 de galón</v>
          </cell>
          <cell r="C750" t="str">
            <v>und</v>
          </cell>
          <cell r="E750">
            <v>0.01</v>
          </cell>
          <cell r="F750">
            <v>6.3959999999999999</v>
          </cell>
          <cell r="G750">
            <v>0.06</v>
          </cell>
        </row>
        <row r="751">
          <cell r="A751" t="str">
            <v>2,03,03</v>
          </cell>
          <cell r="B751" t="str">
            <v>Mano de obra</v>
          </cell>
          <cell r="G751">
            <v>5.16</v>
          </cell>
        </row>
        <row r="752">
          <cell r="A752" t="str">
            <v>2,03,03</v>
          </cell>
          <cell r="B752" t="str">
            <v>Operario</v>
          </cell>
          <cell r="C752" t="str">
            <v>HH</v>
          </cell>
          <cell r="D752">
            <v>1</v>
          </cell>
          <cell r="E752">
            <v>1</v>
          </cell>
          <cell r="F752">
            <v>2.84</v>
          </cell>
          <cell r="G752">
            <v>2.84</v>
          </cell>
          <cell r="H752">
            <v>8</v>
          </cell>
        </row>
        <row r="753">
          <cell r="A753" t="str">
            <v>2,03,03</v>
          </cell>
          <cell r="B753" t="str">
            <v>Peón</v>
          </cell>
          <cell r="C753" t="str">
            <v>HH</v>
          </cell>
          <cell r="D753">
            <v>1</v>
          </cell>
          <cell r="E753">
            <v>1</v>
          </cell>
          <cell r="F753">
            <v>2.3199999999999998</v>
          </cell>
          <cell r="G753">
            <v>2.3199999999999998</v>
          </cell>
          <cell r="H753">
            <v>8</v>
          </cell>
        </row>
        <row r="754">
          <cell r="A754" t="str">
            <v>2,03,03</v>
          </cell>
          <cell r="B754" t="str">
            <v>Equipos</v>
          </cell>
          <cell r="G754">
            <v>1.2000000000000002</v>
          </cell>
        </row>
        <row r="755">
          <cell r="A755" t="str">
            <v>2,03,03</v>
          </cell>
          <cell r="B755" t="str">
            <v>Escalera</v>
          </cell>
          <cell r="C755" t="str">
            <v>DIA</v>
          </cell>
          <cell r="D755">
            <v>1</v>
          </cell>
          <cell r="E755">
            <v>0.125</v>
          </cell>
          <cell r="F755">
            <v>1</v>
          </cell>
          <cell r="G755">
            <v>0.13</v>
          </cell>
        </row>
        <row r="756">
          <cell r="A756" t="str">
            <v>2,03,03</v>
          </cell>
          <cell r="B756" t="str">
            <v>Taladro Hilti</v>
          </cell>
          <cell r="C756" t="str">
            <v>DIA</v>
          </cell>
          <cell r="D756">
            <v>1</v>
          </cell>
          <cell r="E756">
            <v>0.125</v>
          </cell>
          <cell r="F756">
            <v>6.5</v>
          </cell>
          <cell r="G756">
            <v>0.81</v>
          </cell>
        </row>
        <row r="757">
          <cell r="A757" t="str">
            <v>2,03,03</v>
          </cell>
          <cell r="B757" t="str">
            <v>Desgaste de herramientas</v>
          </cell>
          <cell r="C757" t="str">
            <v>%MO</v>
          </cell>
          <cell r="E757">
            <v>0.05</v>
          </cell>
          <cell r="F757">
            <v>5.16</v>
          </cell>
          <cell r="G757">
            <v>0.26</v>
          </cell>
        </row>
        <row r="758">
          <cell r="A758" t="str">
            <v>2,03,04</v>
          </cell>
          <cell r="B758" t="str">
            <v>Salida para estación manual</v>
          </cell>
          <cell r="F758" t="str">
            <v>( pto )</v>
          </cell>
          <cell r="G758">
            <v>11.259999999999998</v>
          </cell>
        </row>
        <row r="759">
          <cell r="A759" t="str">
            <v>2,03,04</v>
          </cell>
          <cell r="C759" t="str">
            <v>und.</v>
          </cell>
          <cell r="D759" t="str">
            <v>cuad.</v>
          </cell>
          <cell r="E759" t="str">
            <v>cant.</v>
          </cell>
          <cell r="F759" t="str">
            <v>prec. $</v>
          </cell>
          <cell r="G759" t="str">
            <v>parcial $</v>
          </cell>
        </row>
        <row r="760">
          <cell r="A760" t="str">
            <v>2,03,04</v>
          </cell>
          <cell r="B760" t="str">
            <v>Materiales</v>
          </cell>
          <cell r="G760">
            <v>4.8999999999999995</v>
          </cell>
        </row>
        <row r="761">
          <cell r="A761" t="str">
            <v>2,03,04</v>
          </cell>
          <cell r="B761" t="str">
            <v>Tubería PVC SAP de 20 mm</v>
          </cell>
          <cell r="C761" t="str">
            <v>ml</v>
          </cell>
          <cell r="E761">
            <v>2.6666666666666665</v>
          </cell>
          <cell r="F761">
            <v>0.41</v>
          </cell>
          <cell r="G761">
            <v>1.0900000000000001</v>
          </cell>
        </row>
        <row r="762">
          <cell r="A762" t="str">
            <v>2,03,04</v>
          </cell>
          <cell r="B762" t="str">
            <v>Curva PVC SAP de 20 mm</v>
          </cell>
          <cell r="C762" t="str">
            <v>und</v>
          </cell>
          <cell r="E762">
            <v>2</v>
          </cell>
          <cell r="F762">
            <v>0.59</v>
          </cell>
          <cell r="G762">
            <v>1.18</v>
          </cell>
        </row>
        <row r="763">
          <cell r="A763" t="str">
            <v>2,03,04</v>
          </cell>
          <cell r="B763" t="str">
            <v>Unión PVC SAP de 20 mm</v>
          </cell>
          <cell r="C763" t="str">
            <v>und</v>
          </cell>
          <cell r="E763">
            <v>2.5</v>
          </cell>
          <cell r="F763">
            <v>0.25</v>
          </cell>
          <cell r="G763">
            <v>0.63</v>
          </cell>
        </row>
        <row r="764">
          <cell r="A764" t="str">
            <v>2,03,04</v>
          </cell>
          <cell r="B764" t="str">
            <v>Conexión PVC SAP de 20 mm</v>
          </cell>
          <cell r="C764" t="str">
            <v>und</v>
          </cell>
          <cell r="E764">
            <v>2.5</v>
          </cell>
          <cell r="F764">
            <v>0.17399999999999999</v>
          </cell>
          <cell r="G764">
            <v>0.44</v>
          </cell>
        </row>
        <row r="765">
          <cell r="A765" t="str">
            <v>2,03,04</v>
          </cell>
          <cell r="B765" t="str">
            <v>Caja rectangular de 100x50 mm</v>
          </cell>
          <cell r="C765" t="str">
            <v>und</v>
          </cell>
          <cell r="E765">
            <v>1</v>
          </cell>
          <cell r="F765">
            <v>0.78</v>
          </cell>
          <cell r="G765">
            <v>0.78</v>
          </cell>
        </row>
        <row r="766">
          <cell r="A766" t="str">
            <v>2,03,04</v>
          </cell>
          <cell r="B766" t="str">
            <v>Abrazadera de 20 mm</v>
          </cell>
          <cell r="C766" t="str">
            <v>und</v>
          </cell>
          <cell r="E766">
            <v>2.1666666666666665</v>
          </cell>
          <cell r="F766">
            <v>0.14000000000000001</v>
          </cell>
          <cell r="G766">
            <v>0.3</v>
          </cell>
        </row>
        <row r="767">
          <cell r="A767" t="str">
            <v>2,03,04</v>
          </cell>
          <cell r="B767" t="str">
            <v>Tarugo plastico verde de 1/4</v>
          </cell>
          <cell r="C767" t="str">
            <v>und</v>
          </cell>
          <cell r="E767">
            <v>2.1666666666666665</v>
          </cell>
          <cell r="F767">
            <v>0.115</v>
          </cell>
          <cell r="G767">
            <v>0.25</v>
          </cell>
        </row>
        <row r="768">
          <cell r="A768" t="str">
            <v>2,03,04</v>
          </cell>
          <cell r="B768" t="str">
            <v>Tornillo autoroscante de 8x1"</v>
          </cell>
          <cell r="C768" t="str">
            <v>und</v>
          </cell>
          <cell r="E768">
            <v>2.1666666666666665</v>
          </cell>
          <cell r="F768">
            <v>4.2000000000000003E-2</v>
          </cell>
          <cell r="G768">
            <v>0.09</v>
          </cell>
        </row>
        <row r="769">
          <cell r="A769" t="str">
            <v>2,03,04</v>
          </cell>
          <cell r="B769" t="str">
            <v>Tornillo autoroscante de8x1/2"</v>
          </cell>
          <cell r="C769" t="str">
            <v>und</v>
          </cell>
          <cell r="E769">
            <v>2</v>
          </cell>
          <cell r="F769">
            <v>4.2000000000000003E-2</v>
          </cell>
          <cell r="G769">
            <v>0.08</v>
          </cell>
        </row>
        <row r="770">
          <cell r="A770" t="str">
            <v>2,03,04</v>
          </cell>
          <cell r="B770" t="str">
            <v>Pegamento de 1/4 de galón</v>
          </cell>
          <cell r="C770" t="str">
            <v>und</v>
          </cell>
          <cell r="E770">
            <v>0.01</v>
          </cell>
          <cell r="F770">
            <v>6.3959999999999999</v>
          </cell>
          <cell r="G770">
            <v>0.06</v>
          </cell>
        </row>
        <row r="771">
          <cell r="A771" t="str">
            <v>2,03,04</v>
          </cell>
          <cell r="B771" t="str">
            <v>Mano de obra</v>
          </cell>
          <cell r="G771">
            <v>5.16</v>
          </cell>
        </row>
        <row r="772">
          <cell r="A772" t="str">
            <v>2,03,04</v>
          </cell>
          <cell r="B772" t="str">
            <v>Operario</v>
          </cell>
          <cell r="C772" t="str">
            <v>HH</v>
          </cell>
          <cell r="D772">
            <v>1</v>
          </cell>
          <cell r="E772">
            <v>1</v>
          </cell>
          <cell r="F772">
            <v>2.84</v>
          </cell>
          <cell r="G772">
            <v>2.84</v>
          </cell>
          <cell r="H772">
            <v>8</v>
          </cell>
        </row>
        <row r="773">
          <cell r="A773" t="str">
            <v>2,03,04</v>
          </cell>
          <cell r="B773" t="str">
            <v>Peón</v>
          </cell>
          <cell r="C773" t="str">
            <v>HH</v>
          </cell>
          <cell r="D773">
            <v>1</v>
          </cell>
          <cell r="E773">
            <v>1</v>
          </cell>
          <cell r="F773">
            <v>2.3199999999999998</v>
          </cell>
          <cell r="G773">
            <v>2.3199999999999998</v>
          </cell>
          <cell r="H773">
            <v>8</v>
          </cell>
        </row>
        <row r="774">
          <cell r="A774" t="str">
            <v>2,03,04</v>
          </cell>
          <cell r="B774" t="str">
            <v>Equipos</v>
          </cell>
          <cell r="G774">
            <v>1.2000000000000002</v>
          </cell>
        </row>
        <row r="775">
          <cell r="A775" t="str">
            <v>2,03,04</v>
          </cell>
          <cell r="B775" t="str">
            <v>Escalera</v>
          </cell>
          <cell r="C775" t="str">
            <v>DIA</v>
          </cell>
          <cell r="D775">
            <v>1</v>
          </cell>
          <cell r="E775">
            <v>0.125</v>
          </cell>
          <cell r="F775">
            <v>1</v>
          </cell>
          <cell r="G775">
            <v>0.13</v>
          </cell>
        </row>
        <row r="776">
          <cell r="A776" t="str">
            <v>2,03,04</v>
          </cell>
          <cell r="B776" t="str">
            <v>Taladro Hilti</v>
          </cell>
          <cell r="C776" t="str">
            <v>DIA</v>
          </cell>
          <cell r="D776">
            <v>1</v>
          </cell>
          <cell r="E776">
            <v>0.125</v>
          </cell>
          <cell r="F776">
            <v>6.5</v>
          </cell>
          <cell r="G776">
            <v>0.81</v>
          </cell>
        </row>
        <row r="777">
          <cell r="A777" t="str">
            <v>2,03,04</v>
          </cell>
          <cell r="B777" t="str">
            <v>Desgaste de herramientas</v>
          </cell>
          <cell r="C777" t="str">
            <v>%MO</v>
          </cell>
          <cell r="E777">
            <v>0.05</v>
          </cell>
          <cell r="F777">
            <v>5.16</v>
          </cell>
          <cell r="G777">
            <v>0.26</v>
          </cell>
        </row>
        <row r="778">
          <cell r="A778" t="str">
            <v>2,03,05</v>
          </cell>
          <cell r="B778" t="str">
            <v>Salida para sensor de monoxido de carbono</v>
          </cell>
          <cell r="F778" t="str">
            <v>( pto )</v>
          </cell>
          <cell r="G778">
            <v>16.95</v>
          </cell>
        </row>
        <row r="779">
          <cell r="A779" t="str">
            <v>2,03,05</v>
          </cell>
          <cell r="C779" t="str">
            <v>und.</v>
          </cell>
          <cell r="D779" t="str">
            <v>cuad.</v>
          </cell>
          <cell r="E779" t="str">
            <v>cant.</v>
          </cell>
          <cell r="F779" t="str">
            <v>prec. $</v>
          </cell>
          <cell r="G779" t="str">
            <v>parcial $</v>
          </cell>
        </row>
        <row r="780">
          <cell r="A780" t="str">
            <v>2,03,05</v>
          </cell>
          <cell r="B780" t="str">
            <v>Materiales</v>
          </cell>
          <cell r="G780">
            <v>8.48</v>
          </cell>
        </row>
        <row r="781">
          <cell r="A781" t="str">
            <v>2,03,05</v>
          </cell>
          <cell r="B781" t="str">
            <v>Tubería PVC SAP de 20 mm</v>
          </cell>
          <cell r="C781" t="str">
            <v>ml</v>
          </cell>
          <cell r="E781">
            <v>2</v>
          </cell>
          <cell r="F781">
            <v>0.41</v>
          </cell>
          <cell r="G781">
            <v>0.82</v>
          </cell>
        </row>
        <row r="782">
          <cell r="A782" t="str">
            <v>2,03,05</v>
          </cell>
          <cell r="B782" t="str">
            <v>Curva PVC SAP de 20 mm</v>
          </cell>
          <cell r="C782" t="str">
            <v>und</v>
          </cell>
          <cell r="E782">
            <v>1</v>
          </cell>
          <cell r="F782">
            <v>0.59</v>
          </cell>
          <cell r="G782">
            <v>0.59</v>
          </cell>
        </row>
        <row r="783">
          <cell r="A783" t="str">
            <v>2,03,05</v>
          </cell>
          <cell r="B783" t="str">
            <v>Unión PVC SAP de 20 mm</v>
          </cell>
          <cell r="C783" t="str">
            <v>und</v>
          </cell>
          <cell r="E783">
            <v>2</v>
          </cell>
          <cell r="F783">
            <v>0.25</v>
          </cell>
          <cell r="G783">
            <v>0.5</v>
          </cell>
        </row>
        <row r="784">
          <cell r="A784" t="str">
            <v>2,03,05</v>
          </cell>
          <cell r="B784" t="str">
            <v>Conexión PVC SAP de 20 mm</v>
          </cell>
          <cell r="C784" t="str">
            <v>und</v>
          </cell>
          <cell r="E784">
            <v>2</v>
          </cell>
          <cell r="F784">
            <v>0.17399999999999999</v>
          </cell>
          <cell r="G784">
            <v>0.35</v>
          </cell>
        </row>
        <row r="785">
          <cell r="A785" t="str">
            <v>2,03,05</v>
          </cell>
          <cell r="B785" t="str">
            <v>Caja cuadrada de 150x150x75 mm</v>
          </cell>
          <cell r="C785" t="str">
            <v>und</v>
          </cell>
          <cell r="E785">
            <v>1</v>
          </cell>
          <cell r="F785">
            <v>5.4</v>
          </cell>
          <cell r="G785">
            <v>5.4</v>
          </cell>
        </row>
        <row r="786">
          <cell r="A786" t="str">
            <v>2,03,05</v>
          </cell>
          <cell r="B786" t="str">
            <v>Abrazadera de 20 mm</v>
          </cell>
          <cell r="C786" t="str">
            <v>und</v>
          </cell>
          <cell r="E786">
            <v>2</v>
          </cell>
          <cell r="F786">
            <v>0.14000000000000001</v>
          </cell>
          <cell r="G786">
            <v>0.28000000000000003</v>
          </cell>
        </row>
        <row r="787">
          <cell r="A787" t="str">
            <v>2,03,05</v>
          </cell>
          <cell r="B787" t="str">
            <v>Tarugo plastico verde de 1/4</v>
          </cell>
          <cell r="C787" t="str">
            <v>und</v>
          </cell>
          <cell r="E787">
            <v>2</v>
          </cell>
          <cell r="F787">
            <v>0.115</v>
          </cell>
          <cell r="G787">
            <v>0.23</v>
          </cell>
        </row>
        <row r="788">
          <cell r="A788" t="str">
            <v>2,03,05</v>
          </cell>
          <cell r="B788" t="str">
            <v>Tornillo autoroscante de 8x1"</v>
          </cell>
          <cell r="C788" t="str">
            <v>und</v>
          </cell>
          <cell r="E788">
            <v>2</v>
          </cell>
          <cell r="F788">
            <v>4.2000000000000003E-2</v>
          </cell>
          <cell r="G788">
            <v>0.08</v>
          </cell>
        </row>
        <row r="789">
          <cell r="A789" t="str">
            <v>2,03,05</v>
          </cell>
          <cell r="B789" t="str">
            <v>Tornillo autoroscante de8x1/2"</v>
          </cell>
          <cell r="C789" t="str">
            <v>und</v>
          </cell>
          <cell r="E789">
            <v>4</v>
          </cell>
          <cell r="F789">
            <v>4.2000000000000003E-2</v>
          </cell>
          <cell r="G789">
            <v>0.17</v>
          </cell>
        </row>
        <row r="790">
          <cell r="A790" t="str">
            <v>2,03,05</v>
          </cell>
          <cell r="B790" t="str">
            <v>Pegamento de 1/4 de galón</v>
          </cell>
          <cell r="C790" t="str">
            <v>und</v>
          </cell>
          <cell r="E790">
            <v>0.01</v>
          </cell>
          <cell r="F790">
            <v>6.3959999999999999</v>
          </cell>
          <cell r="G790">
            <v>0.06</v>
          </cell>
        </row>
        <row r="791">
          <cell r="A791" t="str">
            <v>2,03,05</v>
          </cell>
          <cell r="B791" t="str">
            <v>Mano de obra</v>
          </cell>
          <cell r="G791">
            <v>6.88</v>
          </cell>
        </row>
        <row r="792">
          <cell r="A792" t="str">
            <v>2,03,05</v>
          </cell>
          <cell r="B792" t="str">
            <v>Operario</v>
          </cell>
          <cell r="C792" t="str">
            <v>HH</v>
          </cell>
          <cell r="D792">
            <v>1</v>
          </cell>
          <cell r="E792">
            <v>1.3333333333333333</v>
          </cell>
          <cell r="F792">
            <v>2.84</v>
          </cell>
          <cell r="G792">
            <v>3.79</v>
          </cell>
          <cell r="H792">
            <v>6</v>
          </cell>
        </row>
        <row r="793">
          <cell r="A793" t="str">
            <v>2,03,05</v>
          </cell>
          <cell r="B793" t="str">
            <v>Peón</v>
          </cell>
          <cell r="C793" t="str">
            <v>HH</v>
          </cell>
          <cell r="D793">
            <v>1</v>
          </cell>
          <cell r="E793">
            <v>1.3333333333333333</v>
          </cell>
          <cell r="F793">
            <v>2.3199999999999998</v>
          </cell>
          <cell r="G793">
            <v>3.09</v>
          </cell>
          <cell r="H793">
            <v>6</v>
          </cell>
        </row>
        <row r="794">
          <cell r="A794" t="str">
            <v>2,03,05</v>
          </cell>
          <cell r="B794" t="str">
            <v>Equipos</v>
          </cell>
          <cell r="G794">
            <v>1.59</v>
          </cell>
        </row>
        <row r="795">
          <cell r="A795" t="str">
            <v>2,03,05</v>
          </cell>
          <cell r="B795" t="str">
            <v>Escalera</v>
          </cell>
          <cell r="C795" t="str">
            <v>DIA</v>
          </cell>
          <cell r="D795">
            <v>1</v>
          </cell>
          <cell r="E795">
            <v>0.16666666666666666</v>
          </cell>
          <cell r="F795">
            <v>1</v>
          </cell>
          <cell r="G795">
            <v>0.17</v>
          </cell>
        </row>
        <row r="796">
          <cell r="A796" t="str">
            <v>2,03,05</v>
          </cell>
          <cell r="B796" t="str">
            <v>Taladro Hilti</v>
          </cell>
          <cell r="C796" t="str">
            <v>DIA</v>
          </cell>
          <cell r="D796">
            <v>1</v>
          </cell>
          <cell r="E796">
            <v>0.16666666666666666</v>
          </cell>
          <cell r="F796">
            <v>6.5</v>
          </cell>
          <cell r="G796">
            <v>1.08</v>
          </cell>
        </row>
        <row r="797">
          <cell r="A797" t="str">
            <v>2,03,05</v>
          </cell>
          <cell r="B797" t="str">
            <v>Desgaste de herramientas</v>
          </cell>
          <cell r="C797" t="str">
            <v>%MO</v>
          </cell>
          <cell r="E797">
            <v>0.05</v>
          </cell>
          <cell r="F797">
            <v>6.88</v>
          </cell>
          <cell r="G797">
            <v>0.34</v>
          </cell>
        </row>
        <row r="798">
          <cell r="A798" t="str">
            <v>2,03,06</v>
          </cell>
          <cell r="B798" t="str">
            <v>Salida para sensor de flujo</v>
          </cell>
          <cell r="F798" t="str">
            <v>( pto )</v>
          </cell>
          <cell r="G798">
            <v>13.18</v>
          </cell>
        </row>
        <row r="799">
          <cell r="A799" t="str">
            <v>2,03,06</v>
          </cell>
          <cell r="C799" t="str">
            <v>und.</v>
          </cell>
          <cell r="D799" t="str">
            <v>cuad.</v>
          </cell>
          <cell r="E799" t="str">
            <v>cant.</v>
          </cell>
          <cell r="F799" t="str">
            <v>prec. $</v>
          </cell>
          <cell r="G799" t="str">
            <v>parcial $</v>
          </cell>
        </row>
        <row r="800">
          <cell r="A800" t="str">
            <v>2,03,06</v>
          </cell>
          <cell r="B800" t="str">
            <v>Materiales</v>
          </cell>
          <cell r="G800">
            <v>4.71</v>
          </cell>
        </row>
        <row r="801">
          <cell r="A801" t="str">
            <v>2,03,06</v>
          </cell>
          <cell r="B801" t="str">
            <v>Tubería PVC SAP de 20 mm</v>
          </cell>
          <cell r="C801" t="str">
            <v>ml</v>
          </cell>
          <cell r="E801">
            <v>2</v>
          </cell>
          <cell r="F801">
            <v>0.41</v>
          </cell>
          <cell r="G801">
            <v>0.82</v>
          </cell>
        </row>
        <row r="802">
          <cell r="A802" t="str">
            <v>2,03,06</v>
          </cell>
          <cell r="B802" t="str">
            <v>Curva PVC SAP de 20 mm</v>
          </cell>
          <cell r="C802" t="str">
            <v>und</v>
          </cell>
          <cell r="E802">
            <v>1</v>
          </cell>
          <cell r="F802">
            <v>0.59</v>
          </cell>
          <cell r="G802">
            <v>0.59</v>
          </cell>
        </row>
        <row r="803">
          <cell r="A803" t="str">
            <v>2,03,06</v>
          </cell>
          <cell r="B803" t="str">
            <v>Unión PVC SAP de 20 mm</v>
          </cell>
          <cell r="C803" t="str">
            <v>und</v>
          </cell>
          <cell r="E803">
            <v>2</v>
          </cell>
          <cell r="F803">
            <v>0.25</v>
          </cell>
          <cell r="G803">
            <v>0.5</v>
          </cell>
        </row>
        <row r="804">
          <cell r="A804" t="str">
            <v>2,03,06</v>
          </cell>
          <cell r="B804" t="str">
            <v>Conexión PVC SAP de 20 mm</v>
          </cell>
          <cell r="C804" t="str">
            <v>und</v>
          </cell>
          <cell r="E804">
            <v>2</v>
          </cell>
          <cell r="F804">
            <v>0.17399999999999999</v>
          </cell>
          <cell r="G804">
            <v>0.35</v>
          </cell>
        </row>
        <row r="805">
          <cell r="A805" t="str">
            <v>2,03,06</v>
          </cell>
          <cell r="B805" t="str">
            <v xml:space="preserve">Caja F°G° 100x100x50mm </v>
          </cell>
          <cell r="C805" t="str">
            <v>und</v>
          </cell>
          <cell r="E805">
            <v>1</v>
          </cell>
          <cell r="F805">
            <v>1.72</v>
          </cell>
          <cell r="G805">
            <v>1.72</v>
          </cell>
        </row>
        <row r="806">
          <cell r="A806" t="str">
            <v>2,03,06</v>
          </cell>
          <cell r="B806" t="str">
            <v>Abrazadera de 20 mm</v>
          </cell>
          <cell r="C806" t="str">
            <v>und</v>
          </cell>
          <cell r="E806">
            <v>2</v>
          </cell>
          <cell r="F806">
            <v>0.14000000000000001</v>
          </cell>
          <cell r="G806">
            <v>0.28000000000000003</v>
          </cell>
        </row>
        <row r="807">
          <cell r="A807" t="str">
            <v>2,03,06</v>
          </cell>
          <cell r="B807" t="str">
            <v>Tarugo plastico verde de 1/4</v>
          </cell>
          <cell r="C807" t="str">
            <v>und</v>
          </cell>
          <cell r="E807">
            <v>2</v>
          </cell>
          <cell r="F807">
            <v>0.115</v>
          </cell>
          <cell r="G807">
            <v>0.23</v>
          </cell>
        </row>
        <row r="808">
          <cell r="A808" t="str">
            <v>2,03,06</v>
          </cell>
          <cell r="B808" t="str">
            <v>Tornillo autoroscante de 8x1"</v>
          </cell>
          <cell r="C808" t="str">
            <v>und</v>
          </cell>
          <cell r="E808">
            <v>2</v>
          </cell>
          <cell r="F808">
            <v>4.2000000000000003E-2</v>
          </cell>
          <cell r="G808">
            <v>0.08</v>
          </cell>
        </row>
        <row r="809">
          <cell r="A809" t="str">
            <v>2,03,06</v>
          </cell>
          <cell r="B809" t="str">
            <v>Tornillo autoroscante de8x1/2"</v>
          </cell>
          <cell r="C809" t="str">
            <v>und</v>
          </cell>
          <cell r="E809">
            <v>2</v>
          </cell>
          <cell r="F809">
            <v>4.2000000000000003E-2</v>
          </cell>
          <cell r="G809">
            <v>0.08</v>
          </cell>
        </row>
        <row r="810">
          <cell r="A810" t="str">
            <v>2,03,06</v>
          </cell>
          <cell r="B810" t="str">
            <v>Pegamento de 1/4 de galón</v>
          </cell>
          <cell r="C810" t="str">
            <v>und</v>
          </cell>
          <cell r="E810">
            <v>0.01</v>
          </cell>
          <cell r="F810">
            <v>6.3959999999999999</v>
          </cell>
          <cell r="G810">
            <v>0.06</v>
          </cell>
        </row>
        <row r="811">
          <cell r="A811" t="str">
            <v>2,03,06</v>
          </cell>
          <cell r="B811" t="str">
            <v>Mano de obra</v>
          </cell>
          <cell r="G811">
            <v>6.88</v>
          </cell>
        </row>
        <row r="812">
          <cell r="A812" t="str">
            <v>2,03,06</v>
          </cell>
          <cell r="B812" t="str">
            <v>Operario</v>
          </cell>
          <cell r="C812" t="str">
            <v>HH</v>
          </cell>
          <cell r="D812">
            <v>1</v>
          </cell>
          <cell r="E812">
            <v>1.3333333333333333</v>
          </cell>
          <cell r="F812">
            <v>2.84</v>
          </cell>
          <cell r="G812">
            <v>3.79</v>
          </cell>
          <cell r="H812">
            <v>6</v>
          </cell>
        </row>
        <row r="813">
          <cell r="A813" t="str">
            <v>2,03,06</v>
          </cell>
          <cell r="B813" t="str">
            <v>Peón</v>
          </cell>
          <cell r="C813" t="str">
            <v>HH</v>
          </cell>
          <cell r="D813">
            <v>1</v>
          </cell>
          <cell r="E813">
            <v>1.3333333333333333</v>
          </cell>
          <cell r="F813">
            <v>2.3199999999999998</v>
          </cell>
          <cell r="G813">
            <v>3.09</v>
          </cell>
          <cell r="H813">
            <v>6</v>
          </cell>
        </row>
        <row r="814">
          <cell r="A814" t="str">
            <v>2,03,06</v>
          </cell>
          <cell r="B814" t="str">
            <v>Equipos</v>
          </cell>
          <cell r="G814">
            <v>1.59</v>
          </cell>
        </row>
        <row r="815">
          <cell r="A815" t="str">
            <v>2,03,06</v>
          </cell>
          <cell r="B815" t="str">
            <v>Escalera</v>
          </cell>
          <cell r="C815" t="str">
            <v>DIA</v>
          </cell>
          <cell r="D815">
            <v>1</v>
          </cell>
          <cell r="E815">
            <v>0.16666666666666666</v>
          </cell>
          <cell r="F815">
            <v>1</v>
          </cell>
          <cell r="G815">
            <v>0.17</v>
          </cell>
        </row>
        <row r="816">
          <cell r="A816" t="str">
            <v>2,03,06</v>
          </cell>
          <cell r="B816" t="str">
            <v>Taladro Hilti</v>
          </cell>
          <cell r="C816" t="str">
            <v>DIA</v>
          </cell>
          <cell r="D816">
            <v>1</v>
          </cell>
          <cell r="E816">
            <v>0.16666666666666666</v>
          </cell>
          <cell r="F816">
            <v>6.5</v>
          </cell>
          <cell r="G816">
            <v>1.08</v>
          </cell>
        </row>
        <row r="817">
          <cell r="A817" t="str">
            <v>2,03,06</v>
          </cell>
          <cell r="B817" t="str">
            <v>Desgaste de herramientas</v>
          </cell>
          <cell r="C817" t="str">
            <v>%MO</v>
          </cell>
          <cell r="E817">
            <v>0.05</v>
          </cell>
          <cell r="F817">
            <v>6.88</v>
          </cell>
          <cell r="G817">
            <v>0.34</v>
          </cell>
        </row>
        <row r="818">
          <cell r="A818" t="str">
            <v>2,03,07</v>
          </cell>
          <cell r="B818" t="str">
            <v>Salida para alarma audiovisual</v>
          </cell>
          <cell r="F818" t="str">
            <v>( pto )</v>
          </cell>
          <cell r="G818">
            <v>11.36</v>
          </cell>
        </row>
        <row r="819">
          <cell r="A819" t="str">
            <v>2,03,07</v>
          </cell>
          <cell r="C819" t="str">
            <v>und.</v>
          </cell>
          <cell r="D819" t="str">
            <v>cuad.</v>
          </cell>
          <cell r="E819" t="str">
            <v>cant.</v>
          </cell>
          <cell r="F819" t="str">
            <v>prec. $</v>
          </cell>
          <cell r="G819" t="str">
            <v>parcial $</v>
          </cell>
        </row>
        <row r="820">
          <cell r="A820" t="str">
            <v>2,03,07</v>
          </cell>
          <cell r="B820" t="str">
            <v>Materiales</v>
          </cell>
          <cell r="G820">
            <v>2.89</v>
          </cell>
        </row>
        <row r="821">
          <cell r="A821" t="str">
            <v>2,03,07</v>
          </cell>
          <cell r="B821" t="str">
            <v>Tubería PVC SAP de 20 mm</v>
          </cell>
          <cell r="C821" t="str">
            <v>ml</v>
          </cell>
          <cell r="E821">
            <v>0.7142857142857143</v>
          </cell>
          <cell r="F821">
            <v>0.41</v>
          </cell>
          <cell r="G821">
            <v>0.28999999999999998</v>
          </cell>
        </row>
        <row r="822">
          <cell r="A822" t="str">
            <v>2,03,07</v>
          </cell>
          <cell r="B822" t="str">
            <v>Curva PVC SAP de 20 mm</v>
          </cell>
          <cell r="C822" t="str">
            <v>und</v>
          </cell>
          <cell r="E822">
            <v>0.35714285714285715</v>
          </cell>
          <cell r="F822">
            <v>0.59</v>
          </cell>
          <cell r="G822">
            <v>0.21</v>
          </cell>
        </row>
        <row r="823">
          <cell r="A823" t="str">
            <v>2,03,07</v>
          </cell>
          <cell r="B823" t="str">
            <v>Unión PVC SAP de 20 mm</v>
          </cell>
          <cell r="C823" t="str">
            <v>und</v>
          </cell>
          <cell r="E823">
            <v>2</v>
          </cell>
          <cell r="F823">
            <v>0.25</v>
          </cell>
          <cell r="G823">
            <v>0.5</v>
          </cell>
        </row>
        <row r="824">
          <cell r="A824" t="str">
            <v>2,03,07</v>
          </cell>
          <cell r="B824" t="str">
            <v>Conexión PVC SAP de 20 mm</v>
          </cell>
          <cell r="C824" t="str">
            <v>und</v>
          </cell>
          <cell r="E824">
            <v>2</v>
          </cell>
          <cell r="F824">
            <v>0.17399999999999999</v>
          </cell>
          <cell r="G824">
            <v>0.35</v>
          </cell>
        </row>
        <row r="825">
          <cell r="A825" t="str">
            <v>2,03,07</v>
          </cell>
          <cell r="B825" t="str">
            <v>Caja octogonal de 100x50 mm</v>
          </cell>
          <cell r="C825" t="str">
            <v>und</v>
          </cell>
          <cell r="E825">
            <v>1</v>
          </cell>
          <cell r="F825">
            <v>0.85</v>
          </cell>
          <cell r="G825">
            <v>0.85</v>
          </cell>
        </row>
        <row r="826">
          <cell r="A826" t="str">
            <v>2,03,07</v>
          </cell>
          <cell r="B826" t="str">
            <v>Abrazadera de 20 mm</v>
          </cell>
          <cell r="C826" t="str">
            <v>und</v>
          </cell>
          <cell r="E826">
            <v>0.7142857142857143</v>
          </cell>
          <cell r="F826">
            <v>0.14000000000000001</v>
          </cell>
          <cell r="G826">
            <v>0.1</v>
          </cell>
        </row>
        <row r="827">
          <cell r="A827" t="str">
            <v>2,03,07</v>
          </cell>
          <cell r="B827" t="str">
            <v>Tarugo plastico verde de 1/4</v>
          </cell>
          <cell r="C827" t="str">
            <v>und</v>
          </cell>
          <cell r="E827">
            <v>2.7142857142857144</v>
          </cell>
          <cell r="F827">
            <v>0.115</v>
          </cell>
          <cell r="G827">
            <v>0.31</v>
          </cell>
        </row>
        <row r="828">
          <cell r="A828" t="str">
            <v>2,03,07</v>
          </cell>
          <cell r="B828" t="str">
            <v>Tornillo autoroscante de 8x1"</v>
          </cell>
          <cell r="C828" t="str">
            <v>und</v>
          </cell>
          <cell r="E828">
            <v>2.7142857142857144</v>
          </cell>
          <cell r="F828">
            <v>4.2000000000000003E-2</v>
          </cell>
          <cell r="G828">
            <v>0.11</v>
          </cell>
        </row>
        <row r="829">
          <cell r="A829" t="str">
            <v>2,03,07</v>
          </cell>
          <cell r="B829" t="str">
            <v>Tornillo autoroscante de8x1/2"</v>
          </cell>
          <cell r="C829" t="str">
            <v>und</v>
          </cell>
          <cell r="E829">
            <v>2.7142857142857144</v>
          </cell>
          <cell r="F829">
            <v>4.2000000000000003E-2</v>
          </cell>
          <cell r="G829">
            <v>0.11</v>
          </cell>
        </row>
        <row r="830">
          <cell r="A830" t="str">
            <v>2,03,07</v>
          </cell>
          <cell r="B830" t="str">
            <v>Pegamento de 1/4 de galón</v>
          </cell>
          <cell r="C830" t="str">
            <v>und</v>
          </cell>
          <cell r="E830">
            <v>0.01</v>
          </cell>
          <cell r="F830">
            <v>6.3959999999999999</v>
          </cell>
          <cell r="G830">
            <v>0.06</v>
          </cell>
        </row>
        <row r="831">
          <cell r="A831" t="str">
            <v>2,03,07</v>
          </cell>
          <cell r="B831" t="str">
            <v>Mano de obra</v>
          </cell>
          <cell r="G831">
            <v>6.88</v>
          </cell>
        </row>
        <row r="832">
          <cell r="A832" t="str">
            <v>2,03,07</v>
          </cell>
          <cell r="B832" t="str">
            <v>Operario</v>
          </cell>
          <cell r="C832" t="str">
            <v>HH</v>
          </cell>
          <cell r="D832">
            <v>1</v>
          </cell>
          <cell r="E832">
            <v>1.3333333333333333</v>
          </cell>
          <cell r="F832">
            <v>2.84</v>
          </cell>
          <cell r="G832">
            <v>3.79</v>
          </cell>
          <cell r="H832">
            <v>6</v>
          </cell>
        </row>
        <row r="833">
          <cell r="A833" t="str">
            <v>2,03,07</v>
          </cell>
          <cell r="B833" t="str">
            <v>Peón</v>
          </cell>
          <cell r="C833" t="str">
            <v>HH</v>
          </cell>
          <cell r="D833">
            <v>1</v>
          </cell>
          <cell r="E833">
            <v>1.3333333333333333</v>
          </cell>
          <cell r="F833">
            <v>2.3199999999999998</v>
          </cell>
          <cell r="G833">
            <v>3.09</v>
          </cell>
          <cell r="H833">
            <v>6</v>
          </cell>
        </row>
        <row r="834">
          <cell r="A834" t="str">
            <v>2,03,07</v>
          </cell>
          <cell r="B834" t="str">
            <v>Equipos</v>
          </cell>
          <cell r="G834">
            <v>1.59</v>
          </cell>
        </row>
        <row r="835">
          <cell r="A835" t="str">
            <v>2,03,07</v>
          </cell>
          <cell r="B835" t="str">
            <v>Escalera</v>
          </cell>
          <cell r="C835" t="str">
            <v>DIA</v>
          </cell>
          <cell r="D835">
            <v>1</v>
          </cell>
          <cell r="E835">
            <v>0.16666666666666666</v>
          </cell>
          <cell r="F835">
            <v>1</v>
          </cell>
          <cell r="G835">
            <v>0.17</v>
          </cell>
        </row>
        <row r="836">
          <cell r="A836" t="str">
            <v>2,03,07</v>
          </cell>
          <cell r="B836" t="str">
            <v>Taladro Hilti</v>
          </cell>
          <cell r="C836" t="str">
            <v>DIA</v>
          </cell>
          <cell r="D836">
            <v>1</v>
          </cell>
          <cell r="E836">
            <v>0.16666666666666666</v>
          </cell>
          <cell r="F836">
            <v>6.5</v>
          </cell>
          <cell r="G836">
            <v>1.08</v>
          </cell>
        </row>
        <row r="837">
          <cell r="A837" t="str">
            <v>2,03,07</v>
          </cell>
          <cell r="B837" t="str">
            <v>Desgaste de herramientas</v>
          </cell>
          <cell r="C837" t="str">
            <v>%MO</v>
          </cell>
          <cell r="E837">
            <v>0.05</v>
          </cell>
          <cell r="F837">
            <v>6.88</v>
          </cell>
          <cell r="G837">
            <v>0.34</v>
          </cell>
        </row>
        <row r="838">
          <cell r="A838" t="str">
            <v>2,03,08</v>
          </cell>
          <cell r="B838" t="str">
            <v>salida para camara TV</v>
          </cell>
          <cell r="F838" t="str">
            <v>( pto )</v>
          </cell>
          <cell r="G838">
            <v>16.7</v>
          </cell>
        </row>
        <row r="839">
          <cell r="A839" t="str">
            <v>2,03,08</v>
          </cell>
          <cell r="C839" t="str">
            <v>und.</v>
          </cell>
          <cell r="D839" t="str">
            <v>cuad.</v>
          </cell>
          <cell r="E839" t="str">
            <v>cant.</v>
          </cell>
          <cell r="F839" t="str">
            <v>prec. $</v>
          </cell>
          <cell r="G839" t="str">
            <v>parcial $</v>
          </cell>
        </row>
        <row r="840">
          <cell r="A840" t="str">
            <v>2,03,08</v>
          </cell>
          <cell r="B840" t="str">
            <v>Materiales</v>
          </cell>
          <cell r="D840" t="str">
            <v xml:space="preserve"> </v>
          </cell>
          <cell r="G840">
            <v>8.23</v>
          </cell>
        </row>
        <row r="841">
          <cell r="A841" t="str">
            <v>2,03,08</v>
          </cell>
          <cell r="B841" t="str">
            <v>Tubería PVC SAP de 25 mm</v>
          </cell>
          <cell r="C841" t="str">
            <v>ml</v>
          </cell>
          <cell r="E841">
            <v>4</v>
          </cell>
          <cell r="F841">
            <v>0.52</v>
          </cell>
          <cell r="G841">
            <v>2.08</v>
          </cell>
        </row>
        <row r="842">
          <cell r="A842" t="str">
            <v>2,03,08</v>
          </cell>
          <cell r="B842" t="str">
            <v>Curva PVC SAP de 25 mm</v>
          </cell>
          <cell r="C842" t="str">
            <v>und</v>
          </cell>
          <cell r="E842">
            <v>2</v>
          </cell>
          <cell r="F842">
            <v>0.89</v>
          </cell>
          <cell r="G842">
            <v>1.78</v>
          </cell>
        </row>
        <row r="843">
          <cell r="A843" t="str">
            <v>2,03,08</v>
          </cell>
          <cell r="B843" t="str">
            <v>Unión PVC SAP de 25 mm</v>
          </cell>
          <cell r="C843" t="str">
            <v>und</v>
          </cell>
          <cell r="E843">
            <v>2</v>
          </cell>
          <cell r="F843">
            <v>0.34</v>
          </cell>
          <cell r="G843">
            <v>0.68</v>
          </cell>
        </row>
        <row r="844">
          <cell r="A844" t="str">
            <v>2,03,08</v>
          </cell>
          <cell r="B844" t="str">
            <v>Conexión PVC SAP de 25 mm</v>
          </cell>
          <cell r="C844" t="str">
            <v>und</v>
          </cell>
          <cell r="E844">
            <v>2</v>
          </cell>
          <cell r="F844">
            <v>0.2</v>
          </cell>
          <cell r="G844">
            <v>0.4</v>
          </cell>
        </row>
        <row r="845">
          <cell r="A845" t="str">
            <v>2,03,08</v>
          </cell>
          <cell r="B845" t="str">
            <v xml:space="preserve">Caja F°G° 100x100x50mm </v>
          </cell>
          <cell r="C845" t="str">
            <v>und</v>
          </cell>
          <cell r="E845">
            <v>1</v>
          </cell>
          <cell r="F845">
            <v>1.72</v>
          </cell>
          <cell r="G845">
            <v>1.72</v>
          </cell>
        </row>
        <row r="846">
          <cell r="A846" t="str">
            <v>2,03,08</v>
          </cell>
          <cell r="B846" t="str">
            <v>Abrazadera de 25 mm</v>
          </cell>
          <cell r="C846" t="str">
            <v>und</v>
          </cell>
          <cell r="E846">
            <v>4</v>
          </cell>
          <cell r="F846">
            <v>0.2</v>
          </cell>
          <cell r="G846">
            <v>0.8</v>
          </cell>
        </row>
        <row r="847">
          <cell r="A847" t="str">
            <v>2,03,08</v>
          </cell>
          <cell r="B847" t="str">
            <v>Tarugo plastico verde de 1/4</v>
          </cell>
          <cell r="C847" t="str">
            <v>und</v>
          </cell>
          <cell r="E847">
            <v>4</v>
          </cell>
          <cell r="F847">
            <v>0.115</v>
          </cell>
          <cell r="G847">
            <v>0.46</v>
          </cell>
        </row>
        <row r="848">
          <cell r="A848" t="str">
            <v>2,03,08</v>
          </cell>
          <cell r="B848" t="str">
            <v>Tornillo autoroscante de 8x1"</v>
          </cell>
          <cell r="C848" t="str">
            <v>und</v>
          </cell>
          <cell r="E848">
            <v>4</v>
          </cell>
          <cell r="F848">
            <v>4.2000000000000003E-2</v>
          </cell>
          <cell r="G848">
            <v>0.17</v>
          </cell>
        </row>
        <row r="849">
          <cell r="A849" t="str">
            <v>2,03,08</v>
          </cell>
          <cell r="B849" t="str">
            <v>Tornillo autoroscante de 8x1/2 "</v>
          </cell>
          <cell r="C849" t="str">
            <v>und</v>
          </cell>
          <cell r="E849">
            <v>2</v>
          </cell>
          <cell r="F849">
            <v>4.2000000000000003E-2</v>
          </cell>
          <cell r="G849">
            <v>0.08</v>
          </cell>
        </row>
        <row r="850">
          <cell r="A850" t="str">
            <v>2,03,08</v>
          </cell>
          <cell r="B850" t="str">
            <v>Pegamento de 1/4 de galón</v>
          </cell>
          <cell r="C850" t="str">
            <v>und</v>
          </cell>
          <cell r="E850">
            <v>0.01</v>
          </cell>
          <cell r="F850">
            <v>6.3959999999999999</v>
          </cell>
          <cell r="G850">
            <v>0.06</v>
          </cell>
        </row>
        <row r="851">
          <cell r="A851" t="str">
            <v>2,03,08</v>
          </cell>
          <cell r="B851" t="str">
            <v>Mano de obra</v>
          </cell>
          <cell r="G851">
            <v>6.88</v>
          </cell>
        </row>
        <row r="852">
          <cell r="A852" t="str">
            <v>2,03,08</v>
          </cell>
          <cell r="B852" t="str">
            <v>Operario</v>
          </cell>
          <cell r="C852" t="str">
            <v>HH</v>
          </cell>
          <cell r="D852">
            <v>1</v>
          </cell>
          <cell r="E852">
            <v>1.3333333333333333</v>
          </cell>
          <cell r="F852">
            <v>2.84</v>
          </cell>
          <cell r="G852">
            <v>3.79</v>
          </cell>
          <cell r="H852">
            <v>6</v>
          </cell>
        </row>
        <row r="853">
          <cell r="A853" t="str">
            <v>2,03,08</v>
          </cell>
          <cell r="B853" t="str">
            <v>Peón</v>
          </cell>
          <cell r="C853" t="str">
            <v>HH</v>
          </cell>
          <cell r="D853">
            <v>1</v>
          </cell>
          <cell r="E853">
            <v>1.3333333333333333</v>
          </cell>
          <cell r="F853">
            <v>2.3199999999999998</v>
          </cell>
          <cell r="G853">
            <v>3.09</v>
          </cell>
          <cell r="H853">
            <v>6</v>
          </cell>
        </row>
        <row r="854">
          <cell r="A854" t="str">
            <v>2,03,08</v>
          </cell>
          <cell r="B854" t="str">
            <v>Equipos</v>
          </cell>
          <cell r="G854">
            <v>1.59</v>
          </cell>
        </row>
        <row r="855">
          <cell r="A855" t="str">
            <v>2,03,08</v>
          </cell>
          <cell r="B855" t="str">
            <v>Escalera</v>
          </cell>
          <cell r="C855" t="str">
            <v>DIA</v>
          </cell>
          <cell r="D855">
            <v>1</v>
          </cell>
          <cell r="E855">
            <v>0.16666666666666666</v>
          </cell>
          <cell r="F855">
            <v>1</v>
          </cell>
          <cell r="G855">
            <v>0.17</v>
          </cell>
        </row>
        <row r="856">
          <cell r="A856" t="str">
            <v>2,03,08</v>
          </cell>
          <cell r="B856" t="str">
            <v>Taladro Hilti</v>
          </cell>
          <cell r="C856" t="str">
            <v>DIA</v>
          </cell>
          <cell r="D856">
            <v>1</v>
          </cell>
          <cell r="E856">
            <v>0.16666666666666666</v>
          </cell>
          <cell r="F856">
            <v>6.5</v>
          </cell>
          <cell r="G856">
            <v>1.08</v>
          </cell>
        </row>
        <row r="857">
          <cell r="A857" t="str">
            <v>2,03,08</v>
          </cell>
          <cell r="B857" t="str">
            <v>Desgaste de herramientas</v>
          </cell>
          <cell r="C857" t="str">
            <v>%MO</v>
          </cell>
          <cell r="E857">
            <v>0.05</v>
          </cell>
          <cell r="F857">
            <v>6.88</v>
          </cell>
          <cell r="G857">
            <v>0.34</v>
          </cell>
        </row>
        <row r="858">
          <cell r="A858" t="str">
            <v>2,03,09</v>
          </cell>
          <cell r="B858" t="str">
            <v>Salida para sensor de movimiento</v>
          </cell>
          <cell r="F858" t="str">
            <v>( pto )</v>
          </cell>
          <cell r="G858">
            <v>9.4600000000000009</v>
          </cell>
        </row>
        <row r="859">
          <cell r="A859" t="str">
            <v>2,03,09</v>
          </cell>
          <cell r="C859" t="str">
            <v>und.</v>
          </cell>
          <cell r="D859" t="str">
            <v>cuad.</v>
          </cell>
          <cell r="E859" t="str">
            <v>cant.</v>
          </cell>
          <cell r="F859" t="str">
            <v>prec. $</v>
          </cell>
          <cell r="G859" t="str">
            <v>parcial $</v>
          </cell>
        </row>
        <row r="860">
          <cell r="A860" t="str">
            <v>2,03,09</v>
          </cell>
          <cell r="B860" t="str">
            <v>Materiales</v>
          </cell>
          <cell r="G860">
            <v>3.1000000000000005</v>
          </cell>
        </row>
        <row r="861">
          <cell r="A861" t="str">
            <v>2,03,09</v>
          </cell>
          <cell r="B861" t="str">
            <v>Tubería PVC SAP de 20 mm</v>
          </cell>
          <cell r="C861" t="str">
            <v>ml</v>
          </cell>
          <cell r="E861">
            <v>1</v>
          </cell>
          <cell r="F861">
            <v>0.41</v>
          </cell>
          <cell r="G861">
            <v>0.41</v>
          </cell>
        </row>
        <row r="862">
          <cell r="A862" t="str">
            <v>2,03,09</v>
          </cell>
          <cell r="B862" t="str">
            <v>Curva PVC SAP de 20 mm</v>
          </cell>
          <cell r="C862" t="str">
            <v>und</v>
          </cell>
          <cell r="E862">
            <v>1</v>
          </cell>
          <cell r="F862">
            <v>0.59</v>
          </cell>
          <cell r="G862">
            <v>0.59</v>
          </cell>
        </row>
        <row r="863">
          <cell r="A863" t="str">
            <v>2,03,09</v>
          </cell>
          <cell r="B863" t="str">
            <v>Unión PVC SAP de 20 mm</v>
          </cell>
          <cell r="C863" t="str">
            <v>und</v>
          </cell>
          <cell r="E863">
            <v>2</v>
          </cell>
          <cell r="F863">
            <v>0.25</v>
          </cell>
          <cell r="G863">
            <v>0.5</v>
          </cell>
        </row>
        <row r="864">
          <cell r="A864" t="str">
            <v>2,03,09</v>
          </cell>
          <cell r="B864" t="str">
            <v>Conexión PVC SAP de 20 mm</v>
          </cell>
          <cell r="C864" t="str">
            <v>und</v>
          </cell>
          <cell r="E864">
            <v>2</v>
          </cell>
          <cell r="F864">
            <v>0.17399999999999999</v>
          </cell>
          <cell r="G864">
            <v>0.35</v>
          </cell>
        </row>
        <row r="865">
          <cell r="A865" t="str">
            <v>2,03,09</v>
          </cell>
          <cell r="B865" t="str">
            <v>Caja octogonal de 100x50 mm</v>
          </cell>
          <cell r="C865" t="str">
            <v>und</v>
          </cell>
          <cell r="E865">
            <v>1</v>
          </cell>
          <cell r="F865">
            <v>0.85</v>
          </cell>
          <cell r="G865">
            <v>0.85</v>
          </cell>
        </row>
        <row r="866">
          <cell r="A866" t="str">
            <v>2,03,09</v>
          </cell>
          <cell r="B866" t="str">
            <v>Abrazadera de 20 mm</v>
          </cell>
          <cell r="C866" t="str">
            <v>und</v>
          </cell>
          <cell r="E866">
            <v>0.88888888888888884</v>
          </cell>
          <cell r="F866">
            <v>0.14000000000000001</v>
          </cell>
          <cell r="G866">
            <v>0.12</v>
          </cell>
        </row>
        <row r="867">
          <cell r="A867" t="str">
            <v>2,03,09</v>
          </cell>
          <cell r="B867" t="str">
            <v>Tarugo plastico verde de 1/4</v>
          </cell>
          <cell r="C867" t="str">
            <v>und</v>
          </cell>
          <cell r="E867">
            <v>0.88888888888888884</v>
          </cell>
          <cell r="F867">
            <v>0.115</v>
          </cell>
          <cell r="G867">
            <v>0.1</v>
          </cell>
        </row>
        <row r="868">
          <cell r="A868" t="str">
            <v>2,03,09</v>
          </cell>
          <cell r="B868" t="str">
            <v>Tornillo autoroscante de 8x1"</v>
          </cell>
          <cell r="C868" t="str">
            <v>und</v>
          </cell>
          <cell r="E868">
            <v>0.88888888888888884</v>
          </cell>
          <cell r="F868">
            <v>4.2000000000000003E-2</v>
          </cell>
          <cell r="G868">
            <v>0.04</v>
          </cell>
        </row>
        <row r="869">
          <cell r="A869" t="str">
            <v>2,03,09</v>
          </cell>
          <cell r="B869" t="str">
            <v>Tornillo autoroscante de8x1/2"</v>
          </cell>
          <cell r="C869" t="str">
            <v>und</v>
          </cell>
          <cell r="E869">
            <v>2</v>
          </cell>
          <cell r="F869">
            <v>4.2000000000000003E-2</v>
          </cell>
          <cell r="G869">
            <v>0.08</v>
          </cell>
        </row>
        <row r="870">
          <cell r="A870" t="str">
            <v>2,03,09</v>
          </cell>
          <cell r="B870" t="str">
            <v>Pegamento de 1/4 de galón</v>
          </cell>
          <cell r="C870" t="str">
            <v>und</v>
          </cell>
          <cell r="E870">
            <v>0.01</v>
          </cell>
          <cell r="F870">
            <v>6.3959999999999999</v>
          </cell>
          <cell r="G870">
            <v>0.06</v>
          </cell>
        </row>
        <row r="871">
          <cell r="A871" t="str">
            <v>2,03,09</v>
          </cell>
          <cell r="B871" t="str">
            <v>Mano de obra</v>
          </cell>
          <cell r="G871">
            <v>5.16</v>
          </cell>
        </row>
        <row r="872">
          <cell r="A872" t="str">
            <v>2,03,09</v>
          </cell>
          <cell r="B872" t="str">
            <v>Operario</v>
          </cell>
          <cell r="C872" t="str">
            <v>HH</v>
          </cell>
          <cell r="D872">
            <v>1</v>
          </cell>
          <cell r="E872">
            <v>1</v>
          </cell>
          <cell r="F872">
            <v>2.84</v>
          </cell>
          <cell r="G872">
            <v>2.84</v>
          </cell>
          <cell r="H872">
            <v>8</v>
          </cell>
        </row>
        <row r="873">
          <cell r="A873" t="str">
            <v>2,03,09</v>
          </cell>
          <cell r="B873" t="str">
            <v>Peón</v>
          </cell>
          <cell r="C873" t="str">
            <v>HH</v>
          </cell>
          <cell r="D873">
            <v>1</v>
          </cell>
          <cell r="E873">
            <v>1</v>
          </cell>
          <cell r="F873">
            <v>2.3199999999999998</v>
          </cell>
          <cell r="G873">
            <v>2.3199999999999998</v>
          </cell>
          <cell r="H873">
            <v>8</v>
          </cell>
        </row>
        <row r="874">
          <cell r="A874" t="str">
            <v>2,03,09</v>
          </cell>
          <cell r="B874" t="str">
            <v>Equipos</v>
          </cell>
          <cell r="G874">
            <v>1.2000000000000002</v>
          </cell>
        </row>
        <row r="875">
          <cell r="A875" t="str">
            <v>2,03,09</v>
          </cell>
          <cell r="B875" t="str">
            <v>Escalera</v>
          </cell>
          <cell r="C875" t="str">
            <v>DIA</v>
          </cell>
          <cell r="D875">
            <v>1</v>
          </cell>
          <cell r="E875">
            <v>0.125</v>
          </cell>
          <cell r="F875">
            <v>1</v>
          </cell>
          <cell r="G875">
            <v>0.13</v>
          </cell>
        </row>
        <row r="876">
          <cell r="A876" t="str">
            <v>2,03,09</v>
          </cell>
          <cell r="B876" t="str">
            <v>Taladro Hilti</v>
          </cell>
          <cell r="C876" t="str">
            <v>DIA</v>
          </cell>
          <cell r="D876">
            <v>1</v>
          </cell>
          <cell r="E876">
            <v>0.125</v>
          </cell>
          <cell r="F876">
            <v>6.5</v>
          </cell>
          <cell r="G876">
            <v>0.81</v>
          </cell>
        </row>
        <row r="877">
          <cell r="A877" t="str">
            <v>2,03,09</v>
          </cell>
          <cell r="B877" t="str">
            <v>Desgaste de herramientas</v>
          </cell>
          <cell r="C877" t="str">
            <v>%MO</v>
          </cell>
          <cell r="E877">
            <v>0.05</v>
          </cell>
          <cell r="F877">
            <v>5.16</v>
          </cell>
          <cell r="G877">
            <v>0.26</v>
          </cell>
        </row>
        <row r="878">
          <cell r="A878" t="str">
            <v>2,03,10</v>
          </cell>
          <cell r="B878" t="str">
            <v>Salida para lectrora de aproximidad</v>
          </cell>
          <cell r="F878" t="str">
            <v>( pto )</v>
          </cell>
          <cell r="G878">
            <v>9.9400000000000013</v>
          </cell>
        </row>
        <row r="879">
          <cell r="A879" t="str">
            <v>2,03,10</v>
          </cell>
          <cell r="C879" t="str">
            <v>und.</v>
          </cell>
          <cell r="D879" t="str">
            <v>cuad.</v>
          </cell>
          <cell r="E879" t="str">
            <v>cant.</v>
          </cell>
          <cell r="F879" t="str">
            <v>prec. $</v>
          </cell>
          <cell r="G879" t="str">
            <v>parcial $</v>
          </cell>
        </row>
        <row r="880">
          <cell r="A880" t="str">
            <v>2,03,10</v>
          </cell>
          <cell r="B880" t="str">
            <v>Materiales</v>
          </cell>
          <cell r="G880">
            <v>3.58</v>
          </cell>
        </row>
        <row r="881">
          <cell r="A881" t="str">
            <v>2,03,10</v>
          </cell>
          <cell r="B881" t="str">
            <v>Tubería PVC SAP de 20 mm</v>
          </cell>
          <cell r="C881" t="str">
            <v>ml</v>
          </cell>
          <cell r="E881">
            <v>2</v>
          </cell>
          <cell r="F881">
            <v>0.41</v>
          </cell>
          <cell r="G881">
            <v>0.82</v>
          </cell>
        </row>
        <row r="882">
          <cell r="A882" t="str">
            <v>2,03,10</v>
          </cell>
          <cell r="B882" t="str">
            <v>Curva PVC SAP de 20 mm</v>
          </cell>
          <cell r="C882" t="str">
            <v>und</v>
          </cell>
          <cell r="E882">
            <v>1</v>
          </cell>
          <cell r="F882">
            <v>0.59</v>
          </cell>
          <cell r="G882">
            <v>0.59</v>
          </cell>
        </row>
        <row r="883">
          <cell r="A883" t="str">
            <v>2,03,10</v>
          </cell>
          <cell r="B883" t="str">
            <v>Unión PVC SAP de 20 mm</v>
          </cell>
          <cell r="C883" t="str">
            <v>und</v>
          </cell>
          <cell r="E883">
            <v>2</v>
          </cell>
          <cell r="F883">
            <v>0.25</v>
          </cell>
          <cell r="G883">
            <v>0.5</v>
          </cell>
        </row>
        <row r="884">
          <cell r="A884" t="str">
            <v>2,03,10</v>
          </cell>
          <cell r="B884" t="str">
            <v>Conexión PVC SAP de 20 mm</v>
          </cell>
          <cell r="C884" t="str">
            <v>und</v>
          </cell>
          <cell r="E884">
            <v>2</v>
          </cell>
          <cell r="F884">
            <v>0.17399999999999999</v>
          </cell>
          <cell r="G884">
            <v>0.35</v>
          </cell>
        </row>
        <row r="885">
          <cell r="A885" t="str">
            <v>2,03,10</v>
          </cell>
          <cell r="B885" t="str">
            <v>Caja rectangular de 100x50 mm</v>
          </cell>
          <cell r="C885" t="str">
            <v>und</v>
          </cell>
          <cell r="E885">
            <v>1</v>
          </cell>
          <cell r="F885">
            <v>0.78</v>
          </cell>
          <cell r="G885">
            <v>0.78</v>
          </cell>
        </row>
        <row r="886">
          <cell r="A886" t="str">
            <v>2,03,10</v>
          </cell>
          <cell r="B886" t="str">
            <v>Abrazadera de 20 mm</v>
          </cell>
          <cell r="C886" t="str">
            <v>und</v>
          </cell>
          <cell r="E886">
            <v>1.3333333333333333</v>
          </cell>
          <cell r="F886">
            <v>0.14000000000000001</v>
          </cell>
          <cell r="G886">
            <v>0.19</v>
          </cell>
        </row>
        <row r="887">
          <cell r="A887" t="str">
            <v>2,03,10</v>
          </cell>
          <cell r="B887" t="str">
            <v>Tarugo plastico verde de 1/4</v>
          </cell>
          <cell r="C887" t="str">
            <v>und</v>
          </cell>
          <cell r="E887">
            <v>1.3333333333333333</v>
          </cell>
          <cell r="F887">
            <v>0.115</v>
          </cell>
          <cell r="G887">
            <v>0.15</v>
          </cell>
        </row>
        <row r="888">
          <cell r="A888" t="str">
            <v>2,03,10</v>
          </cell>
          <cell r="B888" t="str">
            <v>Tornillo autoroscante de 8x1"</v>
          </cell>
          <cell r="C888" t="str">
            <v>und</v>
          </cell>
          <cell r="E888">
            <v>1.3333333333333333</v>
          </cell>
          <cell r="F888">
            <v>4.2000000000000003E-2</v>
          </cell>
          <cell r="G888">
            <v>0.06</v>
          </cell>
        </row>
        <row r="889">
          <cell r="A889" t="str">
            <v>2,03,10</v>
          </cell>
          <cell r="B889" t="str">
            <v>Tornillo autoroscante de8x1/2"</v>
          </cell>
          <cell r="C889" t="str">
            <v>und</v>
          </cell>
          <cell r="E889">
            <v>2</v>
          </cell>
          <cell r="F889">
            <v>4.2000000000000003E-2</v>
          </cell>
          <cell r="G889">
            <v>0.08</v>
          </cell>
        </row>
        <row r="890">
          <cell r="A890" t="str">
            <v>2,03,10</v>
          </cell>
          <cell r="B890" t="str">
            <v>Pegamento de 1/4 de galón</v>
          </cell>
          <cell r="C890" t="str">
            <v>und</v>
          </cell>
          <cell r="E890">
            <v>0.01</v>
          </cell>
          <cell r="F890">
            <v>6.3959999999999999</v>
          </cell>
          <cell r="G890">
            <v>0.06</v>
          </cell>
        </row>
        <row r="891">
          <cell r="A891" t="str">
            <v>2,03,10</v>
          </cell>
          <cell r="B891" t="str">
            <v>Mano de obra</v>
          </cell>
          <cell r="G891">
            <v>5.16</v>
          </cell>
        </row>
        <row r="892">
          <cell r="A892" t="str">
            <v>2,03,10</v>
          </cell>
          <cell r="B892" t="str">
            <v>Operario</v>
          </cell>
          <cell r="C892" t="str">
            <v>HH</v>
          </cell>
          <cell r="D892">
            <v>1</v>
          </cell>
          <cell r="E892">
            <v>1</v>
          </cell>
          <cell r="F892">
            <v>2.84</v>
          </cell>
          <cell r="G892">
            <v>2.84</v>
          </cell>
          <cell r="H892">
            <v>8</v>
          </cell>
        </row>
        <row r="893">
          <cell r="A893" t="str">
            <v>2,03,10</v>
          </cell>
          <cell r="B893" t="str">
            <v>Peón</v>
          </cell>
          <cell r="C893" t="str">
            <v>HH</v>
          </cell>
          <cell r="D893">
            <v>1</v>
          </cell>
          <cell r="E893">
            <v>1</v>
          </cell>
          <cell r="F893">
            <v>2.3199999999999998</v>
          </cell>
          <cell r="G893">
            <v>2.3199999999999998</v>
          </cell>
          <cell r="H893">
            <v>8</v>
          </cell>
        </row>
        <row r="894">
          <cell r="A894" t="str">
            <v>2,03,10</v>
          </cell>
          <cell r="B894" t="str">
            <v>Equipos</v>
          </cell>
          <cell r="G894">
            <v>1.2000000000000002</v>
          </cell>
        </row>
        <row r="895">
          <cell r="A895" t="str">
            <v>2,03,10</v>
          </cell>
          <cell r="B895" t="str">
            <v>Escalera</v>
          </cell>
          <cell r="C895" t="str">
            <v>DIA</v>
          </cell>
          <cell r="D895">
            <v>1</v>
          </cell>
          <cell r="E895">
            <v>0.125</v>
          </cell>
          <cell r="F895">
            <v>1</v>
          </cell>
          <cell r="G895">
            <v>0.13</v>
          </cell>
        </row>
        <row r="896">
          <cell r="A896" t="str">
            <v>2,03,10</v>
          </cell>
          <cell r="B896" t="str">
            <v>Taladro Hilti</v>
          </cell>
          <cell r="C896" t="str">
            <v>DIA</v>
          </cell>
          <cell r="D896">
            <v>1</v>
          </cell>
          <cell r="E896">
            <v>0.125</v>
          </cell>
          <cell r="F896">
            <v>6.5</v>
          </cell>
          <cell r="G896">
            <v>0.81</v>
          </cell>
        </row>
        <row r="897">
          <cell r="A897" t="str">
            <v>2,03,10</v>
          </cell>
          <cell r="B897" t="str">
            <v>Desgaste de herramientas</v>
          </cell>
          <cell r="C897" t="str">
            <v>%MO</v>
          </cell>
          <cell r="E897">
            <v>0.05</v>
          </cell>
          <cell r="F897">
            <v>5.16</v>
          </cell>
          <cell r="G897">
            <v>0.26</v>
          </cell>
        </row>
        <row r="898">
          <cell r="A898" t="str">
            <v>2,03,11</v>
          </cell>
          <cell r="B898" t="str">
            <v>Salida para controlador de asistencia</v>
          </cell>
          <cell r="F898" t="str">
            <v>( pto )</v>
          </cell>
          <cell r="G898">
            <v>8.75</v>
          </cell>
        </row>
        <row r="899">
          <cell r="A899" t="str">
            <v>2,03,11</v>
          </cell>
          <cell r="C899" t="str">
            <v>und.</v>
          </cell>
          <cell r="D899" t="str">
            <v>cuad.</v>
          </cell>
          <cell r="E899" t="str">
            <v>cant.</v>
          </cell>
          <cell r="F899" t="str">
            <v>prec. $</v>
          </cell>
          <cell r="G899" t="str">
            <v>parcial $</v>
          </cell>
        </row>
        <row r="900">
          <cell r="A900" t="str">
            <v>2,03,11</v>
          </cell>
          <cell r="B900" t="str">
            <v>Materiales</v>
          </cell>
          <cell r="G900">
            <v>3.66</v>
          </cell>
        </row>
        <row r="901">
          <cell r="A901" t="str">
            <v>2,03,11</v>
          </cell>
          <cell r="B901" t="str">
            <v>Tubería PVC SAP de 20 mm</v>
          </cell>
          <cell r="C901" t="str">
            <v>ml</v>
          </cell>
          <cell r="E901">
            <v>1</v>
          </cell>
          <cell r="F901">
            <v>0.41</v>
          </cell>
          <cell r="G901">
            <v>0.41</v>
          </cell>
        </row>
        <row r="902">
          <cell r="A902" t="str">
            <v>2,03,11</v>
          </cell>
          <cell r="B902" t="str">
            <v>Curva PVC SAP de 20 mm</v>
          </cell>
          <cell r="C902" t="str">
            <v>und</v>
          </cell>
          <cell r="E902">
            <v>2</v>
          </cell>
          <cell r="F902">
            <v>0.59</v>
          </cell>
          <cell r="G902">
            <v>1.18</v>
          </cell>
        </row>
        <row r="903">
          <cell r="A903" t="str">
            <v>2,03,11</v>
          </cell>
          <cell r="B903" t="str">
            <v>Unión PVC SAP de 20 mm</v>
          </cell>
          <cell r="C903" t="str">
            <v>und</v>
          </cell>
          <cell r="E903">
            <v>2</v>
          </cell>
          <cell r="F903">
            <v>0.25</v>
          </cell>
          <cell r="G903">
            <v>0.5</v>
          </cell>
        </row>
        <row r="904">
          <cell r="A904" t="str">
            <v>2,03,11</v>
          </cell>
          <cell r="B904" t="str">
            <v>Conexión PVC SAP de 20 mm</v>
          </cell>
          <cell r="C904" t="str">
            <v>und</v>
          </cell>
          <cell r="E904">
            <v>2</v>
          </cell>
          <cell r="F904">
            <v>0.17399999999999999</v>
          </cell>
          <cell r="G904">
            <v>0.35</v>
          </cell>
        </row>
        <row r="905">
          <cell r="A905" t="str">
            <v>2,03,11</v>
          </cell>
          <cell r="B905" t="str">
            <v>Caja rectangular de 100x50 mm</v>
          </cell>
          <cell r="C905" t="str">
            <v>und</v>
          </cell>
          <cell r="E905">
            <v>1</v>
          </cell>
          <cell r="F905">
            <v>0.78</v>
          </cell>
          <cell r="G905">
            <v>0.78</v>
          </cell>
        </row>
        <row r="906">
          <cell r="A906" t="str">
            <v>2,03,11</v>
          </cell>
          <cell r="B906" t="str">
            <v>Abrazadera de 20 mm</v>
          </cell>
          <cell r="C906" t="str">
            <v>und</v>
          </cell>
          <cell r="E906">
            <v>1</v>
          </cell>
          <cell r="F906">
            <v>0.14000000000000001</v>
          </cell>
          <cell r="G906">
            <v>0.14000000000000001</v>
          </cell>
        </row>
        <row r="907">
          <cell r="A907" t="str">
            <v>2,03,11</v>
          </cell>
          <cell r="B907" t="str">
            <v>Tarugo plastico verde de 1/4</v>
          </cell>
          <cell r="C907" t="str">
            <v>und</v>
          </cell>
          <cell r="E907">
            <v>1</v>
          </cell>
          <cell r="F907">
            <v>0.115</v>
          </cell>
          <cell r="G907">
            <v>0.12</v>
          </cell>
        </row>
        <row r="908">
          <cell r="A908" t="str">
            <v>2,03,11</v>
          </cell>
          <cell r="B908" t="str">
            <v>Tornillo autoroscante de 8x1"</v>
          </cell>
          <cell r="C908" t="str">
            <v>und</v>
          </cell>
          <cell r="E908">
            <v>1</v>
          </cell>
          <cell r="F908">
            <v>4.2000000000000003E-2</v>
          </cell>
          <cell r="G908">
            <v>0.04</v>
          </cell>
        </row>
        <row r="909">
          <cell r="A909" t="str">
            <v>2,03,11</v>
          </cell>
          <cell r="B909" t="str">
            <v>Tornillo autoroscante de8x1/2"</v>
          </cell>
          <cell r="C909" t="str">
            <v>und</v>
          </cell>
          <cell r="E909">
            <v>2</v>
          </cell>
          <cell r="F909">
            <v>4.2000000000000003E-2</v>
          </cell>
          <cell r="G909">
            <v>0.08</v>
          </cell>
        </row>
        <row r="910">
          <cell r="A910" t="str">
            <v>2,03,11</v>
          </cell>
          <cell r="B910" t="str">
            <v>Pegamento de 1/4 de galón</v>
          </cell>
          <cell r="C910" t="str">
            <v>und</v>
          </cell>
          <cell r="E910">
            <v>0.01</v>
          </cell>
          <cell r="F910">
            <v>6.3959999999999999</v>
          </cell>
          <cell r="G910">
            <v>0.06</v>
          </cell>
        </row>
        <row r="911">
          <cell r="A911" t="str">
            <v>2,03,11</v>
          </cell>
          <cell r="B911" t="str">
            <v>Mano de obra</v>
          </cell>
          <cell r="G911">
            <v>4.13</v>
          </cell>
        </row>
        <row r="912">
          <cell r="A912" t="str">
            <v>2,03,11</v>
          </cell>
          <cell r="B912" t="str">
            <v>Operario</v>
          </cell>
          <cell r="C912" t="str">
            <v>HH</v>
          </cell>
          <cell r="D912">
            <v>1</v>
          </cell>
          <cell r="E912">
            <v>0.8</v>
          </cell>
          <cell r="F912">
            <v>2.84</v>
          </cell>
          <cell r="G912">
            <v>2.27</v>
          </cell>
          <cell r="H912">
            <v>10</v>
          </cell>
        </row>
        <row r="913">
          <cell r="A913" t="str">
            <v>2,03,11</v>
          </cell>
          <cell r="B913" t="str">
            <v>Peón</v>
          </cell>
          <cell r="C913" t="str">
            <v>HH</v>
          </cell>
          <cell r="D913">
            <v>1</v>
          </cell>
          <cell r="E913">
            <v>0.8</v>
          </cell>
          <cell r="F913">
            <v>2.3199999999999998</v>
          </cell>
          <cell r="G913">
            <v>1.86</v>
          </cell>
          <cell r="H913">
            <v>10</v>
          </cell>
        </row>
        <row r="914">
          <cell r="A914" t="str">
            <v>2,03,11</v>
          </cell>
          <cell r="B914" t="str">
            <v>Equipos</v>
          </cell>
          <cell r="G914">
            <v>0.96</v>
          </cell>
        </row>
        <row r="915">
          <cell r="A915" t="str">
            <v>2,03,11</v>
          </cell>
          <cell r="B915" t="str">
            <v>Escalera</v>
          </cell>
          <cell r="C915" t="str">
            <v>DIA</v>
          </cell>
          <cell r="D915">
            <v>1</v>
          </cell>
          <cell r="E915">
            <v>0.1</v>
          </cell>
          <cell r="F915">
            <v>1</v>
          </cell>
          <cell r="G915">
            <v>0.1</v>
          </cell>
        </row>
        <row r="916">
          <cell r="A916" t="str">
            <v>2,03,11</v>
          </cell>
          <cell r="B916" t="str">
            <v>Taladro Hilti</v>
          </cell>
          <cell r="C916" t="str">
            <v>DIA</v>
          </cell>
          <cell r="D916">
            <v>1</v>
          </cell>
          <cell r="E916">
            <v>0.1</v>
          </cell>
          <cell r="F916">
            <v>6.5</v>
          </cell>
          <cell r="G916">
            <v>0.65</v>
          </cell>
        </row>
        <row r="917">
          <cell r="A917" t="str">
            <v>2,03,11</v>
          </cell>
          <cell r="B917" t="str">
            <v>Desgaste de herramientas</v>
          </cell>
          <cell r="C917" t="str">
            <v>%MO</v>
          </cell>
          <cell r="E917">
            <v>0.05</v>
          </cell>
          <cell r="F917">
            <v>4.13</v>
          </cell>
          <cell r="G917">
            <v>0.21</v>
          </cell>
        </row>
        <row r="918">
          <cell r="A918" t="str">
            <v>2,03,12</v>
          </cell>
          <cell r="B918" t="str">
            <v>Salida para pulsador de emergencia</v>
          </cell>
          <cell r="F918" t="str">
            <v>( pto )</v>
          </cell>
          <cell r="G918">
            <v>15.899999999999999</v>
          </cell>
        </row>
        <row r="919">
          <cell r="A919" t="str">
            <v>2,03,12</v>
          </cell>
          <cell r="C919" t="str">
            <v>und.</v>
          </cell>
          <cell r="D919" t="str">
            <v>cuad.</v>
          </cell>
          <cell r="E919" t="str">
            <v>cant.</v>
          </cell>
          <cell r="F919" t="str">
            <v>prec. $</v>
          </cell>
          <cell r="G919" t="str">
            <v>parcial $</v>
          </cell>
        </row>
        <row r="920">
          <cell r="A920" t="str">
            <v>2,03,12</v>
          </cell>
          <cell r="B920" t="str">
            <v>Materiales</v>
          </cell>
          <cell r="G920">
            <v>10.809999999999999</v>
          </cell>
        </row>
        <row r="921">
          <cell r="A921" t="str">
            <v>2,03,12</v>
          </cell>
          <cell r="B921" t="str">
            <v>Tubería PVC SAP de 20 mm</v>
          </cell>
          <cell r="C921" t="str">
            <v>ml</v>
          </cell>
          <cell r="E921">
            <v>8</v>
          </cell>
          <cell r="F921">
            <v>0.41</v>
          </cell>
          <cell r="G921">
            <v>3.28</v>
          </cell>
        </row>
        <row r="922">
          <cell r="A922" t="str">
            <v>2,03,12</v>
          </cell>
          <cell r="B922" t="str">
            <v>Curva PVC SAP de 20 mm</v>
          </cell>
          <cell r="C922" t="str">
            <v>und</v>
          </cell>
          <cell r="E922">
            <v>4</v>
          </cell>
          <cell r="F922">
            <v>0.59</v>
          </cell>
          <cell r="G922">
            <v>2.36</v>
          </cell>
        </row>
        <row r="923">
          <cell r="A923" t="str">
            <v>2,03,12</v>
          </cell>
          <cell r="B923" t="str">
            <v>Unión PVC SAP de 20 mm</v>
          </cell>
          <cell r="C923" t="str">
            <v>und</v>
          </cell>
          <cell r="E923">
            <v>4</v>
          </cell>
          <cell r="F923">
            <v>0.25</v>
          </cell>
          <cell r="G923">
            <v>1</v>
          </cell>
        </row>
        <row r="924">
          <cell r="A924" t="str">
            <v>2,03,12</v>
          </cell>
          <cell r="B924" t="str">
            <v>Conexión PVC SAP de 20 mm</v>
          </cell>
          <cell r="C924" t="str">
            <v>und</v>
          </cell>
          <cell r="E924">
            <v>4</v>
          </cell>
          <cell r="F924">
            <v>0.17399999999999999</v>
          </cell>
          <cell r="G924">
            <v>0.7</v>
          </cell>
        </row>
        <row r="925">
          <cell r="A925" t="str">
            <v>2,03,12</v>
          </cell>
          <cell r="B925" t="str">
            <v>Caja rectangular de 100x50 mm</v>
          </cell>
          <cell r="C925" t="str">
            <v>und</v>
          </cell>
          <cell r="E925">
            <v>1</v>
          </cell>
          <cell r="F925">
            <v>0.78</v>
          </cell>
          <cell r="G925">
            <v>0.78</v>
          </cell>
        </row>
        <row r="926">
          <cell r="A926" t="str">
            <v>2,03,12</v>
          </cell>
          <cell r="B926" t="str">
            <v>Abrazadera de 20 mm</v>
          </cell>
          <cell r="C926" t="str">
            <v>und</v>
          </cell>
          <cell r="E926">
            <v>8</v>
          </cell>
          <cell r="F926">
            <v>0.14000000000000001</v>
          </cell>
          <cell r="G926">
            <v>1.1200000000000001</v>
          </cell>
        </row>
        <row r="927">
          <cell r="A927" t="str">
            <v>2,03,12</v>
          </cell>
          <cell r="B927" t="str">
            <v>Tarugo plastico verde de 1/4</v>
          </cell>
          <cell r="C927" t="str">
            <v>und</v>
          </cell>
          <cell r="E927">
            <v>8</v>
          </cell>
          <cell r="F927">
            <v>0.115</v>
          </cell>
          <cell r="G927">
            <v>0.92</v>
          </cell>
        </row>
        <row r="928">
          <cell r="A928" t="str">
            <v>2,03,12</v>
          </cell>
          <cell r="B928" t="str">
            <v>Tornillo autoroscante de 8x1"</v>
          </cell>
          <cell r="C928" t="str">
            <v>und</v>
          </cell>
          <cell r="E928">
            <v>8</v>
          </cell>
          <cell r="F928">
            <v>4.2000000000000003E-2</v>
          </cell>
          <cell r="G928">
            <v>0.34</v>
          </cell>
        </row>
        <row r="929">
          <cell r="A929" t="str">
            <v>2,03,12</v>
          </cell>
          <cell r="B929" t="str">
            <v>Tornillo autoroscante de8x1/2"</v>
          </cell>
          <cell r="C929" t="str">
            <v>und</v>
          </cell>
          <cell r="E929">
            <v>6</v>
          </cell>
          <cell r="F929">
            <v>4.2000000000000003E-2</v>
          </cell>
          <cell r="G929">
            <v>0.25</v>
          </cell>
        </row>
        <row r="930">
          <cell r="A930" t="str">
            <v>2,03,12</v>
          </cell>
          <cell r="B930" t="str">
            <v>Pegamento de 1/4 de galón</v>
          </cell>
          <cell r="C930" t="str">
            <v>und</v>
          </cell>
          <cell r="E930">
            <v>0.01</v>
          </cell>
          <cell r="F930">
            <v>6.3959999999999999</v>
          </cell>
          <cell r="G930">
            <v>0.06</v>
          </cell>
        </row>
        <row r="931">
          <cell r="A931" t="str">
            <v>2,03,12</v>
          </cell>
          <cell r="B931" t="str">
            <v>Mano de obra</v>
          </cell>
          <cell r="G931">
            <v>4.13</v>
          </cell>
        </row>
        <row r="932">
          <cell r="A932" t="str">
            <v>2,03,12</v>
          </cell>
          <cell r="B932" t="str">
            <v>Operario</v>
          </cell>
          <cell r="C932" t="str">
            <v>HH</v>
          </cell>
          <cell r="D932">
            <v>1</v>
          </cell>
          <cell r="E932">
            <v>0.8</v>
          </cell>
          <cell r="F932">
            <v>2.84</v>
          </cell>
          <cell r="G932">
            <v>2.27</v>
          </cell>
          <cell r="H932">
            <v>10</v>
          </cell>
        </row>
        <row r="933">
          <cell r="A933" t="str">
            <v>2,03,12</v>
          </cell>
          <cell r="B933" t="str">
            <v>Peón</v>
          </cell>
          <cell r="C933" t="str">
            <v>HH</v>
          </cell>
          <cell r="D933">
            <v>1</v>
          </cell>
          <cell r="E933">
            <v>0.8</v>
          </cell>
          <cell r="F933">
            <v>2.3199999999999998</v>
          </cell>
          <cell r="G933">
            <v>1.86</v>
          </cell>
          <cell r="H933">
            <v>10</v>
          </cell>
        </row>
        <row r="934">
          <cell r="A934" t="str">
            <v>2,03,12</v>
          </cell>
          <cell r="B934" t="str">
            <v>Equipos</v>
          </cell>
          <cell r="G934">
            <v>0.96</v>
          </cell>
        </row>
        <row r="935">
          <cell r="A935" t="str">
            <v>2,03,12</v>
          </cell>
          <cell r="B935" t="str">
            <v>Escalera</v>
          </cell>
          <cell r="C935" t="str">
            <v>DIA</v>
          </cell>
          <cell r="D935">
            <v>1</v>
          </cell>
          <cell r="E935">
            <v>0.1</v>
          </cell>
          <cell r="F935">
            <v>1</v>
          </cell>
          <cell r="G935">
            <v>0.1</v>
          </cell>
        </row>
        <row r="936">
          <cell r="A936" t="str">
            <v>2,03,12</v>
          </cell>
          <cell r="B936" t="str">
            <v>Taladro Hilti</v>
          </cell>
          <cell r="C936" t="str">
            <v>DIA</v>
          </cell>
          <cell r="D936">
            <v>1</v>
          </cell>
          <cell r="E936">
            <v>0.1</v>
          </cell>
          <cell r="F936">
            <v>6.5</v>
          </cell>
          <cell r="G936">
            <v>0.65</v>
          </cell>
        </row>
        <row r="937">
          <cell r="A937" t="str">
            <v>2,03,12</v>
          </cell>
          <cell r="B937" t="str">
            <v>Desgaste de herramientas</v>
          </cell>
          <cell r="C937" t="str">
            <v>%MO</v>
          </cell>
          <cell r="E937">
            <v>0.05</v>
          </cell>
          <cell r="F937">
            <v>4.13</v>
          </cell>
          <cell r="G937">
            <v>0.21</v>
          </cell>
        </row>
        <row r="938">
          <cell r="A938" t="str">
            <v>2,03,13</v>
          </cell>
          <cell r="B938" t="str">
            <v>Salida para detector de aniego</v>
          </cell>
          <cell r="F938" t="str">
            <v>( pto )</v>
          </cell>
          <cell r="G938">
            <v>19.34</v>
          </cell>
        </row>
        <row r="939">
          <cell r="A939" t="str">
            <v>2,03,13</v>
          </cell>
          <cell r="C939" t="str">
            <v>und.</v>
          </cell>
          <cell r="D939" t="str">
            <v>cuad.</v>
          </cell>
          <cell r="E939" t="str">
            <v>cant.</v>
          </cell>
          <cell r="F939" t="str">
            <v>prec. $</v>
          </cell>
          <cell r="G939" t="str">
            <v>parcial $</v>
          </cell>
        </row>
        <row r="940">
          <cell r="A940" t="str">
            <v>2,03,13</v>
          </cell>
          <cell r="B940" t="str">
            <v>Materiales</v>
          </cell>
          <cell r="G940">
            <v>9.1800000000000015</v>
          </cell>
        </row>
        <row r="941">
          <cell r="A941" t="str">
            <v>2,03,13</v>
          </cell>
          <cell r="B941" t="str">
            <v>Tubería PVC SAP de 20 mm</v>
          </cell>
          <cell r="C941" t="str">
            <v>ml</v>
          </cell>
          <cell r="E941">
            <v>10</v>
          </cell>
          <cell r="F941">
            <v>0.41</v>
          </cell>
          <cell r="G941">
            <v>4.0999999999999996</v>
          </cell>
        </row>
        <row r="942">
          <cell r="A942" t="str">
            <v>2,03,13</v>
          </cell>
          <cell r="B942" t="str">
            <v>Curva PVC SAP de 20 mm</v>
          </cell>
          <cell r="C942" t="str">
            <v>und</v>
          </cell>
          <cell r="E942">
            <v>2</v>
          </cell>
          <cell r="F942">
            <v>0.59</v>
          </cell>
          <cell r="G942">
            <v>1.18</v>
          </cell>
        </row>
        <row r="943">
          <cell r="A943" t="str">
            <v>2,03,13</v>
          </cell>
          <cell r="B943" t="str">
            <v>Unión PVC SAP de 20 mm</v>
          </cell>
          <cell r="C943" t="str">
            <v>und</v>
          </cell>
          <cell r="E943">
            <v>4</v>
          </cell>
          <cell r="F943">
            <v>0.25</v>
          </cell>
          <cell r="G943">
            <v>1</v>
          </cell>
        </row>
        <row r="944">
          <cell r="A944" t="str">
            <v>2,03,13</v>
          </cell>
          <cell r="B944" t="str">
            <v>Conexión PVC SAP de 20 mm</v>
          </cell>
          <cell r="C944" t="str">
            <v>und</v>
          </cell>
          <cell r="E944">
            <v>4</v>
          </cell>
          <cell r="F944">
            <v>0.17399999999999999</v>
          </cell>
          <cell r="G944">
            <v>0.7</v>
          </cell>
        </row>
        <row r="945">
          <cell r="A945" t="str">
            <v>2,03,13</v>
          </cell>
          <cell r="B945" t="str">
            <v>Caja rectangular de 100x50 mm</v>
          </cell>
          <cell r="C945" t="str">
            <v>und</v>
          </cell>
          <cell r="E945">
            <v>1</v>
          </cell>
          <cell r="F945">
            <v>0.78</v>
          </cell>
          <cell r="G945">
            <v>0.78</v>
          </cell>
        </row>
        <row r="946">
          <cell r="A946" t="str">
            <v>2,03,13</v>
          </cell>
          <cell r="B946" t="str">
            <v>Abrazadera de 20 mm</v>
          </cell>
          <cell r="C946" t="str">
            <v>und</v>
          </cell>
          <cell r="E946">
            <v>4</v>
          </cell>
          <cell r="F946">
            <v>0.14000000000000001</v>
          </cell>
          <cell r="G946">
            <v>0.56000000000000005</v>
          </cell>
        </row>
        <row r="947">
          <cell r="A947" t="str">
            <v>2,03,13</v>
          </cell>
          <cell r="B947" t="str">
            <v>Tarugo plastico verde de 1/4</v>
          </cell>
          <cell r="C947" t="str">
            <v>und</v>
          </cell>
          <cell r="E947">
            <v>4</v>
          </cell>
          <cell r="F947">
            <v>0.115</v>
          </cell>
          <cell r="G947">
            <v>0.46</v>
          </cell>
        </row>
        <row r="948">
          <cell r="A948" t="str">
            <v>2,03,13</v>
          </cell>
          <cell r="B948" t="str">
            <v>Tornillo autoroscante de 8x1"</v>
          </cell>
          <cell r="C948" t="str">
            <v>und</v>
          </cell>
          <cell r="E948">
            <v>4</v>
          </cell>
          <cell r="F948">
            <v>4.2000000000000003E-2</v>
          </cell>
          <cell r="G948">
            <v>0.17</v>
          </cell>
        </row>
        <row r="949">
          <cell r="A949" t="str">
            <v>2,03,13</v>
          </cell>
          <cell r="B949" t="str">
            <v>Tornillo autoroscante de8x1/2"</v>
          </cell>
          <cell r="C949" t="str">
            <v>und</v>
          </cell>
          <cell r="E949">
            <v>4</v>
          </cell>
          <cell r="F949">
            <v>4.2000000000000003E-2</v>
          </cell>
          <cell r="G949">
            <v>0.17</v>
          </cell>
        </row>
        <row r="950">
          <cell r="A950" t="str">
            <v>2,03,13</v>
          </cell>
          <cell r="B950" t="str">
            <v>Pegamento de 1/4 de galón</v>
          </cell>
          <cell r="C950" t="str">
            <v>und</v>
          </cell>
          <cell r="E950">
            <v>0.01</v>
          </cell>
          <cell r="F950">
            <v>6.3959999999999999</v>
          </cell>
          <cell r="G950">
            <v>0.06</v>
          </cell>
        </row>
        <row r="951">
          <cell r="A951" t="str">
            <v>2,03,13</v>
          </cell>
          <cell r="B951" t="str">
            <v>Mano de obra</v>
          </cell>
          <cell r="G951">
            <v>8.25</v>
          </cell>
        </row>
        <row r="952">
          <cell r="A952" t="str">
            <v>2,03,13</v>
          </cell>
          <cell r="B952" t="str">
            <v>Operario</v>
          </cell>
          <cell r="C952" t="str">
            <v>HH</v>
          </cell>
          <cell r="D952">
            <v>1</v>
          </cell>
          <cell r="E952">
            <v>1.6</v>
          </cell>
          <cell r="F952">
            <v>2.84</v>
          </cell>
          <cell r="G952">
            <v>4.54</v>
          </cell>
          <cell r="H952">
            <v>5</v>
          </cell>
        </row>
        <row r="953">
          <cell r="A953" t="str">
            <v>2,03,13</v>
          </cell>
          <cell r="B953" t="str">
            <v>Peón</v>
          </cell>
          <cell r="C953" t="str">
            <v>HH</v>
          </cell>
          <cell r="D953">
            <v>1</v>
          </cell>
          <cell r="E953">
            <v>1.6</v>
          </cell>
          <cell r="F953">
            <v>2.3199999999999998</v>
          </cell>
          <cell r="G953">
            <v>3.71</v>
          </cell>
          <cell r="H953">
            <v>5</v>
          </cell>
        </row>
        <row r="954">
          <cell r="A954" t="str">
            <v>2,03,13</v>
          </cell>
          <cell r="B954" t="str">
            <v>Equipos</v>
          </cell>
          <cell r="G954">
            <v>1.91</v>
          </cell>
        </row>
        <row r="955">
          <cell r="A955" t="str">
            <v>2,03,13</v>
          </cell>
          <cell r="B955" t="str">
            <v>Escalera</v>
          </cell>
          <cell r="C955" t="str">
            <v>DIA</v>
          </cell>
          <cell r="D955">
            <v>1</v>
          </cell>
          <cell r="E955">
            <v>0.2</v>
          </cell>
          <cell r="F955">
            <v>1</v>
          </cell>
          <cell r="G955">
            <v>0.2</v>
          </cell>
        </row>
        <row r="956">
          <cell r="A956" t="str">
            <v>2,03,13</v>
          </cell>
          <cell r="B956" t="str">
            <v>Taladro Hilti</v>
          </cell>
          <cell r="C956" t="str">
            <v>DIA</v>
          </cell>
          <cell r="D956">
            <v>1</v>
          </cell>
          <cell r="E956">
            <v>0.2</v>
          </cell>
          <cell r="F956">
            <v>6.5</v>
          </cell>
          <cell r="G956">
            <v>1.3</v>
          </cell>
        </row>
        <row r="957">
          <cell r="A957" t="str">
            <v>2,03,13</v>
          </cell>
          <cell r="B957" t="str">
            <v>Desgaste de herramientas</v>
          </cell>
          <cell r="C957" t="str">
            <v>%MO</v>
          </cell>
          <cell r="E957">
            <v>0.05</v>
          </cell>
          <cell r="F957">
            <v>8.25</v>
          </cell>
          <cell r="G957">
            <v>0.41</v>
          </cell>
        </row>
        <row r="958">
          <cell r="A958" t="str">
            <v>2,03,14</v>
          </cell>
          <cell r="B958" t="str">
            <v>Salida para aislador de laso de comunicaciones</v>
          </cell>
          <cell r="F958" t="str">
            <v>( pto )</v>
          </cell>
          <cell r="G958">
            <v>8.75</v>
          </cell>
        </row>
        <row r="959">
          <cell r="A959" t="str">
            <v>2,03,14</v>
          </cell>
          <cell r="C959" t="str">
            <v>und.</v>
          </cell>
          <cell r="D959" t="str">
            <v>cuad.</v>
          </cell>
          <cell r="E959" t="str">
            <v>cant.</v>
          </cell>
          <cell r="F959" t="str">
            <v>prec. $</v>
          </cell>
          <cell r="G959" t="str">
            <v>parcial $</v>
          </cell>
        </row>
        <row r="960">
          <cell r="A960" t="str">
            <v>2,03,14</v>
          </cell>
          <cell r="B960" t="str">
            <v>Materiales</v>
          </cell>
          <cell r="G960">
            <v>3.66</v>
          </cell>
        </row>
        <row r="961">
          <cell r="A961" t="str">
            <v>2,03,14</v>
          </cell>
          <cell r="B961" t="str">
            <v>Tubería PVC SAP de 20 mm</v>
          </cell>
          <cell r="C961" t="str">
            <v>ml</v>
          </cell>
          <cell r="E961">
            <v>1</v>
          </cell>
          <cell r="F961">
            <v>0.41</v>
          </cell>
          <cell r="G961">
            <v>0.41</v>
          </cell>
        </row>
        <row r="962">
          <cell r="A962" t="str">
            <v>2,03,14</v>
          </cell>
          <cell r="B962" t="str">
            <v>Curva PVC SAP de 20 mm</v>
          </cell>
          <cell r="C962" t="str">
            <v>und</v>
          </cell>
          <cell r="E962">
            <v>2</v>
          </cell>
          <cell r="F962">
            <v>0.59</v>
          </cell>
          <cell r="G962">
            <v>1.18</v>
          </cell>
        </row>
        <row r="963">
          <cell r="A963" t="str">
            <v>2,03,14</v>
          </cell>
          <cell r="B963" t="str">
            <v>Unión PVC SAP de 20 mm</v>
          </cell>
          <cell r="C963" t="str">
            <v>und</v>
          </cell>
          <cell r="E963">
            <v>2</v>
          </cell>
          <cell r="F963">
            <v>0.25</v>
          </cell>
          <cell r="G963">
            <v>0.5</v>
          </cell>
        </row>
        <row r="964">
          <cell r="A964" t="str">
            <v>2,03,14</v>
          </cell>
          <cell r="B964" t="str">
            <v>Conexión PVC SAP de 20 mm</v>
          </cell>
          <cell r="C964" t="str">
            <v>und</v>
          </cell>
          <cell r="E964">
            <v>2</v>
          </cell>
          <cell r="F964">
            <v>0.17399999999999999</v>
          </cell>
          <cell r="G964">
            <v>0.35</v>
          </cell>
        </row>
        <row r="965">
          <cell r="A965" t="str">
            <v>2,03,14</v>
          </cell>
          <cell r="B965" t="str">
            <v>Caja rectangular de 100x50 mm</v>
          </cell>
          <cell r="C965" t="str">
            <v>und</v>
          </cell>
          <cell r="E965">
            <v>1</v>
          </cell>
          <cell r="F965">
            <v>0.78</v>
          </cell>
          <cell r="G965">
            <v>0.78</v>
          </cell>
        </row>
        <row r="966">
          <cell r="A966" t="str">
            <v>2,03,14</v>
          </cell>
          <cell r="B966" t="str">
            <v>Abrazadera de 20 mm</v>
          </cell>
          <cell r="C966" t="str">
            <v>und</v>
          </cell>
          <cell r="E966">
            <v>1</v>
          </cell>
          <cell r="F966">
            <v>0.14000000000000001</v>
          </cell>
          <cell r="G966">
            <v>0.14000000000000001</v>
          </cell>
        </row>
        <row r="967">
          <cell r="A967" t="str">
            <v>2,03,14</v>
          </cell>
          <cell r="B967" t="str">
            <v>Tarugo plastico verde de 1/4</v>
          </cell>
          <cell r="C967" t="str">
            <v>und</v>
          </cell>
          <cell r="E967">
            <v>1</v>
          </cell>
          <cell r="F967">
            <v>0.115</v>
          </cell>
          <cell r="G967">
            <v>0.12</v>
          </cell>
        </row>
        <row r="968">
          <cell r="A968" t="str">
            <v>2,03,14</v>
          </cell>
          <cell r="B968" t="str">
            <v>Tornillo autoroscante de 8x1"</v>
          </cell>
          <cell r="C968" t="str">
            <v>und</v>
          </cell>
          <cell r="E968">
            <v>1</v>
          </cell>
          <cell r="F968">
            <v>4.2000000000000003E-2</v>
          </cell>
          <cell r="G968">
            <v>0.04</v>
          </cell>
        </row>
        <row r="969">
          <cell r="A969" t="str">
            <v>2,03,14</v>
          </cell>
          <cell r="B969" t="str">
            <v>Tornillo autoroscante de8x1/2"</v>
          </cell>
          <cell r="C969" t="str">
            <v>und</v>
          </cell>
          <cell r="E969">
            <v>2</v>
          </cell>
          <cell r="F969">
            <v>4.2000000000000003E-2</v>
          </cell>
          <cell r="G969">
            <v>0.08</v>
          </cell>
        </row>
        <row r="970">
          <cell r="A970" t="str">
            <v>2,03,14</v>
          </cell>
          <cell r="B970" t="str">
            <v>Pegamento de 1/4 de galón</v>
          </cell>
          <cell r="C970" t="str">
            <v>und</v>
          </cell>
          <cell r="E970">
            <v>0.01</v>
          </cell>
          <cell r="F970">
            <v>6.3959999999999999</v>
          </cell>
          <cell r="G970">
            <v>0.06</v>
          </cell>
        </row>
        <row r="971">
          <cell r="A971" t="str">
            <v>2,03,14</v>
          </cell>
          <cell r="B971" t="str">
            <v>Mano de obra</v>
          </cell>
          <cell r="G971">
            <v>4.13</v>
          </cell>
        </row>
        <row r="972">
          <cell r="A972" t="str">
            <v>2,03,14</v>
          </cell>
          <cell r="B972" t="str">
            <v>Operario</v>
          </cell>
          <cell r="C972" t="str">
            <v>HH</v>
          </cell>
          <cell r="D972">
            <v>1</v>
          </cell>
          <cell r="E972">
            <v>0.8</v>
          </cell>
          <cell r="F972">
            <v>2.84</v>
          </cell>
          <cell r="G972">
            <v>2.27</v>
          </cell>
          <cell r="H972">
            <v>10</v>
          </cell>
        </row>
        <row r="973">
          <cell r="A973" t="str">
            <v>2,03,14</v>
          </cell>
          <cell r="B973" t="str">
            <v>Peón</v>
          </cell>
          <cell r="C973" t="str">
            <v>HH</v>
          </cell>
          <cell r="D973">
            <v>1</v>
          </cell>
          <cell r="E973">
            <v>0.8</v>
          </cell>
          <cell r="F973">
            <v>2.3199999999999998</v>
          </cell>
          <cell r="G973">
            <v>1.86</v>
          </cell>
          <cell r="H973">
            <v>10</v>
          </cell>
        </row>
        <row r="974">
          <cell r="A974" t="str">
            <v>2,03,14</v>
          </cell>
          <cell r="B974" t="str">
            <v>Equipos</v>
          </cell>
          <cell r="G974">
            <v>0.96</v>
          </cell>
        </row>
        <row r="975">
          <cell r="A975" t="str">
            <v>2,03,14</v>
          </cell>
          <cell r="B975" t="str">
            <v>Escalera</v>
          </cell>
          <cell r="C975" t="str">
            <v>DIA</v>
          </cell>
          <cell r="D975">
            <v>1</v>
          </cell>
          <cell r="E975">
            <v>0.1</v>
          </cell>
          <cell r="F975">
            <v>1</v>
          </cell>
          <cell r="G975">
            <v>0.1</v>
          </cell>
        </row>
        <row r="976">
          <cell r="A976" t="str">
            <v>2,03,14</v>
          </cell>
          <cell r="B976" t="str">
            <v>Taladro Hilti</v>
          </cell>
          <cell r="C976" t="str">
            <v>DIA</v>
          </cell>
          <cell r="D976">
            <v>1</v>
          </cell>
          <cell r="E976">
            <v>0.1</v>
          </cell>
          <cell r="F976">
            <v>6.5</v>
          </cell>
          <cell r="G976">
            <v>0.65</v>
          </cell>
        </row>
        <row r="977">
          <cell r="A977" t="str">
            <v>2,03,14</v>
          </cell>
          <cell r="B977" t="str">
            <v>Desgaste de herramientas</v>
          </cell>
          <cell r="C977" t="str">
            <v>%MO</v>
          </cell>
          <cell r="E977">
            <v>0.05</v>
          </cell>
          <cell r="F977">
            <v>4.13</v>
          </cell>
          <cell r="G977">
            <v>0.21</v>
          </cell>
        </row>
        <row r="978">
          <cell r="A978" t="str">
            <v>2,03,15</v>
          </cell>
          <cell r="B978" t="str">
            <v>Salida para control de encendido y apagado  HVAC</v>
          </cell>
          <cell r="F978" t="str">
            <v>( pto )</v>
          </cell>
          <cell r="G978">
            <v>8.75</v>
          </cell>
        </row>
        <row r="979">
          <cell r="A979" t="str">
            <v>2,03,15</v>
          </cell>
          <cell r="C979" t="str">
            <v>und.</v>
          </cell>
          <cell r="D979" t="str">
            <v>cuad.</v>
          </cell>
          <cell r="E979" t="str">
            <v>cant.</v>
          </cell>
          <cell r="F979" t="str">
            <v>prec. $</v>
          </cell>
          <cell r="G979" t="str">
            <v>parcial $</v>
          </cell>
        </row>
        <row r="980">
          <cell r="A980" t="str">
            <v>2,03,15</v>
          </cell>
          <cell r="B980" t="str">
            <v>Materiales</v>
          </cell>
          <cell r="G980">
            <v>3.66</v>
          </cell>
        </row>
        <row r="981">
          <cell r="A981" t="str">
            <v>2,03,15</v>
          </cell>
          <cell r="B981" t="str">
            <v>Tubería PVC SAP de 20 mm</v>
          </cell>
          <cell r="C981" t="str">
            <v>ml</v>
          </cell>
          <cell r="E981">
            <v>1</v>
          </cell>
          <cell r="F981">
            <v>0.41</v>
          </cell>
          <cell r="G981">
            <v>0.41</v>
          </cell>
        </row>
        <row r="982">
          <cell r="A982" t="str">
            <v>2,03,15</v>
          </cell>
          <cell r="B982" t="str">
            <v>Curva PVC SAP de 20 mm</v>
          </cell>
          <cell r="C982" t="str">
            <v>und</v>
          </cell>
          <cell r="E982">
            <v>2</v>
          </cell>
          <cell r="F982">
            <v>0.59</v>
          </cell>
          <cell r="G982">
            <v>1.18</v>
          </cell>
        </row>
        <row r="983">
          <cell r="A983" t="str">
            <v>2,03,15</v>
          </cell>
          <cell r="B983" t="str">
            <v>Unión PVC SAP de 20 mm</v>
          </cell>
          <cell r="C983" t="str">
            <v>und</v>
          </cell>
          <cell r="E983">
            <v>2</v>
          </cell>
          <cell r="F983">
            <v>0.25</v>
          </cell>
          <cell r="G983">
            <v>0.5</v>
          </cell>
        </row>
        <row r="984">
          <cell r="A984" t="str">
            <v>2,03,15</v>
          </cell>
          <cell r="B984" t="str">
            <v>Conexión PVC SAP de 20 mm</v>
          </cell>
          <cell r="C984" t="str">
            <v>und</v>
          </cell>
          <cell r="E984">
            <v>2</v>
          </cell>
          <cell r="F984">
            <v>0.17399999999999999</v>
          </cell>
          <cell r="G984">
            <v>0.35</v>
          </cell>
        </row>
        <row r="985">
          <cell r="A985" t="str">
            <v>2,03,15</v>
          </cell>
          <cell r="B985" t="str">
            <v>Caja rectangular de 100x50 mm</v>
          </cell>
          <cell r="C985" t="str">
            <v>und</v>
          </cell>
          <cell r="E985">
            <v>1</v>
          </cell>
          <cell r="F985">
            <v>0.78</v>
          </cell>
          <cell r="G985">
            <v>0.78</v>
          </cell>
        </row>
        <row r="986">
          <cell r="A986" t="str">
            <v>2,03,15</v>
          </cell>
          <cell r="B986" t="str">
            <v>Abrazadera de 20 mm</v>
          </cell>
          <cell r="C986" t="str">
            <v>und</v>
          </cell>
          <cell r="E986">
            <v>1</v>
          </cell>
          <cell r="F986">
            <v>0.14000000000000001</v>
          </cell>
          <cell r="G986">
            <v>0.14000000000000001</v>
          </cell>
        </row>
        <row r="987">
          <cell r="A987" t="str">
            <v>2,03,15</v>
          </cell>
          <cell r="B987" t="str">
            <v>Tarugo plastico verde de 1/4</v>
          </cell>
          <cell r="C987" t="str">
            <v>und</v>
          </cell>
          <cell r="E987">
            <v>1</v>
          </cell>
          <cell r="F987">
            <v>0.115</v>
          </cell>
          <cell r="G987">
            <v>0.12</v>
          </cell>
        </row>
        <row r="988">
          <cell r="A988" t="str">
            <v>2,03,15</v>
          </cell>
          <cell r="B988" t="str">
            <v>Tornillo autoroscante de 8x1"</v>
          </cell>
          <cell r="C988" t="str">
            <v>und</v>
          </cell>
          <cell r="E988">
            <v>1</v>
          </cell>
          <cell r="F988">
            <v>4.2000000000000003E-2</v>
          </cell>
          <cell r="G988">
            <v>0.04</v>
          </cell>
        </row>
        <row r="989">
          <cell r="A989" t="str">
            <v>2,03,15</v>
          </cell>
          <cell r="B989" t="str">
            <v>Tornillo autoroscante de8x1/2"</v>
          </cell>
          <cell r="C989" t="str">
            <v>und</v>
          </cell>
          <cell r="E989">
            <v>2</v>
          </cell>
          <cell r="F989">
            <v>4.2000000000000003E-2</v>
          </cell>
          <cell r="G989">
            <v>0.08</v>
          </cell>
        </row>
        <row r="990">
          <cell r="A990" t="str">
            <v>2,03,15</v>
          </cell>
          <cell r="B990" t="str">
            <v>Pegamento de 1/4 de galón</v>
          </cell>
          <cell r="C990" t="str">
            <v>und</v>
          </cell>
          <cell r="E990">
            <v>0.01</v>
          </cell>
          <cell r="F990">
            <v>6.3959999999999999</v>
          </cell>
          <cell r="G990">
            <v>0.06</v>
          </cell>
        </row>
        <row r="991">
          <cell r="A991" t="str">
            <v>2,03,15</v>
          </cell>
          <cell r="B991" t="str">
            <v>Mano de obra</v>
          </cell>
          <cell r="G991">
            <v>4.13</v>
          </cell>
        </row>
        <row r="992">
          <cell r="A992" t="str">
            <v>2,03,15</v>
          </cell>
          <cell r="B992" t="str">
            <v>Operario</v>
          </cell>
          <cell r="C992" t="str">
            <v>HH</v>
          </cell>
          <cell r="D992">
            <v>1</v>
          </cell>
          <cell r="E992">
            <v>0.8</v>
          </cell>
          <cell r="F992">
            <v>2.84</v>
          </cell>
          <cell r="G992">
            <v>2.27</v>
          </cell>
          <cell r="H992">
            <v>10</v>
          </cell>
        </row>
        <row r="993">
          <cell r="A993" t="str">
            <v>2,03,15</v>
          </cell>
          <cell r="B993" t="str">
            <v>Peón</v>
          </cell>
          <cell r="C993" t="str">
            <v>HH</v>
          </cell>
          <cell r="D993">
            <v>1</v>
          </cell>
          <cell r="E993">
            <v>0.8</v>
          </cell>
          <cell r="F993">
            <v>2.3199999999999998</v>
          </cell>
          <cell r="G993">
            <v>1.86</v>
          </cell>
          <cell r="H993">
            <v>10</v>
          </cell>
        </row>
        <row r="994">
          <cell r="A994" t="str">
            <v>2,03,15</v>
          </cell>
          <cell r="B994" t="str">
            <v>Equipos</v>
          </cell>
          <cell r="G994">
            <v>0.96</v>
          </cell>
        </row>
        <row r="995">
          <cell r="A995" t="str">
            <v>2,03,15</v>
          </cell>
          <cell r="B995" t="str">
            <v>Escalera</v>
          </cell>
          <cell r="C995" t="str">
            <v>DIA</v>
          </cell>
          <cell r="D995">
            <v>1</v>
          </cell>
          <cell r="E995">
            <v>0.1</v>
          </cell>
          <cell r="F995">
            <v>1</v>
          </cell>
          <cell r="G995">
            <v>0.1</v>
          </cell>
        </row>
        <row r="996">
          <cell r="A996" t="str">
            <v>2,03,15</v>
          </cell>
          <cell r="B996" t="str">
            <v>Taladro Hilti</v>
          </cell>
          <cell r="C996" t="str">
            <v>DIA</v>
          </cell>
          <cell r="D996">
            <v>1</v>
          </cell>
          <cell r="E996">
            <v>0.1</v>
          </cell>
          <cell r="F996">
            <v>6.5</v>
          </cell>
          <cell r="G996">
            <v>0.65</v>
          </cell>
        </row>
        <row r="997">
          <cell r="A997" t="str">
            <v>2,03,15</v>
          </cell>
          <cell r="B997" t="str">
            <v>Desgaste de herramientas</v>
          </cell>
          <cell r="C997" t="str">
            <v>%MO</v>
          </cell>
          <cell r="E997">
            <v>0.05</v>
          </cell>
          <cell r="F997">
            <v>4.13</v>
          </cell>
          <cell r="G997">
            <v>0.21</v>
          </cell>
        </row>
        <row r="998">
          <cell r="A998" t="str">
            <v>2,03,16</v>
          </cell>
          <cell r="B998" t="str">
            <v>Salida para video intercomunicador</v>
          </cell>
          <cell r="F998" t="str">
            <v>( pto )</v>
          </cell>
          <cell r="G998">
            <v>8.75</v>
          </cell>
        </row>
        <row r="999">
          <cell r="A999" t="str">
            <v>2,03,16</v>
          </cell>
          <cell r="C999" t="str">
            <v>und.</v>
          </cell>
          <cell r="D999" t="str">
            <v>cuad.</v>
          </cell>
          <cell r="E999" t="str">
            <v>cant.</v>
          </cell>
          <cell r="F999" t="str">
            <v>prec. $</v>
          </cell>
          <cell r="G999" t="str">
            <v>parcial $</v>
          </cell>
        </row>
        <row r="1000">
          <cell r="A1000" t="str">
            <v>2,03,16</v>
          </cell>
          <cell r="B1000" t="str">
            <v>Materiales</v>
          </cell>
          <cell r="G1000">
            <v>3.66</v>
          </cell>
        </row>
        <row r="1001">
          <cell r="A1001" t="str">
            <v>2,03,16</v>
          </cell>
          <cell r="B1001" t="str">
            <v>Tubería PVC SAP de 20 mm</v>
          </cell>
          <cell r="C1001" t="str">
            <v>ml</v>
          </cell>
          <cell r="E1001">
            <v>1</v>
          </cell>
          <cell r="F1001">
            <v>0.41</v>
          </cell>
          <cell r="G1001">
            <v>0.41</v>
          </cell>
        </row>
        <row r="1002">
          <cell r="A1002" t="str">
            <v>2,03,16</v>
          </cell>
          <cell r="B1002" t="str">
            <v>Curva PVC SAP de 20 mm</v>
          </cell>
          <cell r="C1002" t="str">
            <v>und</v>
          </cell>
          <cell r="E1002">
            <v>2</v>
          </cell>
          <cell r="F1002">
            <v>0.59</v>
          </cell>
          <cell r="G1002">
            <v>1.18</v>
          </cell>
        </row>
        <row r="1003">
          <cell r="A1003" t="str">
            <v>2,03,16</v>
          </cell>
          <cell r="B1003" t="str">
            <v>Unión PVC SAP de 20 mm</v>
          </cell>
          <cell r="C1003" t="str">
            <v>und</v>
          </cell>
          <cell r="E1003">
            <v>2</v>
          </cell>
          <cell r="F1003">
            <v>0.25</v>
          </cell>
          <cell r="G1003">
            <v>0.5</v>
          </cell>
        </row>
        <row r="1004">
          <cell r="A1004" t="str">
            <v>2,03,16</v>
          </cell>
          <cell r="B1004" t="str">
            <v>Conexión PVC SAP de 20 mm</v>
          </cell>
          <cell r="C1004" t="str">
            <v>und</v>
          </cell>
          <cell r="E1004">
            <v>2</v>
          </cell>
          <cell r="F1004">
            <v>0.17399999999999999</v>
          </cell>
          <cell r="G1004">
            <v>0.35</v>
          </cell>
        </row>
        <row r="1005">
          <cell r="A1005" t="str">
            <v>2,03,16</v>
          </cell>
          <cell r="B1005" t="str">
            <v>Caja rectangular de 100x50 mm</v>
          </cell>
          <cell r="C1005" t="str">
            <v>und</v>
          </cell>
          <cell r="E1005">
            <v>1</v>
          </cell>
          <cell r="F1005">
            <v>0.78</v>
          </cell>
          <cell r="G1005">
            <v>0.78</v>
          </cell>
        </row>
        <row r="1006">
          <cell r="A1006" t="str">
            <v>2,03,16</v>
          </cell>
          <cell r="B1006" t="str">
            <v>Abrazadera de 20 mm</v>
          </cell>
          <cell r="C1006" t="str">
            <v>und</v>
          </cell>
          <cell r="E1006">
            <v>1</v>
          </cell>
          <cell r="F1006">
            <v>0.14000000000000001</v>
          </cell>
          <cell r="G1006">
            <v>0.14000000000000001</v>
          </cell>
        </row>
        <row r="1007">
          <cell r="A1007" t="str">
            <v>2,03,16</v>
          </cell>
          <cell r="B1007" t="str">
            <v>Tarugo plastico verde de 1/4</v>
          </cell>
          <cell r="C1007" t="str">
            <v>und</v>
          </cell>
          <cell r="E1007">
            <v>1</v>
          </cell>
          <cell r="F1007">
            <v>0.115</v>
          </cell>
          <cell r="G1007">
            <v>0.12</v>
          </cell>
        </row>
        <row r="1008">
          <cell r="A1008" t="str">
            <v>2,03,16</v>
          </cell>
          <cell r="B1008" t="str">
            <v>Tornillo autoroscante de 8x1"</v>
          </cell>
          <cell r="C1008" t="str">
            <v>und</v>
          </cell>
          <cell r="E1008">
            <v>1</v>
          </cell>
          <cell r="F1008">
            <v>4.2000000000000003E-2</v>
          </cell>
          <cell r="G1008">
            <v>0.04</v>
          </cell>
        </row>
        <row r="1009">
          <cell r="A1009" t="str">
            <v>2,03,16</v>
          </cell>
          <cell r="B1009" t="str">
            <v>Tornillo autoroscante de8x1/2"</v>
          </cell>
          <cell r="C1009" t="str">
            <v>und</v>
          </cell>
          <cell r="E1009">
            <v>2</v>
          </cell>
          <cell r="F1009">
            <v>4.2000000000000003E-2</v>
          </cell>
          <cell r="G1009">
            <v>0.08</v>
          </cell>
        </row>
        <row r="1010">
          <cell r="A1010" t="str">
            <v>2,03,16</v>
          </cell>
          <cell r="B1010" t="str">
            <v>Pegamento de 1/4 de galón</v>
          </cell>
          <cell r="C1010" t="str">
            <v>und</v>
          </cell>
          <cell r="E1010">
            <v>0.01</v>
          </cell>
          <cell r="F1010">
            <v>6.3959999999999999</v>
          </cell>
          <cell r="G1010">
            <v>0.06</v>
          </cell>
        </row>
        <row r="1011">
          <cell r="A1011" t="str">
            <v>2,03,16</v>
          </cell>
          <cell r="B1011" t="str">
            <v>Mano de obra</v>
          </cell>
          <cell r="G1011">
            <v>4.13</v>
          </cell>
        </row>
        <row r="1012">
          <cell r="A1012" t="str">
            <v>2,03,16</v>
          </cell>
          <cell r="B1012" t="str">
            <v>Operario</v>
          </cell>
          <cell r="C1012" t="str">
            <v>HH</v>
          </cell>
          <cell r="D1012">
            <v>1</v>
          </cell>
          <cell r="E1012">
            <v>0.8</v>
          </cell>
          <cell r="F1012">
            <v>2.84</v>
          </cell>
          <cell r="G1012">
            <v>2.27</v>
          </cell>
          <cell r="H1012">
            <v>10</v>
          </cell>
        </row>
        <row r="1013">
          <cell r="A1013" t="str">
            <v>2,03,16</v>
          </cell>
          <cell r="B1013" t="str">
            <v>Peón</v>
          </cell>
          <cell r="C1013" t="str">
            <v>HH</v>
          </cell>
          <cell r="D1013">
            <v>1</v>
          </cell>
          <cell r="E1013">
            <v>0.8</v>
          </cell>
          <cell r="F1013">
            <v>2.3199999999999998</v>
          </cell>
          <cell r="G1013">
            <v>1.86</v>
          </cell>
          <cell r="H1013">
            <v>10</v>
          </cell>
        </row>
        <row r="1014">
          <cell r="A1014" t="str">
            <v>2,03,16</v>
          </cell>
          <cell r="B1014" t="str">
            <v>Equipos</v>
          </cell>
          <cell r="G1014">
            <v>0.96</v>
          </cell>
        </row>
        <row r="1015">
          <cell r="A1015" t="str">
            <v>2,03,16</v>
          </cell>
          <cell r="B1015" t="str">
            <v>Escalera</v>
          </cell>
          <cell r="C1015" t="str">
            <v>DIA</v>
          </cell>
          <cell r="D1015">
            <v>1</v>
          </cell>
          <cell r="E1015">
            <v>0.1</v>
          </cell>
          <cell r="F1015">
            <v>1</v>
          </cell>
          <cell r="G1015">
            <v>0.1</v>
          </cell>
        </row>
        <row r="1016">
          <cell r="A1016" t="str">
            <v>2,03,16</v>
          </cell>
          <cell r="B1016" t="str">
            <v>Taladro Hilti</v>
          </cell>
          <cell r="C1016" t="str">
            <v>DIA</v>
          </cell>
          <cell r="D1016">
            <v>1</v>
          </cell>
          <cell r="E1016">
            <v>0.1</v>
          </cell>
          <cell r="F1016">
            <v>6.5</v>
          </cell>
          <cell r="G1016">
            <v>0.65</v>
          </cell>
        </row>
        <row r="1017">
          <cell r="A1017" t="str">
            <v>2,03,16</v>
          </cell>
          <cell r="B1017" t="str">
            <v>Desgaste de herramientas</v>
          </cell>
          <cell r="C1017" t="str">
            <v>%MO</v>
          </cell>
          <cell r="E1017">
            <v>0.05</v>
          </cell>
          <cell r="F1017">
            <v>4.13</v>
          </cell>
          <cell r="G1017">
            <v>0.21</v>
          </cell>
        </row>
        <row r="1018">
          <cell r="A1018" t="str">
            <v>2,03,17</v>
          </cell>
          <cell r="B1018" t="str">
            <v>salida para video intercomunicador receptor</v>
          </cell>
          <cell r="F1018" t="str">
            <v>( pto )</v>
          </cell>
          <cell r="G1018">
            <v>11.54</v>
          </cell>
        </row>
        <row r="1019">
          <cell r="A1019" t="str">
            <v>2,03,17</v>
          </cell>
          <cell r="C1019" t="str">
            <v>und.</v>
          </cell>
          <cell r="D1019" t="str">
            <v>cuad.</v>
          </cell>
          <cell r="E1019" t="str">
            <v>cant.</v>
          </cell>
          <cell r="F1019" t="str">
            <v>prec. $</v>
          </cell>
          <cell r="G1019" t="str">
            <v>parcial $</v>
          </cell>
        </row>
        <row r="1020">
          <cell r="A1020" t="str">
            <v>2,03,17</v>
          </cell>
          <cell r="B1020" t="str">
            <v>Materiales</v>
          </cell>
          <cell r="G1020">
            <v>6.4499999999999993</v>
          </cell>
        </row>
        <row r="1021">
          <cell r="A1021" t="str">
            <v>2,03,17</v>
          </cell>
          <cell r="B1021" t="str">
            <v>Tubería PVC SAP de 20 mm</v>
          </cell>
          <cell r="C1021" t="str">
            <v>ml</v>
          </cell>
          <cell r="E1021">
            <v>5.5</v>
          </cell>
          <cell r="F1021">
            <v>0.41</v>
          </cell>
          <cell r="G1021">
            <v>2.2599999999999998</v>
          </cell>
        </row>
        <row r="1022">
          <cell r="A1022" t="str">
            <v>2,03,17</v>
          </cell>
          <cell r="B1022" t="str">
            <v>Curva PVC SAP de 20 mm</v>
          </cell>
          <cell r="C1022" t="str">
            <v>und</v>
          </cell>
          <cell r="E1022">
            <v>2</v>
          </cell>
          <cell r="F1022">
            <v>0.59</v>
          </cell>
          <cell r="G1022">
            <v>1.18</v>
          </cell>
        </row>
        <row r="1023">
          <cell r="A1023" t="str">
            <v>2,03,17</v>
          </cell>
          <cell r="B1023" t="str">
            <v>Unión PVC SAP de 20 mm</v>
          </cell>
          <cell r="C1023" t="str">
            <v>und</v>
          </cell>
          <cell r="E1023">
            <v>2</v>
          </cell>
          <cell r="F1023">
            <v>0.25</v>
          </cell>
          <cell r="G1023">
            <v>0.5</v>
          </cell>
        </row>
        <row r="1024">
          <cell r="A1024" t="str">
            <v>2,03,17</v>
          </cell>
          <cell r="B1024" t="str">
            <v>Conexión PVC SAP de 20 mm</v>
          </cell>
          <cell r="C1024" t="str">
            <v>und</v>
          </cell>
          <cell r="E1024">
            <v>2</v>
          </cell>
          <cell r="F1024">
            <v>0.17399999999999999</v>
          </cell>
          <cell r="G1024">
            <v>0.35</v>
          </cell>
        </row>
        <row r="1025">
          <cell r="A1025" t="str">
            <v>2,03,17</v>
          </cell>
          <cell r="B1025" t="str">
            <v>Caja rectangular de 100x50 mm</v>
          </cell>
          <cell r="C1025" t="str">
            <v>und</v>
          </cell>
          <cell r="E1025">
            <v>1</v>
          </cell>
          <cell r="F1025">
            <v>0.78</v>
          </cell>
          <cell r="G1025">
            <v>0.78</v>
          </cell>
        </row>
        <row r="1026">
          <cell r="A1026" t="str">
            <v>2,03,17</v>
          </cell>
          <cell r="B1026" t="str">
            <v>Abrazadera de 20 mm</v>
          </cell>
          <cell r="C1026" t="str">
            <v>und</v>
          </cell>
          <cell r="E1026">
            <v>5</v>
          </cell>
          <cell r="F1026">
            <v>0.14000000000000001</v>
          </cell>
          <cell r="G1026">
            <v>0.7</v>
          </cell>
        </row>
        <row r="1027">
          <cell r="A1027" t="str">
            <v>2,03,17</v>
          </cell>
          <cell r="B1027" t="str">
            <v>Tarugo plastico verde de 1/4</v>
          </cell>
          <cell r="C1027" t="str">
            <v>und</v>
          </cell>
          <cell r="E1027">
            <v>4</v>
          </cell>
          <cell r="F1027">
            <v>0.115</v>
          </cell>
          <cell r="G1027">
            <v>0.46</v>
          </cell>
        </row>
        <row r="1028">
          <cell r="A1028" t="str">
            <v>2,03,17</v>
          </cell>
          <cell r="B1028" t="str">
            <v>Tornillo autoroscante de 8x1"</v>
          </cell>
          <cell r="C1028" t="str">
            <v>und</v>
          </cell>
          <cell r="E1028">
            <v>2</v>
          </cell>
          <cell r="F1028">
            <v>4.2000000000000003E-2</v>
          </cell>
          <cell r="G1028">
            <v>0.08</v>
          </cell>
        </row>
        <row r="1029">
          <cell r="A1029" t="str">
            <v>2,03,17</v>
          </cell>
          <cell r="B1029" t="str">
            <v>Tornillo autoroscante de8x1/2"</v>
          </cell>
          <cell r="C1029" t="str">
            <v>und</v>
          </cell>
          <cell r="E1029">
            <v>2</v>
          </cell>
          <cell r="F1029">
            <v>4.2000000000000003E-2</v>
          </cell>
          <cell r="G1029">
            <v>0.08</v>
          </cell>
        </row>
        <row r="1030">
          <cell r="A1030" t="str">
            <v>2,03,17</v>
          </cell>
          <cell r="B1030" t="str">
            <v>Pegamento de 1/4 de galón</v>
          </cell>
          <cell r="C1030" t="str">
            <v>und</v>
          </cell>
          <cell r="E1030">
            <v>0.01</v>
          </cell>
          <cell r="F1030">
            <v>6.3959999999999999</v>
          </cell>
          <cell r="G1030">
            <v>0.06</v>
          </cell>
        </row>
        <row r="1031">
          <cell r="A1031" t="str">
            <v>2,03,17</v>
          </cell>
          <cell r="B1031" t="str">
            <v>Mano de obra</v>
          </cell>
          <cell r="G1031">
            <v>4.13</v>
          </cell>
        </row>
        <row r="1032">
          <cell r="A1032" t="str">
            <v>2,03,17</v>
          </cell>
          <cell r="B1032" t="str">
            <v>Operario</v>
          </cell>
          <cell r="C1032" t="str">
            <v>HH</v>
          </cell>
          <cell r="D1032">
            <v>1</v>
          </cell>
          <cell r="E1032">
            <v>0.8</v>
          </cell>
          <cell r="F1032">
            <v>2.84</v>
          </cell>
          <cell r="G1032">
            <v>2.27</v>
          </cell>
          <cell r="H1032">
            <v>10</v>
          </cell>
        </row>
        <row r="1033">
          <cell r="A1033" t="str">
            <v>2,03,17</v>
          </cell>
          <cell r="B1033" t="str">
            <v>Peón</v>
          </cell>
          <cell r="C1033" t="str">
            <v>HH</v>
          </cell>
          <cell r="D1033">
            <v>1</v>
          </cell>
          <cell r="E1033">
            <v>0.8</v>
          </cell>
          <cell r="F1033">
            <v>2.3199999999999998</v>
          </cell>
          <cell r="G1033">
            <v>1.86</v>
          </cell>
          <cell r="H1033">
            <v>10</v>
          </cell>
        </row>
        <row r="1034">
          <cell r="A1034" t="str">
            <v>2,03,17</v>
          </cell>
          <cell r="B1034" t="str">
            <v>Equipos</v>
          </cell>
          <cell r="G1034">
            <v>0.96</v>
          </cell>
        </row>
        <row r="1035">
          <cell r="A1035" t="str">
            <v>2,03,17</v>
          </cell>
          <cell r="B1035" t="str">
            <v>Escalera</v>
          </cell>
          <cell r="C1035" t="str">
            <v>DIA</v>
          </cell>
          <cell r="D1035">
            <v>1</v>
          </cell>
          <cell r="E1035">
            <v>0.1</v>
          </cell>
          <cell r="F1035">
            <v>1</v>
          </cell>
          <cell r="G1035">
            <v>0.1</v>
          </cell>
        </row>
        <row r="1036">
          <cell r="A1036" t="str">
            <v>2,03,17</v>
          </cell>
          <cell r="B1036" t="str">
            <v>Taladro Hilti</v>
          </cell>
          <cell r="C1036" t="str">
            <v>DIA</v>
          </cell>
          <cell r="D1036">
            <v>1</v>
          </cell>
          <cell r="E1036">
            <v>0.1</v>
          </cell>
          <cell r="F1036">
            <v>6.5</v>
          </cell>
          <cell r="G1036">
            <v>0.65</v>
          </cell>
        </row>
        <row r="1037">
          <cell r="A1037" t="str">
            <v>2,03,17</v>
          </cell>
          <cell r="B1037" t="str">
            <v>Desgaste de herramientas</v>
          </cell>
          <cell r="C1037" t="str">
            <v>%MO</v>
          </cell>
          <cell r="E1037">
            <v>0.05</v>
          </cell>
          <cell r="F1037">
            <v>4.13</v>
          </cell>
          <cell r="G1037">
            <v>0.21</v>
          </cell>
        </row>
        <row r="1038">
          <cell r="A1038" t="str">
            <v>3,01,01</v>
          </cell>
          <cell r="B1038" t="str">
            <v>Luminaria Josfel Synto LRC 2x40w. TCL-E</v>
          </cell>
          <cell r="F1038" t="str">
            <v>(und)</v>
          </cell>
          <cell r="G1038">
            <v>76.69</v>
          </cell>
        </row>
        <row r="1039">
          <cell r="A1039" t="str">
            <v>3,01,01</v>
          </cell>
          <cell r="C1039" t="str">
            <v>und.</v>
          </cell>
          <cell r="D1039" t="str">
            <v>cuad.</v>
          </cell>
          <cell r="E1039" t="str">
            <v>cant.</v>
          </cell>
          <cell r="F1039" t="str">
            <v>prec. $</v>
          </cell>
          <cell r="G1039" t="str">
            <v>parcial $</v>
          </cell>
        </row>
        <row r="1040">
          <cell r="A1040" t="str">
            <v>3,01,01</v>
          </cell>
          <cell r="B1040" t="str">
            <v>Materiales</v>
          </cell>
          <cell r="G1040">
            <v>71.600000000000009</v>
          </cell>
        </row>
        <row r="1041">
          <cell r="A1041" t="str">
            <v>3,01,01</v>
          </cell>
          <cell r="B1041" t="str">
            <v>Luminaria Josfel Synto LRC 2x40w. TCL-E</v>
          </cell>
          <cell r="C1041" t="str">
            <v>und</v>
          </cell>
          <cell r="E1041">
            <v>1</v>
          </cell>
          <cell r="F1041">
            <v>67</v>
          </cell>
          <cell r="G1041">
            <v>67</v>
          </cell>
        </row>
        <row r="1042">
          <cell r="A1042" t="str">
            <v>3,01,01</v>
          </cell>
          <cell r="B1042" t="str">
            <v>Clavo hilti X-DW 27 MX + fulminante</v>
          </cell>
          <cell r="C1042" t="str">
            <v>und</v>
          </cell>
          <cell r="E1042">
            <v>4</v>
          </cell>
          <cell r="F1042">
            <v>0.27</v>
          </cell>
          <cell r="G1042">
            <v>1.08</v>
          </cell>
        </row>
        <row r="1043">
          <cell r="A1043" t="str">
            <v>3,01,01</v>
          </cell>
          <cell r="B1043" t="str">
            <v>Alambre galvanizado N° 16 AWG</v>
          </cell>
          <cell r="C1043" t="str">
            <v>ml</v>
          </cell>
          <cell r="E1043">
            <v>2.4</v>
          </cell>
          <cell r="F1043">
            <v>0.13</v>
          </cell>
          <cell r="G1043">
            <v>0.31</v>
          </cell>
        </row>
        <row r="1044">
          <cell r="A1044" t="str">
            <v>3,01,01</v>
          </cell>
          <cell r="B1044" t="str">
            <v>Tapa ciega Octogonal de F°G°</v>
          </cell>
          <cell r="C1044" t="str">
            <v>und</v>
          </cell>
          <cell r="E1044">
            <v>1</v>
          </cell>
          <cell r="F1044">
            <v>0.45</v>
          </cell>
          <cell r="G1044">
            <v>0.45</v>
          </cell>
        </row>
        <row r="1045">
          <cell r="A1045" t="str">
            <v>3,01,01</v>
          </cell>
          <cell r="B1045" t="str">
            <v>Tuberia flexible de PVC de 15 mm</v>
          </cell>
          <cell r="C1045" t="str">
            <v>ml</v>
          </cell>
          <cell r="E1045">
            <v>1</v>
          </cell>
          <cell r="F1045">
            <v>0.63</v>
          </cell>
          <cell r="G1045">
            <v>0.63</v>
          </cell>
        </row>
        <row r="1046">
          <cell r="A1046" t="str">
            <v>3,01,01</v>
          </cell>
          <cell r="B1046" t="str">
            <v>Conector de PVC para tuberia flexible de 15mm</v>
          </cell>
          <cell r="C1046" t="str">
            <v>und</v>
          </cell>
          <cell r="E1046">
            <v>1</v>
          </cell>
          <cell r="F1046">
            <v>0.98</v>
          </cell>
          <cell r="G1046">
            <v>0.98</v>
          </cell>
        </row>
        <row r="1047">
          <cell r="A1047" t="str">
            <v>3,01,01</v>
          </cell>
          <cell r="B1047" t="str">
            <v>Cable de 2.5 THW</v>
          </cell>
          <cell r="C1047" t="str">
            <v>ml</v>
          </cell>
          <cell r="E1047">
            <v>3.6</v>
          </cell>
          <cell r="F1047">
            <v>0.20799999999999999</v>
          </cell>
          <cell r="G1047">
            <v>0.75</v>
          </cell>
        </row>
        <row r="1048">
          <cell r="A1048" t="str">
            <v>3,01,01</v>
          </cell>
          <cell r="B1048" t="str">
            <v>Cinta aislante de 3/4" x 20 m.</v>
          </cell>
          <cell r="C1048" t="str">
            <v>und</v>
          </cell>
          <cell r="E1048">
            <v>0.06</v>
          </cell>
          <cell r="F1048">
            <v>2.5</v>
          </cell>
          <cell r="G1048">
            <v>0.15</v>
          </cell>
        </row>
        <row r="1049">
          <cell r="A1049" t="str">
            <v>3,01,01</v>
          </cell>
          <cell r="B1049" t="str">
            <v>Cinta autovulcanizante de 3/4" x 20 m. 3M</v>
          </cell>
          <cell r="C1049" t="str">
            <v>und</v>
          </cell>
          <cell r="E1049">
            <v>0.04</v>
          </cell>
          <cell r="F1049">
            <v>6.27</v>
          </cell>
          <cell r="G1049">
            <v>0.25</v>
          </cell>
        </row>
        <row r="1050">
          <cell r="A1050" t="str">
            <v>3,01,01</v>
          </cell>
          <cell r="B1050" t="str">
            <v>Mano de obra</v>
          </cell>
          <cell r="G1050">
            <v>4.13</v>
          </cell>
        </row>
        <row r="1051">
          <cell r="A1051" t="str">
            <v>3,01,01</v>
          </cell>
          <cell r="B1051" t="str">
            <v>Operario</v>
          </cell>
          <cell r="C1051" t="str">
            <v>HH</v>
          </cell>
          <cell r="D1051">
            <v>1</v>
          </cell>
          <cell r="E1051">
            <v>0.8</v>
          </cell>
          <cell r="F1051">
            <v>2.84</v>
          </cell>
          <cell r="G1051">
            <v>2.27</v>
          </cell>
          <cell r="H1051">
            <v>10</v>
          </cell>
        </row>
        <row r="1052">
          <cell r="A1052" t="str">
            <v>3,01,01</v>
          </cell>
          <cell r="B1052" t="str">
            <v>Peón</v>
          </cell>
          <cell r="C1052" t="str">
            <v>HH</v>
          </cell>
          <cell r="D1052">
            <v>1</v>
          </cell>
          <cell r="E1052">
            <v>0.8</v>
          </cell>
          <cell r="F1052">
            <v>2.3199999999999998</v>
          </cell>
          <cell r="G1052">
            <v>1.86</v>
          </cell>
          <cell r="H1052">
            <v>10</v>
          </cell>
        </row>
        <row r="1053">
          <cell r="A1053" t="str">
            <v>3,01,01</v>
          </cell>
          <cell r="B1053" t="str">
            <v>Equipos</v>
          </cell>
          <cell r="G1053">
            <v>0.96</v>
          </cell>
        </row>
        <row r="1054">
          <cell r="A1054" t="str">
            <v>3,01,01</v>
          </cell>
          <cell r="B1054" t="str">
            <v>Escalera</v>
          </cell>
          <cell r="C1054" t="str">
            <v>DIA</v>
          </cell>
          <cell r="D1054">
            <v>1</v>
          </cell>
          <cell r="E1054">
            <v>0.1</v>
          </cell>
          <cell r="F1054">
            <v>1</v>
          </cell>
          <cell r="G1054">
            <v>0.1</v>
          </cell>
        </row>
        <row r="1055">
          <cell r="A1055" t="str">
            <v>3,01,01</v>
          </cell>
          <cell r="B1055" t="str">
            <v>Pistolade disparo Hilti</v>
          </cell>
          <cell r="C1055" t="str">
            <v>DIA</v>
          </cell>
          <cell r="D1055">
            <v>1</v>
          </cell>
          <cell r="E1055">
            <v>0.1</v>
          </cell>
          <cell r="F1055">
            <v>6.5</v>
          </cell>
          <cell r="G1055">
            <v>0.65</v>
          </cell>
        </row>
        <row r="1056">
          <cell r="A1056" t="str">
            <v>3,01,01</v>
          </cell>
          <cell r="B1056" t="str">
            <v>Desgaste de herramientas</v>
          </cell>
          <cell r="C1056" t="str">
            <v>%MO</v>
          </cell>
          <cell r="E1056">
            <v>0.05</v>
          </cell>
          <cell r="F1056">
            <v>4.13</v>
          </cell>
          <cell r="G1056">
            <v>0.21</v>
          </cell>
        </row>
        <row r="1057">
          <cell r="A1057" t="str">
            <v>3,01,02</v>
          </cell>
          <cell r="B1057" t="str">
            <v>Luminaria Josfel Synto LRC 2x40w. TCL-E c/balastro para luz de emergencia</v>
          </cell>
          <cell r="F1057" t="str">
            <v>(und)</v>
          </cell>
          <cell r="G1057">
            <v>206.69</v>
          </cell>
        </row>
        <row r="1058">
          <cell r="A1058" t="str">
            <v>3,01,02</v>
          </cell>
          <cell r="C1058" t="str">
            <v>und.</v>
          </cell>
          <cell r="D1058" t="str">
            <v>cuad.</v>
          </cell>
          <cell r="E1058" t="str">
            <v>cant.</v>
          </cell>
          <cell r="F1058" t="str">
            <v>prec. $</v>
          </cell>
          <cell r="G1058" t="str">
            <v>parcial $</v>
          </cell>
        </row>
        <row r="1059">
          <cell r="A1059" t="str">
            <v>3,01,02</v>
          </cell>
          <cell r="B1059" t="str">
            <v>Materiales</v>
          </cell>
          <cell r="G1059">
            <v>201.6</v>
          </cell>
        </row>
        <row r="1060">
          <cell r="A1060" t="str">
            <v>3,01,02</v>
          </cell>
          <cell r="B1060" t="str">
            <v>Luminaria Josfel Synto LRC 2x40w. TCL-E c/balastro para luz de emergencia</v>
          </cell>
          <cell r="C1060" t="str">
            <v>und</v>
          </cell>
          <cell r="E1060">
            <v>1</v>
          </cell>
          <cell r="F1060">
            <v>197</v>
          </cell>
          <cell r="G1060">
            <v>197</v>
          </cell>
        </row>
        <row r="1061">
          <cell r="A1061" t="str">
            <v>3,01,02</v>
          </cell>
          <cell r="B1061" t="str">
            <v>Clavo hilti X-DW 27 MX + fulminante</v>
          </cell>
          <cell r="C1061" t="str">
            <v>und</v>
          </cell>
          <cell r="E1061">
            <v>4</v>
          </cell>
          <cell r="F1061">
            <v>0.27</v>
          </cell>
          <cell r="G1061">
            <v>1.08</v>
          </cell>
        </row>
        <row r="1062">
          <cell r="A1062" t="str">
            <v>3,01,02</v>
          </cell>
          <cell r="B1062" t="str">
            <v>Alambre galvanizado N° 16 AWG</v>
          </cell>
          <cell r="C1062" t="str">
            <v>ml</v>
          </cell>
          <cell r="E1062">
            <v>2.4</v>
          </cell>
          <cell r="F1062">
            <v>0.13</v>
          </cell>
          <cell r="G1062">
            <v>0.31</v>
          </cell>
        </row>
        <row r="1063">
          <cell r="A1063" t="str">
            <v>3,01,02</v>
          </cell>
          <cell r="B1063" t="str">
            <v>Tapa ciega Octogonal de F°G°</v>
          </cell>
          <cell r="C1063" t="str">
            <v>und</v>
          </cell>
          <cell r="E1063">
            <v>1</v>
          </cell>
          <cell r="F1063">
            <v>0.45</v>
          </cell>
          <cell r="G1063">
            <v>0.45</v>
          </cell>
        </row>
        <row r="1064">
          <cell r="A1064" t="str">
            <v>3,01,02</v>
          </cell>
          <cell r="B1064" t="str">
            <v>Tuberia flexible de PVC de 15 mm</v>
          </cell>
          <cell r="C1064" t="str">
            <v>ml</v>
          </cell>
          <cell r="E1064">
            <v>1</v>
          </cell>
          <cell r="F1064">
            <v>0.63</v>
          </cell>
          <cell r="G1064">
            <v>0.63</v>
          </cell>
        </row>
        <row r="1065">
          <cell r="A1065" t="str">
            <v>3,01,02</v>
          </cell>
          <cell r="B1065" t="str">
            <v>Conector de PVC para tuberia flexible de 15mm</v>
          </cell>
          <cell r="C1065" t="str">
            <v>und</v>
          </cell>
          <cell r="E1065">
            <v>1</v>
          </cell>
          <cell r="F1065">
            <v>0.98</v>
          </cell>
          <cell r="G1065">
            <v>0.98</v>
          </cell>
        </row>
        <row r="1066">
          <cell r="A1066" t="str">
            <v>3,01,02</v>
          </cell>
          <cell r="B1066" t="str">
            <v>Cable de 2.5 THW</v>
          </cell>
          <cell r="C1066" t="str">
            <v>ml</v>
          </cell>
          <cell r="E1066">
            <v>3.6</v>
          </cell>
          <cell r="F1066">
            <v>0.20799999999999999</v>
          </cell>
          <cell r="G1066">
            <v>0.75</v>
          </cell>
        </row>
        <row r="1067">
          <cell r="A1067" t="str">
            <v>3,01,02</v>
          </cell>
          <cell r="B1067" t="str">
            <v>Cinta aislante de 3/4" x 20 m.</v>
          </cell>
          <cell r="C1067" t="str">
            <v>und</v>
          </cell>
          <cell r="E1067">
            <v>0.06</v>
          </cell>
          <cell r="F1067">
            <v>2.5</v>
          </cell>
          <cell r="G1067">
            <v>0.15</v>
          </cell>
        </row>
        <row r="1068">
          <cell r="A1068" t="str">
            <v>3,01,02</v>
          </cell>
          <cell r="B1068" t="str">
            <v>Cinta autovulcanizante de 3/4" x 20 m. 3M</v>
          </cell>
          <cell r="C1068" t="str">
            <v>und</v>
          </cell>
          <cell r="E1068">
            <v>0.04</v>
          </cell>
          <cell r="F1068">
            <v>6.27</v>
          </cell>
          <cell r="G1068">
            <v>0.25</v>
          </cell>
        </row>
        <row r="1069">
          <cell r="A1069" t="str">
            <v>3,01,02</v>
          </cell>
          <cell r="B1069" t="str">
            <v>Mano de obra</v>
          </cell>
          <cell r="G1069">
            <v>4.13</v>
          </cell>
        </row>
        <row r="1070">
          <cell r="A1070" t="str">
            <v>3,01,02</v>
          </cell>
          <cell r="B1070" t="str">
            <v>Operario</v>
          </cell>
          <cell r="C1070" t="str">
            <v>HH</v>
          </cell>
          <cell r="D1070">
            <v>1</v>
          </cell>
          <cell r="E1070">
            <v>0.8</v>
          </cell>
          <cell r="F1070">
            <v>2.84</v>
          </cell>
          <cell r="G1070">
            <v>2.27</v>
          </cell>
          <cell r="H1070">
            <v>10</v>
          </cell>
        </row>
        <row r="1071">
          <cell r="A1071" t="str">
            <v>3,01,02</v>
          </cell>
          <cell r="B1071" t="str">
            <v>Peón</v>
          </cell>
          <cell r="C1071" t="str">
            <v>HH</v>
          </cell>
          <cell r="D1071">
            <v>1</v>
          </cell>
          <cell r="E1071">
            <v>0.8</v>
          </cell>
          <cell r="F1071">
            <v>2.3199999999999998</v>
          </cell>
          <cell r="G1071">
            <v>1.86</v>
          </cell>
          <cell r="H1071">
            <v>10</v>
          </cell>
        </row>
        <row r="1072">
          <cell r="A1072" t="str">
            <v>3,01,02</v>
          </cell>
          <cell r="B1072" t="str">
            <v>Equipos</v>
          </cell>
          <cell r="G1072">
            <v>0.96</v>
          </cell>
        </row>
        <row r="1073">
          <cell r="A1073" t="str">
            <v>3,01,02</v>
          </cell>
          <cell r="B1073" t="str">
            <v>Escalera</v>
          </cell>
          <cell r="C1073" t="str">
            <v>DIA</v>
          </cell>
          <cell r="D1073">
            <v>1</v>
          </cell>
          <cell r="E1073">
            <v>0.1</v>
          </cell>
          <cell r="F1073">
            <v>1</v>
          </cell>
          <cell r="G1073">
            <v>0.1</v>
          </cell>
        </row>
        <row r="1074">
          <cell r="A1074" t="str">
            <v>3,01,02</v>
          </cell>
          <cell r="B1074" t="str">
            <v>Pistolade disparo Hilti</v>
          </cell>
          <cell r="C1074" t="str">
            <v>DIA</v>
          </cell>
          <cell r="D1074">
            <v>1</v>
          </cell>
          <cell r="E1074">
            <v>0.1</v>
          </cell>
          <cell r="F1074">
            <v>6.5</v>
          </cell>
          <cell r="G1074">
            <v>0.65</v>
          </cell>
        </row>
        <row r="1075">
          <cell r="A1075" t="str">
            <v>3,01,02</v>
          </cell>
          <cell r="B1075" t="str">
            <v>Desgaste de herramientas</v>
          </cell>
          <cell r="C1075" t="str">
            <v>%MO</v>
          </cell>
          <cell r="E1075">
            <v>0.05</v>
          </cell>
          <cell r="F1075">
            <v>4.13</v>
          </cell>
          <cell r="G1075">
            <v>0.21</v>
          </cell>
        </row>
        <row r="1076">
          <cell r="A1076" t="str">
            <v>3,01,03</v>
          </cell>
          <cell r="B1076" t="str">
            <v>Luminaria Josfel Synto LRC 1x40w. TCL-E c/balastro para luz de emergencia</v>
          </cell>
          <cell r="F1076" t="str">
            <v>(und)</v>
          </cell>
          <cell r="G1076">
            <v>206.69</v>
          </cell>
        </row>
        <row r="1077">
          <cell r="A1077" t="str">
            <v>3,01,03</v>
          </cell>
          <cell r="C1077" t="str">
            <v>Uni.</v>
          </cell>
          <cell r="D1077" t="str">
            <v>Cuad.</v>
          </cell>
          <cell r="E1077" t="str">
            <v>Cant.</v>
          </cell>
          <cell r="F1077" t="str">
            <v>Precio $</v>
          </cell>
          <cell r="G1077" t="str">
            <v>Sub total</v>
          </cell>
        </row>
        <row r="1078">
          <cell r="A1078" t="str">
            <v>3,01,03</v>
          </cell>
          <cell r="B1078" t="str">
            <v>Materiales</v>
          </cell>
          <cell r="G1078">
            <v>201.6</v>
          </cell>
        </row>
        <row r="1079">
          <cell r="A1079" t="str">
            <v>3,01,03</v>
          </cell>
          <cell r="B1079" t="str">
            <v>Luminaria Josfel Synto LRC 1x40w. TCL-E c/balastro para luz de emergencia</v>
          </cell>
          <cell r="C1079" t="str">
            <v>und</v>
          </cell>
          <cell r="E1079">
            <v>1</v>
          </cell>
          <cell r="F1079">
            <v>197</v>
          </cell>
          <cell r="G1079">
            <v>197</v>
          </cell>
        </row>
        <row r="1080">
          <cell r="A1080" t="str">
            <v>3,01,03</v>
          </cell>
          <cell r="B1080" t="str">
            <v>Clavo hilti X-DW 27 MX + fulminante</v>
          </cell>
          <cell r="C1080" t="str">
            <v>und</v>
          </cell>
          <cell r="E1080">
            <v>4</v>
          </cell>
          <cell r="F1080">
            <v>0.27</v>
          </cell>
          <cell r="G1080">
            <v>1.08</v>
          </cell>
        </row>
        <row r="1081">
          <cell r="A1081" t="str">
            <v>3,01,03</v>
          </cell>
          <cell r="B1081" t="str">
            <v>Alambre galvanizado N° 16 AWG</v>
          </cell>
          <cell r="C1081" t="str">
            <v>ml</v>
          </cell>
          <cell r="E1081">
            <v>2.4</v>
          </cell>
          <cell r="F1081">
            <v>0.13</v>
          </cell>
          <cell r="G1081">
            <v>0.31</v>
          </cell>
        </row>
        <row r="1082">
          <cell r="A1082" t="str">
            <v>3,01,03</v>
          </cell>
          <cell r="B1082" t="str">
            <v>Tapa ciega Octogonal de F°G°</v>
          </cell>
          <cell r="C1082" t="str">
            <v>und</v>
          </cell>
          <cell r="E1082">
            <v>1</v>
          </cell>
          <cell r="F1082">
            <v>0.45</v>
          </cell>
          <cell r="G1082">
            <v>0.45</v>
          </cell>
        </row>
        <row r="1083">
          <cell r="A1083" t="str">
            <v>3,01,03</v>
          </cell>
          <cell r="B1083" t="str">
            <v>Tuberia flexible de PVC de 15 mm</v>
          </cell>
          <cell r="C1083" t="str">
            <v>ml</v>
          </cell>
          <cell r="E1083">
            <v>1</v>
          </cell>
          <cell r="F1083">
            <v>0.63</v>
          </cell>
          <cell r="G1083">
            <v>0.63</v>
          </cell>
        </row>
        <row r="1084">
          <cell r="A1084" t="str">
            <v>3,01,03</v>
          </cell>
          <cell r="B1084" t="str">
            <v>Conector de PVC para tuberia flexible de 15mm</v>
          </cell>
          <cell r="C1084" t="str">
            <v>und</v>
          </cell>
          <cell r="E1084">
            <v>1</v>
          </cell>
          <cell r="F1084">
            <v>0.98</v>
          </cell>
          <cell r="G1084">
            <v>0.98</v>
          </cell>
        </row>
        <row r="1085">
          <cell r="A1085" t="str">
            <v>3,01,03</v>
          </cell>
          <cell r="B1085" t="str">
            <v>Cable de 2.5 THW</v>
          </cell>
          <cell r="C1085" t="str">
            <v>ml</v>
          </cell>
          <cell r="E1085">
            <v>3.6</v>
          </cell>
          <cell r="F1085">
            <v>0.20799999999999999</v>
          </cell>
          <cell r="G1085">
            <v>0.75</v>
          </cell>
        </row>
        <row r="1086">
          <cell r="A1086" t="str">
            <v>3,01,03</v>
          </cell>
          <cell r="B1086" t="str">
            <v>Cinta aislante de 3/4" x 20 m.</v>
          </cell>
          <cell r="C1086" t="str">
            <v>und</v>
          </cell>
          <cell r="E1086">
            <v>0.06</v>
          </cell>
          <cell r="F1086">
            <v>2.5</v>
          </cell>
          <cell r="G1086">
            <v>0.15</v>
          </cell>
        </row>
        <row r="1087">
          <cell r="A1087" t="str">
            <v>3,01,03</v>
          </cell>
          <cell r="B1087" t="str">
            <v>Cinta autovulcanizante de 3/4" x 20 m. 3M</v>
          </cell>
          <cell r="C1087" t="str">
            <v>und</v>
          </cell>
          <cell r="E1087">
            <v>0.04</v>
          </cell>
          <cell r="F1087">
            <v>6.27</v>
          </cell>
          <cell r="G1087">
            <v>0.25</v>
          </cell>
        </row>
        <row r="1088">
          <cell r="A1088" t="str">
            <v>3,01,03</v>
          </cell>
          <cell r="B1088" t="str">
            <v>Mano de obra</v>
          </cell>
          <cell r="G1088">
            <v>4.13</v>
          </cell>
        </row>
        <row r="1089">
          <cell r="A1089" t="str">
            <v>3,01,03</v>
          </cell>
          <cell r="B1089" t="str">
            <v>Operario</v>
          </cell>
          <cell r="C1089" t="str">
            <v>HH</v>
          </cell>
          <cell r="D1089">
            <v>1</v>
          </cell>
          <cell r="E1089">
            <v>0.8</v>
          </cell>
          <cell r="F1089">
            <v>2.84</v>
          </cell>
          <cell r="G1089">
            <v>2.27</v>
          </cell>
          <cell r="H1089">
            <v>10</v>
          </cell>
        </row>
        <row r="1090">
          <cell r="A1090" t="str">
            <v>3,01,03</v>
          </cell>
          <cell r="B1090" t="str">
            <v>Peón</v>
          </cell>
          <cell r="C1090" t="str">
            <v>HH</v>
          </cell>
          <cell r="D1090">
            <v>1</v>
          </cell>
          <cell r="E1090">
            <v>0.8</v>
          </cell>
          <cell r="F1090">
            <v>2.3199999999999998</v>
          </cell>
          <cell r="G1090">
            <v>1.86</v>
          </cell>
          <cell r="H1090">
            <v>10</v>
          </cell>
        </row>
        <row r="1091">
          <cell r="A1091" t="str">
            <v>3,01,03</v>
          </cell>
          <cell r="B1091" t="str">
            <v>Equipos</v>
          </cell>
          <cell r="G1091">
            <v>0.96</v>
          </cell>
        </row>
        <row r="1092">
          <cell r="A1092" t="str">
            <v>3,01,03</v>
          </cell>
          <cell r="B1092" t="str">
            <v>Escalera</v>
          </cell>
          <cell r="C1092" t="str">
            <v>DIA</v>
          </cell>
          <cell r="D1092">
            <v>1</v>
          </cell>
          <cell r="E1092">
            <v>0.1</v>
          </cell>
          <cell r="F1092">
            <v>1</v>
          </cell>
          <cell r="G1092">
            <v>0.1</v>
          </cell>
        </row>
        <row r="1093">
          <cell r="A1093" t="str">
            <v>3,01,03</v>
          </cell>
          <cell r="B1093" t="str">
            <v>Pistolade disparo Hilti</v>
          </cell>
          <cell r="C1093" t="str">
            <v>DIA</v>
          </cell>
          <cell r="D1093">
            <v>1</v>
          </cell>
          <cell r="E1093">
            <v>0.1</v>
          </cell>
          <cell r="F1093">
            <v>6.5</v>
          </cell>
          <cell r="G1093">
            <v>0.65</v>
          </cell>
        </row>
        <row r="1094">
          <cell r="A1094" t="str">
            <v>3,01,03</v>
          </cell>
          <cell r="B1094" t="str">
            <v>Desgaste de herramientas</v>
          </cell>
          <cell r="C1094" t="str">
            <v>%MO</v>
          </cell>
          <cell r="E1094">
            <v>0.05</v>
          </cell>
          <cell r="F1094">
            <v>4.13</v>
          </cell>
          <cell r="G1094">
            <v>0.21</v>
          </cell>
        </row>
        <row r="1095">
          <cell r="A1095" t="str">
            <v>3,01,04</v>
          </cell>
          <cell r="B1095" t="str">
            <v>Luminaria Spot optos CHF 2x18w</v>
          </cell>
          <cell r="F1095" t="str">
            <v>(und)</v>
          </cell>
          <cell r="G1095">
            <v>82.779999999999987</v>
          </cell>
        </row>
        <row r="1096">
          <cell r="A1096" t="str">
            <v>3,01,04</v>
          </cell>
          <cell r="C1096" t="str">
            <v>und.</v>
          </cell>
          <cell r="D1096" t="str">
            <v>cuad.</v>
          </cell>
          <cell r="E1096" t="str">
            <v>cant.</v>
          </cell>
          <cell r="F1096" t="str">
            <v>prec. $</v>
          </cell>
          <cell r="G1096" t="str">
            <v>parcial $</v>
          </cell>
        </row>
        <row r="1097">
          <cell r="A1097" t="str">
            <v>3,01,04</v>
          </cell>
          <cell r="B1097" t="str">
            <v>Materiales</v>
          </cell>
          <cell r="G1097">
            <v>77.69</v>
          </cell>
        </row>
        <row r="1098">
          <cell r="A1098" t="str">
            <v>3,01,04</v>
          </cell>
          <cell r="B1098" t="str">
            <v>Luminaria Spot optos CHF 2x18w</v>
          </cell>
          <cell r="C1098" t="str">
            <v>und</v>
          </cell>
          <cell r="E1098">
            <v>1</v>
          </cell>
          <cell r="F1098">
            <v>74</v>
          </cell>
          <cell r="G1098">
            <v>74</v>
          </cell>
        </row>
        <row r="1099">
          <cell r="A1099" t="str">
            <v>3,01,04</v>
          </cell>
          <cell r="B1099" t="str">
            <v>Clavo hilti X-DW 27 MX + fulminante</v>
          </cell>
          <cell r="C1099" t="str">
            <v>und</v>
          </cell>
          <cell r="E1099">
            <v>1.2</v>
          </cell>
          <cell r="F1099">
            <v>0.27</v>
          </cell>
          <cell r="G1099">
            <v>0.32</v>
          </cell>
        </row>
        <row r="1100">
          <cell r="A1100" t="str">
            <v>3,01,04</v>
          </cell>
          <cell r="B1100" t="str">
            <v>Alambre galvanizado N° 16 AWG</v>
          </cell>
          <cell r="C1100" t="str">
            <v>ml</v>
          </cell>
          <cell r="E1100">
            <v>1.2</v>
          </cell>
          <cell r="F1100">
            <v>0.13</v>
          </cell>
          <cell r="G1100">
            <v>0.16</v>
          </cell>
        </row>
        <row r="1101">
          <cell r="A1101" t="str">
            <v>3,01,04</v>
          </cell>
          <cell r="B1101" t="str">
            <v>Tapa ciega Octogonal de F°G°</v>
          </cell>
          <cell r="C1101" t="str">
            <v>und</v>
          </cell>
          <cell r="E1101">
            <v>1</v>
          </cell>
          <cell r="F1101">
            <v>0.45</v>
          </cell>
          <cell r="G1101">
            <v>0.45</v>
          </cell>
        </row>
        <row r="1102">
          <cell r="A1102" t="str">
            <v>3,01,04</v>
          </cell>
          <cell r="B1102" t="str">
            <v>Tuberia flexible de PVC de 15 mm</v>
          </cell>
          <cell r="C1102" t="str">
            <v>ml</v>
          </cell>
          <cell r="E1102">
            <v>1</v>
          </cell>
          <cell r="F1102">
            <v>0.63</v>
          </cell>
          <cell r="G1102">
            <v>0.63</v>
          </cell>
        </row>
        <row r="1103">
          <cell r="A1103" t="str">
            <v>3,01,04</v>
          </cell>
          <cell r="B1103" t="str">
            <v>Conector de PVC para tuberia flexible de 15mm</v>
          </cell>
          <cell r="C1103" t="str">
            <v>und</v>
          </cell>
          <cell r="E1103">
            <v>1</v>
          </cell>
          <cell r="F1103">
            <v>0.98</v>
          </cell>
          <cell r="G1103">
            <v>0.98</v>
          </cell>
        </row>
        <row r="1104">
          <cell r="A1104" t="str">
            <v>3,01,04</v>
          </cell>
          <cell r="B1104" t="str">
            <v>Cable de 2.5 THW</v>
          </cell>
          <cell r="C1104" t="str">
            <v>ml</v>
          </cell>
          <cell r="E1104">
            <v>3.6</v>
          </cell>
          <cell r="F1104">
            <v>0.20799999999999999</v>
          </cell>
          <cell r="G1104">
            <v>0.75</v>
          </cell>
        </row>
        <row r="1105">
          <cell r="A1105" t="str">
            <v>3,01,04</v>
          </cell>
          <cell r="B1105" t="str">
            <v>Cinta aislante de 3/4" x 20 m.</v>
          </cell>
          <cell r="C1105" t="str">
            <v>und</v>
          </cell>
          <cell r="E1105">
            <v>0.06</v>
          </cell>
          <cell r="F1105">
            <v>2.5</v>
          </cell>
          <cell r="G1105">
            <v>0.15</v>
          </cell>
        </row>
        <row r="1106">
          <cell r="A1106" t="str">
            <v>3,01,04</v>
          </cell>
          <cell r="B1106" t="str">
            <v>Cinta autovulcanizante de 3/4" x 20 m. 3M</v>
          </cell>
          <cell r="C1106" t="str">
            <v>und</v>
          </cell>
          <cell r="E1106">
            <v>0.04</v>
          </cell>
          <cell r="F1106">
            <v>6.27</v>
          </cell>
          <cell r="G1106">
            <v>0.25</v>
          </cell>
        </row>
        <row r="1107">
          <cell r="A1107" t="str">
            <v>3,01,04</v>
          </cell>
          <cell r="B1107" t="str">
            <v>Mano de obra</v>
          </cell>
          <cell r="G1107">
            <v>4.13</v>
          </cell>
        </row>
        <row r="1108">
          <cell r="A1108" t="str">
            <v>3,01,04</v>
          </cell>
          <cell r="B1108" t="str">
            <v>Operario</v>
          </cell>
          <cell r="C1108" t="str">
            <v>HH</v>
          </cell>
          <cell r="D1108">
            <v>1</v>
          </cell>
          <cell r="E1108">
            <v>0.8</v>
          </cell>
          <cell r="F1108">
            <v>2.84</v>
          </cell>
          <cell r="G1108">
            <v>2.27</v>
          </cell>
          <cell r="H1108">
            <v>10</v>
          </cell>
        </row>
        <row r="1109">
          <cell r="A1109" t="str">
            <v>3,01,04</v>
          </cell>
          <cell r="B1109" t="str">
            <v>Peón</v>
          </cell>
          <cell r="C1109" t="str">
            <v>HH</v>
          </cell>
          <cell r="D1109">
            <v>1</v>
          </cell>
          <cell r="E1109">
            <v>0.8</v>
          </cell>
          <cell r="F1109">
            <v>2.3199999999999998</v>
          </cell>
          <cell r="G1109">
            <v>1.86</v>
          </cell>
          <cell r="H1109">
            <v>10</v>
          </cell>
        </row>
        <row r="1110">
          <cell r="A1110" t="str">
            <v>3,01,04</v>
          </cell>
          <cell r="B1110" t="str">
            <v>Equipos</v>
          </cell>
          <cell r="G1110">
            <v>0.96</v>
          </cell>
        </row>
        <row r="1111">
          <cell r="A1111" t="str">
            <v>3,01,04</v>
          </cell>
          <cell r="B1111" t="str">
            <v>Escalera</v>
          </cell>
          <cell r="C1111" t="str">
            <v>DIA</v>
          </cell>
          <cell r="D1111">
            <v>1</v>
          </cell>
          <cell r="E1111">
            <v>0.1</v>
          </cell>
          <cell r="F1111">
            <v>1</v>
          </cell>
          <cell r="G1111">
            <v>0.1</v>
          </cell>
        </row>
        <row r="1112">
          <cell r="A1112" t="str">
            <v>3,01,04</v>
          </cell>
          <cell r="B1112" t="str">
            <v>Pistolade disparo Hilti</v>
          </cell>
          <cell r="C1112" t="str">
            <v>DIA</v>
          </cell>
          <cell r="D1112">
            <v>1</v>
          </cell>
          <cell r="E1112">
            <v>0.1</v>
          </cell>
          <cell r="F1112">
            <v>6.5</v>
          </cell>
          <cell r="G1112">
            <v>0.65</v>
          </cell>
        </row>
        <row r="1113">
          <cell r="A1113" t="str">
            <v>3,01,04</v>
          </cell>
          <cell r="B1113" t="str">
            <v>Desgaste de herramientas</v>
          </cell>
          <cell r="C1113" t="str">
            <v>%MO</v>
          </cell>
          <cell r="E1113">
            <v>0.05</v>
          </cell>
          <cell r="F1113">
            <v>4.13</v>
          </cell>
          <cell r="G1113">
            <v>0.21</v>
          </cell>
        </row>
        <row r="1114">
          <cell r="A1114" t="str">
            <v>3,01,05</v>
          </cell>
          <cell r="B1114" t="str">
            <v>Luminaria Spot optos CHF 2x18w c/balastro para luz de emergencia</v>
          </cell>
          <cell r="F1114" t="str">
            <v>(und)</v>
          </cell>
          <cell r="G1114">
            <v>207.73</v>
          </cell>
        </row>
        <row r="1115">
          <cell r="A1115" t="str">
            <v>3,01,05</v>
          </cell>
          <cell r="C1115" t="str">
            <v>und.</v>
          </cell>
          <cell r="D1115" t="str">
            <v>cuad.</v>
          </cell>
          <cell r="E1115" t="str">
            <v>cant.</v>
          </cell>
          <cell r="F1115" t="str">
            <v>prec. $</v>
          </cell>
          <cell r="G1115" t="str">
            <v>parcial $</v>
          </cell>
        </row>
        <row r="1116">
          <cell r="A1116" t="str">
            <v>3,01,05</v>
          </cell>
          <cell r="B1116" t="str">
            <v>Materiales</v>
          </cell>
          <cell r="G1116">
            <v>202.64</v>
          </cell>
        </row>
        <row r="1117">
          <cell r="A1117" t="str">
            <v>3,01,05</v>
          </cell>
          <cell r="B1117" t="str">
            <v>Luminaria Spot optos CHF 2x18w c/balastro para luz de emergencia</v>
          </cell>
          <cell r="C1117" t="str">
            <v>und</v>
          </cell>
          <cell r="E1117">
            <v>1</v>
          </cell>
          <cell r="F1117">
            <v>199</v>
          </cell>
          <cell r="G1117">
            <v>199</v>
          </cell>
        </row>
        <row r="1118">
          <cell r="A1118" t="str">
            <v>3,01,05</v>
          </cell>
          <cell r="B1118" t="str">
            <v>Clavo hilti X-DW 27 MX + fulminante</v>
          </cell>
          <cell r="C1118" t="str">
            <v>und</v>
          </cell>
          <cell r="E1118">
            <v>1</v>
          </cell>
          <cell r="F1118">
            <v>0.27</v>
          </cell>
          <cell r="G1118">
            <v>0.27</v>
          </cell>
        </row>
        <row r="1119">
          <cell r="A1119" t="str">
            <v>3,01,05</v>
          </cell>
          <cell r="B1119" t="str">
            <v>Alambre galvanizado N° 16 AWG</v>
          </cell>
          <cell r="C1119" t="str">
            <v>ml</v>
          </cell>
          <cell r="E1119">
            <v>1.2</v>
          </cell>
          <cell r="F1119">
            <v>0.13</v>
          </cell>
          <cell r="G1119">
            <v>0.16</v>
          </cell>
        </row>
        <row r="1120">
          <cell r="A1120" t="str">
            <v>3,01,05</v>
          </cell>
          <cell r="B1120" t="str">
            <v>Tapa ciega Octogonal de F°G°</v>
          </cell>
          <cell r="C1120" t="str">
            <v>und</v>
          </cell>
          <cell r="E1120">
            <v>1</v>
          </cell>
          <cell r="F1120">
            <v>0.45</v>
          </cell>
          <cell r="G1120">
            <v>0.45</v>
          </cell>
        </row>
        <row r="1121">
          <cell r="A1121" t="str">
            <v>3,01,05</v>
          </cell>
          <cell r="B1121" t="str">
            <v>Tuberia flexible de PVC de 15 mm</v>
          </cell>
          <cell r="C1121" t="str">
            <v>ml</v>
          </cell>
          <cell r="E1121">
            <v>1</v>
          </cell>
          <cell r="F1121">
            <v>0.63</v>
          </cell>
          <cell r="G1121">
            <v>0.63</v>
          </cell>
        </row>
        <row r="1122">
          <cell r="A1122" t="str">
            <v>3,01,05</v>
          </cell>
          <cell r="B1122" t="str">
            <v>Conector de PVC para tuberia flexible de 15mm</v>
          </cell>
          <cell r="C1122" t="str">
            <v>und</v>
          </cell>
          <cell r="E1122">
            <v>1</v>
          </cell>
          <cell r="F1122">
            <v>0.98</v>
          </cell>
          <cell r="G1122">
            <v>0.98</v>
          </cell>
        </row>
        <row r="1123">
          <cell r="A1123" t="str">
            <v>3,01,05</v>
          </cell>
          <cell r="B1123" t="str">
            <v>Cable de 2.5 THW</v>
          </cell>
          <cell r="C1123" t="str">
            <v>ml</v>
          </cell>
          <cell r="E1123">
            <v>3.6</v>
          </cell>
          <cell r="F1123">
            <v>0.20799999999999999</v>
          </cell>
          <cell r="G1123">
            <v>0.75</v>
          </cell>
        </row>
        <row r="1124">
          <cell r="A1124" t="str">
            <v>3,01,05</v>
          </cell>
          <cell r="B1124" t="str">
            <v>Cinta aislante de 3/4" x 20 m.</v>
          </cell>
          <cell r="C1124" t="str">
            <v>und</v>
          </cell>
          <cell r="E1124">
            <v>0.06</v>
          </cell>
          <cell r="F1124">
            <v>2.5</v>
          </cell>
          <cell r="G1124">
            <v>0.15</v>
          </cell>
        </row>
        <row r="1125">
          <cell r="A1125" t="str">
            <v>3,01,05</v>
          </cell>
          <cell r="B1125" t="str">
            <v>Cinta autovulcanizante de 3/4" x 20 m. 3M</v>
          </cell>
          <cell r="C1125" t="str">
            <v>und</v>
          </cell>
          <cell r="E1125">
            <v>0.04</v>
          </cell>
          <cell r="F1125">
            <v>6.27</v>
          </cell>
          <cell r="G1125">
            <v>0.25</v>
          </cell>
        </row>
        <row r="1126">
          <cell r="A1126" t="str">
            <v>3,01,05</v>
          </cell>
          <cell r="B1126" t="str">
            <v>Mano de obra</v>
          </cell>
          <cell r="G1126">
            <v>4.13</v>
          </cell>
        </row>
        <row r="1127">
          <cell r="A1127" t="str">
            <v>3,01,05</v>
          </cell>
          <cell r="B1127" t="str">
            <v>Operario</v>
          </cell>
          <cell r="C1127" t="str">
            <v>HH</v>
          </cell>
          <cell r="D1127">
            <v>1</v>
          </cell>
          <cell r="E1127">
            <v>0.8</v>
          </cell>
          <cell r="F1127">
            <v>2.84</v>
          </cell>
          <cell r="G1127">
            <v>2.27</v>
          </cell>
          <cell r="H1127">
            <v>10</v>
          </cell>
        </row>
        <row r="1128">
          <cell r="A1128" t="str">
            <v>3,01,05</v>
          </cell>
          <cell r="B1128" t="str">
            <v>Peón</v>
          </cell>
          <cell r="C1128" t="str">
            <v>HH</v>
          </cell>
          <cell r="D1128">
            <v>1</v>
          </cell>
          <cell r="E1128">
            <v>0.8</v>
          </cell>
          <cell r="F1128">
            <v>2.3199999999999998</v>
          </cell>
          <cell r="G1128">
            <v>1.86</v>
          </cell>
          <cell r="H1128">
            <v>10</v>
          </cell>
        </row>
        <row r="1129">
          <cell r="A1129" t="str">
            <v>3,01,05</v>
          </cell>
          <cell r="B1129" t="str">
            <v>Equipos</v>
          </cell>
          <cell r="G1129">
            <v>0.96</v>
          </cell>
        </row>
        <row r="1130">
          <cell r="A1130" t="str">
            <v>3,01,05</v>
          </cell>
          <cell r="B1130" t="str">
            <v>Escalera</v>
          </cell>
          <cell r="C1130" t="str">
            <v>DIA</v>
          </cell>
          <cell r="D1130">
            <v>1</v>
          </cell>
          <cell r="E1130">
            <v>0.1</v>
          </cell>
          <cell r="F1130">
            <v>1</v>
          </cell>
          <cell r="G1130">
            <v>0.1</v>
          </cell>
        </row>
        <row r="1131">
          <cell r="A1131" t="str">
            <v>3,01,05</v>
          </cell>
          <cell r="B1131" t="str">
            <v>Pistolade disparo Hilti</v>
          </cell>
          <cell r="C1131" t="str">
            <v>DIA</v>
          </cell>
          <cell r="D1131">
            <v>1</v>
          </cell>
          <cell r="E1131">
            <v>0.1</v>
          </cell>
          <cell r="F1131">
            <v>6.5</v>
          </cell>
          <cell r="G1131">
            <v>0.65</v>
          </cell>
        </row>
        <row r="1132">
          <cell r="A1132" t="str">
            <v>3,01,05</v>
          </cell>
          <cell r="B1132" t="str">
            <v>Desgaste de herramientas</v>
          </cell>
          <cell r="C1132" t="str">
            <v>%MO</v>
          </cell>
          <cell r="E1132">
            <v>0.05</v>
          </cell>
          <cell r="F1132">
            <v>4.13</v>
          </cell>
          <cell r="G1132">
            <v>0.21</v>
          </cell>
        </row>
        <row r="1133">
          <cell r="A1133" t="str">
            <v>3,01,06</v>
          </cell>
          <cell r="B1133" t="str">
            <v>Dicroici fijo empotrable Slal 602</v>
          </cell>
          <cell r="F1133" t="str">
            <v>(und)</v>
          </cell>
          <cell r="G1133">
            <v>20.73</v>
          </cell>
        </row>
        <row r="1134">
          <cell r="A1134" t="str">
            <v>3,01,06</v>
          </cell>
          <cell r="C1134" t="str">
            <v>und.</v>
          </cell>
          <cell r="D1134" t="str">
            <v>cuad.</v>
          </cell>
          <cell r="E1134" t="str">
            <v>cant.</v>
          </cell>
          <cell r="F1134" t="str">
            <v>prec. $</v>
          </cell>
          <cell r="G1134" t="str">
            <v>parcial $</v>
          </cell>
        </row>
        <row r="1135">
          <cell r="A1135" t="str">
            <v>3,01,06</v>
          </cell>
          <cell r="B1135" t="str">
            <v>Materiales</v>
          </cell>
          <cell r="G1135">
            <v>15.64</v>
          </cell>
        </row>
        <row r="1136">
          <cell r="A1136" t="str">
            <v>3,01,06</v>
          </cell>
          <cell r="B1136" t="str">
            <v>Dicroici fijo empotrable Slal 602</v>
          </cell>
          <cell r="C1136" t="str">
            <v>und</v>
          </cell>
          <cell r="E1136">
            <v>1</v>
          </cell>
          <cell r="F1136">
            <v>12</v>
          </cell>
          <cell r="G1136">
            <v>12</v>
          </cell>
        </row>
        <row r="1137">
          <cell r="A1137" t="str">
            <v>3,01,06</v>
          </cell>
          <cell r="B1137" t="str">
            <v>Clavo hilti X-DW 27 MX + fulminante</v>
          </cell>
          <cell r="C1137" t="str">
            <v>und</v>
          </cell>
          <cell r="E1137">
            <v>1</v>
          </cell>
          <cell r="F1137">
            <v>0.27</v>
          </cell>
          <cell r="G1137">
            <v>0.27</v>
          </cell>
        </row>
        <row r="1138">
          <cell r="A1138" t="str">
            <v>3,01,06</v>
          </cell>
          <cell r="B1138" t="str">
            <v>Alambre galvanizado N° 16 AWG</v>
          </cell>
          <cell r="C1138" t="str">
            <v>ml</v>
          </cell>
          <cell r="E1138">
            <v>1.2</v>
          </cell>
          <cell r="F1138">
            <v>0.13</v>
          </cell>
          <cell r="G1138">
            <v>0.16</v>
          </cell>
        </row>
        <row r="1139">
          <cell r="A1139" t="str">
            <v>3,01,06</v>
          </cell>
          <cell r="B1139" t="str">
            <v>Tapa ciega Octogonal de F°G°</v>
          </cell>
          <cell r="C1139" t="str">
            <v>und</v>
          </cell>
          <cell r="E1139">
            <v>1</v>
          </cell>
          <cell r="F1139">
            <v>0.45</v>
          </cell>
          <cell r="G1139">
            <v>0.45</v>
          </cell>
        </row>
        <row r="1140">
          <cell r="A1140" t="str">
            <v>3,01,06</v>
          </cell>
          <cell r="B1140" t="str">
            <v>Tuberia flexible de PVC de 15 mm</v>
          </cell>
          <cell r="C1140" t="str">
            <v>ml</v>
          </cell>
          <cell r="E1140">
            <v>1</v>
          </cell>
          <cell r="F1140">
            <v>0.63</v>
          </cell>
          <cell r="G1140">
            <v>0.63</v>
          </cell>
        </row>
        <row r="1141">
          <cell r="A1141" t="str">
            <v>3,01,06</v>
          </cell>
          <cell r="B1141" t="str">
            <v>Conector de PVC para tuberia flexible de 15mm</v>
          </cell>
          <cell r="C1141" t="str">
            <v>und</v>
          </cell>
          <cell r="E1141">
            <v>1</v>
          </cell>
          <cell r="F1141">
            <v>0.98</v>
          </cell>
          <cell r="G1141">
            <v>0.98</v>
          </cell>
        </row>
        <row r="1142">
          <cell r="A1142" t="str">
            <v>3,01,06</v>
          </cell>
          <cell r="B1142" t="str">
            <v>Cable de 2.5 THW</v>
          </cell>
          <cell r="C1142" t="str">
            <v>ml</v>
          </cell>
          <cell r="E1142">
            <v>3.6</v>
          </cell>
          <cell r="F1142">
            <v>0.20799999999999999</v>
          </cell>
          <cell r="G1142">
            <v>0.75</v>
          </cell>
        </row>
        <row r="1143">
          <cell r="A1143" t="str">
            <v>3,01,06</v>
          </cell>
          <cell r="B1143" t="str">
            <v>Cinta aislante de 3/4" x 20 m.</v>
          </cell>
          <cell r="C1143" t="str">
            <v>und</v>
          </cell>
          <cell r="E1143">
            <v>0.06</v>
          </cell>
          <cell r="F1143">
            <v>2.5</v>
          </cell>
          <cell r="G1143">
            <v>0.15</v>
          </cell>
        </row>
        <row r="1144">
          <cell r="A1144" t="str">
            <v>3,01,06</v>
          </cell>
          <cell r="B1144" t="str">
            <v>Cinta autovulcanizante de 3/4" x 20 m. 3M</v>
          </cell>
          <cell r="C1144" t="str">
            <v>und</v>
          </cell>
          <cell r="E1144">
            <v>0.04</v>
          </cell>
          <cell r="F1144">
            <v>6.27</v>
          </cell>
          <cell r="G1144">
            <v>0.25</v>
          </cell>
        </row>
        <row r="1145">
          <cell r="A1145" t="str">
            <v>3,01,06</v>
          </cell>
          <cell r="B1145" t="str">
            <v>Mano de obra</v>
          </cell>
          <cell r="G1145">
            <v>4.13</v>
          </cell>
        </row>
        <row r="1146">
          <cell r="A1146" t="str">
            <v>3,01,06</v>
          </cell>
          <cell r="B1146" t="str">
            <v>Operario</v>
          </cell>
          <cell r="C1146" t="str">
            <v>HH</v>
          </cell>
          <cell r="D1146">
            <v>1</v>
          </cell>
          <cell r="E1146">
            <v>0.8</v>
          </cell>
          <cell r="F1146">
            <v>2.84</v>
          </cell>
          <cell r="G1146">
            <v>2.27</v>
          </cell>
          <cell r="H1146">
            <v>10</v>
          </cell>
        </row>
        <row r="1147">
          <cell r="A1147" t="str">
            <v>3,01,06</v>
          </cell>
          <cell r="B1147" t="str">
            <v>Peón</v>
          </cell>
          <cell r="C1147" t="str">
            <v>HH</v>
          </cell>
          <cell r="D1147">
            <v>1</v>
          </cell>
          <cell r="E1147">
            <v>0.8</v>
          </cell>
          <cell r="F1147">
            <v>2.3199999999999998</v>
          </cell>
          <cell r="G1147">
            <v>1.86</v>
          </cell>
          <cell r="H1147">
            <v>10</v>
          </cell>
        </row>
        <row r="1148">
          <cell r="A1148" t="str">
            <v>3,01,06</v>
          </cell>
          <cell r="B1148" t="str">
            <v>Equipos</v>
          </cell>
          <cell r="G1148">
            <v>0.96</v>
          </cell>
        </row>
        <row r="1149">
          <cell r="A1149" t="str">
            <v>3,01,06</v>
          </cell>
          <cell r="B1149" t="str">
            <v>Escalera</v>
          </cell>
          <cell r="C1149" t="str">
            <v>DIA</v>
          </cell>
          <cell r="D1149">
            <v>1</v>
          </cell>
          <cell r="E1149">
            <v>0.1</v>
          </cell>
          <cell r="F1149">
            <v>1</v>
          </cell>
          <cell r="G1149">
            <v>0.1</v>
          </cell>
        </row>
        <row r="1150">
          <cell r="A1150" t="str">
            <v>3,01,06</v>
          </cell>
          <cell r="B1150" t="str">
            <v>Pistolade disparo Hilti</v>
          </cell>
          <cell r="C1150" t="str">
            <v>DIA</v>
          </cell>
          <cell r="D1150">
            <v>1</v>
          </cell>
          <cell r="E1150">
            <v>0.1</v>
          </cell>
          <cell r="F1150">
            <v>6.5</v>
          </cell>
          <cell r="G1150">
            <v>0.65</v>
          </cell>
        </row>
        <row r="1151">
          <cell r="A1151" t="str">
            <v>3,01,06</v>
          </cell>
          <cell r="B1151" t="str">
            <v>Desgaste de herramientas</v>
          </cell>
          <cell r="C1151" t="str">
            <v>%MO</v>
          </cell>
          <cell r="E1151">
            <v>0.05</v>
          </cell>
          <cell r="F1151">
            <v>4.13</v>
          </cell>
          <cell r="G1151">
            <v>0.21</v>
          </cell>
        </row>
        <row r="1152">
          <cell r="A1152" t="str">
            <v>3,01,07</v>
          </cell>
          <cell r="B1152" t="str">
            <v>Dicroico orientable Slal</v>
          </cell>
          <cell r="F1152" t="str">
            <v>(und)</v>
          </cell>
          <cell r="G1152">
            <v>33.929999999999993</v>
          </cell>
        </row>
        <row r="1153">
          <cell r="A1153" t="str">
            <v>3,01,07</v>
          </cell>
          <cell r="C1153" t="str">
            <v>und.</v>
          </cell>
          <cell r="D1153" t="str">
            <v>cuad.</v>
          </cell>
          <cell r="E1153" t="str">
            <v>cant.</v>
          </cell>
          <cell r="F1153" t="str">
            <v>prec. $</v>
          </cell>
          <cell r="G1153" t="str">
            <v>parcial $</v>
          </cell>
        </row>
        <row r="1154">
          <cell r="A1154" t="str">
            <v>3,01,07</v>
          </cell>
          <cell r="B1154" t="str">
            <v>Materiales</v>
          </cell>
          <cell r="G1154">
            <v>28.639999999999997</v>
          </cell>
        </row>
        <row r="1155">
          <cell r="A1155" t="str">
            <v>3,01,07</v>
          </cell>
          <cell r="B1155" t="str">
            <v>Dicroico orientable Slal</v>
          </cell>
          <cell r="C1155" t="str">
            <v>und</v>
          </cell>
          <cell r="E1155">
            <v>1</v>
          </cell>
          <cell r="F1155">
            <v>25</v>
          </cell>
          <cell r="G1155">
            <v>25</v>
          </cell>
        </row>
        <row r="1156">
          <cell r="A1156" t="str">
            <v>3,01,07</v>
          </cell>
          <cell r="B1156" t="str">
            <v>Clavo hilti X-DW 27 MX + fulminante</v>
          </cell>
          <cell r="C1156" t="str">
            <v>und</v>
          </cell>
          <cell r="E1156">
            <v>1</v>
          </cell>
          <cell r="F1156">
            <v>0.27</v>
          </cell>
          <cell r="G1156">
            <v>0.27</v>
          </cell>
        </row>
        <row r="1157">
          <cell r="A1157" t="str">
            <v>3,01,07</v>
          </cell>
          <cell r="B1157" t="str">
            <v>Alambre galvanizado N° 16 AWG</v>
          </cell>
          <cell r="C1157" t="str">
            <v>ml</v>
          </cell>
          <cell r="E1157">
            <v>1.2</v>
          </cell>
          <cell r="F1157">
            <v>0.13</v>
          </cell>
          <cell r="G1157">
            <v>0.16</v>
          </cell>
        </row>
        <row r="1158">
          <cell r="A1158" t="str">
            <v>3,01,07</v>
          </cell>
          <cell r="B1158" t="str">
            <v>Tapa ciega Octogonal de F°G°</v>
          </cell>
          <cell r="C1158" t="str">
            <v>und</v>
          </cell>
          <cell r="E1158">
            <v>1</v>
          </cell>
          <cell r="F1158">
            <v>0.45</v>
          </cell>
          <cell r="G1158">
            <v>0.45</v>
          </cell>
        </row>
        <row r="1159">
          <cell r="A1159" t="str">
            <v>3,01,07</v>
          </cell>
          <cell r="B1159" t="str">
            <v>Tuberia flexible de PVC de 15 mm</v>
          </cell>
          <cell r="C1159" t="str">
            <v>ml</v>
          </cell>
          <cell r="E1159">
            <v>1</v>
          </cell>
          <cell r="F1159">
            <v>0.63</v>
          </cell>
          <cell r="G1159">
            <v>0.63</v>
          </cell>
        </row>
        <row r="1160">
          <cell r="A1160" t="str">
            <v>3,01,07</v>
          </cell>
          <cell r="B1160" t="str">
            <v>Conector de PVC para tuberia flexible de 15mm</v>
          </cell>
          <cell r="C1160" t="str">
            <v>und</v>
          </cell>
          <cell r="E1160">
            <v>1</v>
          </cell>
          <cell r="F1160">
            <v>0.98</v>
          </cell>
          <cell r="G1160">
            <v>0.98</v>
          </cell>
        </row>
        <row r="1161">
          <cell r="A1161" t="str">
            <v>3,01,07</v>
          </cell>
          <cell r="B1161" t="str">
            <v>Cable de 2.5 THW</v>
          </cell>
          <cell r="C1161" t="str">
            <v>ml</v>
          </cell>
          <cell r="E1161">
            <v>3.6</v>
          </cell>
          <cell r="F1161">
            <v>0.20799999999999999</v>
          </cell>
          <cell r="G1161">
            <v>0.75</v>
          </cell>
        </row>
        <row r="1162">
          <cell r="A1162" t="str">
            <v>3,01,07</v>
          </cell>
          <cell r="B1162" t="str">
            <v>Cinta aislante de 3/4" x 20 m.</v>
          </cell>
          <cell r="C1162" t="str">
            <v>und</v>
          </cell>
          <cell r="E1162">
            <v>0.06</v>
          </cell>
          <cell r="F1162">
            <v>2.5</v>
          </cell>
          <cell r="G1162">
            <v>0.15</v>
          </cell>
        </row>
        <row r="1163">
          <cell r="A1163" t="str">
            <v>3,01,07</v>
          </cell>
          <cell r="B1163" t="str">
            <v>Cinta autovulcanizante de 3/4" x 20 m. 3M</v>
          </cell>
          <cell r="C1163" t="str">
            <v>und</v>
          </cell>
          <cell r="E1163">
            <v>0.04</v>
          </cell>
          <cell r="F1163">
            <v>6.27</v>
          </cell>
          <cell r="G1163">
            <v>0.25</v>
          </cell>
        </row>
        <row r="1164">
          <cell r="A1164" t="str">
            <v>3,01,07</v>
          </cell>
          <cell r="B1164" t="str">
            <v>Mano de obra</v>
          </cell>
          <cell r="G1164">
            <v>4.13</v>
          </cell>
        </row>
        <row r="1165">
          <cell r="A1165" t="str">
            <v>3,01,07</v>
          </cell>
          <cell r="B1165" t="str">
            <v>Operario</v>
          </cell>
          <cell r="C1165" t="str">
            <v>HH</v>
          </cell>
          <cell r="D1165">
            <v>1</v>
          </cell>
          <cell r="E1165">
            <v>0.8</v>
          </cell>
          <cell r="F1165">
            <v>2.84</v>
          </cell>
          <cell r="G1165">
            <v>2.27</v>
          </cell>
          <cell r="H1165">
            <v>10</v>
          </cell>
        </row>
        <row r="1166">
          <cell r="A1166" t="str">
            <v>3,01,07</v>
          </cell>
          <cell r="B1166" t="str">
            <v>Peón</v>
          </cell>
          <cell r="C1166" t="str">
            <v>HH</v>
          </cell>
          <cell r="D1166">
            <v>1</v>
          </cell>
          <cell r="E1166">
            <v>0.8</v>
          </cell>
          <cell r="F1166">
            <v>2.3199999999999998</v>
          </cell>
          <cell r="G1166">
            <v>1.86</v>
          </cell>
          <cell r="H1166">
            <v>10</v>
          </cell>
        </row>
        <row r="1167">
          <cell r="A1167" t="str">
            <v>3,01,07</v>
          </cell>
          <cell r="B1167" t="str">
            <v>Equipos</v>
          </cell>
          <cell r="G1167">
            <v>1.1599999999999999</v>
          </cell>
        </row>
        <row r="1168">
          <cell r="A1168" t="str">
            <v>3,01,07</v>
          </cell>
          <cell r="B1168" t="str">
            <v>Escalera</v>
          </cell>
          <cell r="C1168" t="str">
            <v>DIA</v>
          </cell>
          <cell r="D1168">
            <v>1</v>
          </cell>
          <cell r="E1168">
            <v>0.1</v>
          </cell>
          <cell r="F1168">
            <v>1</v>
          </cell>
          <cell r="G1168">
            <v>0.1</v>
          </cell>
        </row>
        <row r="1169">
          <cell r="A1169" t="str">
            <v>3,01,07</v>
          </cell>
          <cell r="B1169" t="str">
            <v>Pistolade disparo Hilti</v>
          </cell>
          <cell r="C1169" t="str">
            <v>DIA</v>
          </cell>
          <cell r="D1169">
            <v>1</v>
          </cell>
          <cell r="E1169">
            <v>0.1</v>
          </cell>
          <cell r="F1169">
            <v>6.5</v>
          </cell>
          <cell r="G1169">
            <v>0.65</v>
          </cell>
        </row>
        <row r="1170">
          <cell r="A1170" t="str">
            <v>3,01,07</v>
          </cell>
          <cell r="B1170" t="str">
            <v>Desgaste de herramientas</v>
          </cell>
          <cell r="C1170" t="str">
            <v>%MO</v>
          </cell>
          <cell r="E1170">
            <v>0.1</v>
          </cell>
          <cell r="F1170">
            <v>4.13</v>
          </cell>
          <cell r="G1170">
            <v>0.41</v>
          </cell>
        </row>
        <row r="1171">
          <cell r="A1171" t="str">
            <v>3,01,08</v>
          </cell>
          <cell r="B1171" t="str">
            <v>Artefacto lagrand  URA 21 para señalización luminosa de 9w c/autonomia</v>
          </cell>
          <cell r="F1171" t="str">
            <v>(und)</v>
          </cell>
          <cell r="G1171">
            <v>87.009999999999991</v>
          </cell>
        </row>
        <row r="1172">
          <cell r="A1172" t="str">
            <v>3,01,08</v>
          </cell>
          <cell r="C1172" t="str">
            <v>und.</v>
          </cell>
          <cell r="D1172" t="str">
            <v>cuad.</v>
          </cell>
          <cell r="E1172" t="str">
            <v>cant.</v>
          </cell>
          <cell r="F1172" t="str">
            <v>prec. $</v>
          </cell>
          <cell r="G1172" t="str">
            <v>parcial $</v>
          </cell>
        </row>
        <row r="1173">
          <cell r="A1173" t="str">
            <v>3,01,08</v>
          </cell>
          <cell r="B1173" t="str">
            <v>Materiales</v>
          </cell>
          <cell r="G1173">
            <v>81.72</v>
          </cell>
        </row>
        <row r="1174">
          <cell r="A1174" t="str">
            <v>3,01,08</v>
          </cell>
          <cell r="B1174" t="str">
            <v>Artefacto lagrand  URA 21 para señalización luminosa de 9w c/autonomia</v>
          </cell>
          <cell r="C1174" t="str">
            <v>und</v>
          </cell>
          <cell r="E1174">
            <v>1</v>
          </cell>
          <cell r="F1174">
            <v>76.724000000000004</v>
          </cell>
          <cell r="G1174">
            <v>76.72</v>
          </cell>
        </row>
        <row r="1175">
          <cell r="A1175" t="str">
            <v>3,01,08</v>
          </cell>
          <cell r="B1175" t="str">
            <v>Clavo hilti X-DW 27 MX + fulminante</v>
          </cell>
          <cell r="C1175" t="str">
            <v>und</v>
          </cell>
          <cell r="E1175">
            <v>2</v>
          </cell>
          <cell r="F1175">
            <v>0.27</v>
          </cell>
          <cell r="G1175">
            <v>0.54</v>
          </cell>
        </row>
        <row r="1176">
          <cell r="A1176" t="str">
            <v>3,01,08</v>
          </cell>
          <cell r="B1176" t="str">
            <v>Alambre galvanizado N° 16 AWG</v>
          </cell>
          <cell r="C1176" t="str">
            <v>ml</v>
          </cell>
          <cell r="E1176">
            <v>1.6</v>
          </cell>
          <cell r="F1176">
            <v>0.13</v>
          </cell>
          <cell r="G1176">
            <v>0.21</v>
          </cell>
        </row>
        <row r="1177">
          <cell r="A1177" t="str">
            <v>3,01,08</v>
          </cell>
          <cell r="B1177" t="str">
            <v>Tapa ciega Octogonal de F°G°</v>
          </cell>
          <cell r="C1177" t="str">
            <v>und</v>
          </cell>
          <cell r="E1177">
            <v>1</v>
          </cell>
          <cell r="F1177">
            <v>0.45</v>
          </cell>
          <cell r="G1177">
            <v>0.45</v>
          </cell>
        </row>
        <row r="1178">
          <cell r="A1178" t="str">
            <v>3,01,08</v>
          </cell>
          <cell r="B1178" t="str">
            <v>Tuberia flexible de PVC de 15 mm</v>
          </cell>
          <cell r="C1178" t="str">
            <v>ml</v>
          </cell>
          <cell r="E1178">
            <v>1</v>
          </cell>
          <cell r="F1178">
            <v>0.63</v>
          </cell>
          <cell r="G1178">
            <v>0.63</v>
          </cell>
        </row>
        <row r="1179">
          <cell r="A1179" t="str">
            <v>3,01,08</v>
          </cell>
          <cell r="B1179" t="str">
            <v>Conector de PVC para tuberia flexible de 15mm</v>
          </cell>
          <cell r="C1179" t="str">
            <v>und</v>
          </cell>
          <cell r="E1179">
            <v>2</v>
          </cell>
          <cell r="F1179">
            <v>0.98</v>
          </cell>
          <cell r="G1179">
            <v>1.96</v>
          </cell>
        </row>
        <row r="1180">
          <cell r="A1180" t="str">
            <v>3,01,08</v>
          </cell>
          <cell r="B1180" t="str">
            <v>Cable de 2.5 THW</v>
          </cell>
          <cell r="C1180" t="str">
            <v>ml</v>
          </cell>
          <cell r="E1180">
            <v>3.9</v>
          </cell>
          <cell r="F1180">
            <v>0.20799999999999999</v>
          </cell>
          <cell r="G1180">
            <v>0.81</v>
          </cell>
        </row>
        <row r="1181">
          <cell r="A1181" t="str">
            <v>3,01,08</v>
          </cell>
          <cell r="B1181" t="str">
            <v>Cinta aislante de 3/4" x 20 m.</v>
          </cell>
          <cell r="C1181" t="str">
            <v>und</v>
          </cell>
          <cell r="E1181">
            <v>0.06</v>
          </cell>
          <cell r="F1181">
            <v>2.5</v>
          </cell>
          <cell r="G1181">
            <v>0.15</v>
          </cell>
        </row>
        <row r="1182">
          <cell r="A1182" t="str">
            <v>3,01,08</v>
          </cell>
          <cell r="B1182" t="str">
            <v>Cinta autovulcanizante de 3/4" x 20 m. 3M</v>
          </cell>
          <cell r="C1182" t="str">
            <v>und</v>
          </cell>
          <cell r="E1182">
            <v>0.04</v>
          </cell>
          <cell r="F1182">
            <v>6.27</v>
          </cell>
          <cell r="G1182">
            <v>0.25</v>
          </cell>
        </row>
        <row r="1183">
          <cell r="A1183" t="str">
            <v>3,01,08</v>
          </cell>
          <cell r="B1183" t="str">
            <v>Mano de obra</v>
          </cell>
          <cell r="G1183">
            <v>4.13</v>
          </cell>
        </row>
        <row r="1184">
          <cell r="A1184" t="str">
            <v>3,01,08</v>
          </cell>
          <cell r="B1184" t="str">
            <v>Operario</v>
          </cell>
          <cell r="C1184" t="str">
            <v>HH</v>
          </cell>
          <cell r="D1184">
            <v>1</v>
          </cell>
          <cell r="E1184">
            <v>0.8</v>
          </cell>
          <cell r="F1184">
            <v>2.84</v>
          </cell>
          <cell r="G1184">
            <v>2.27</v>
          </cell>
          <cell r="H1184">
            <v>10</v>
          </cell>
        </row>
        <row r="1185">
          <cell r="A1185" t="str">
            <v>3,01,08</v>
          </cell>
          <cell r="B1185" t="str">
            <v>Peón</v>
          </cell>
          <cell r="C1185" t="str">
            <v>HH</v>
          </cell>
          <cell r="D1185">
            <v>1</v>
          </cell>
          <cell r="E1185">
            <v>0.8</v>
          </cell>
          <cell r="F1185">
            <v>2.3199999999999998</v>
          </cell>
          <cell r="G1185">
            <v>1.86</v>
          </cell>
          <cell r="H1185">
            <v>10</v>
          </cell>
        </row>
        <row r="1186">
          <cell r="A1186" t="str">
            <v>3,01,08</v>
          </cell>
          <cell r="B1186" t="str">
            <v>Equipos</v>
          </cell>
          <cell r="G1186">
            <v>1.1599999999999999</v>
          </cell>
        </row>
        <row r="1187">
          <cell r="A1187" t="str">
            <v>3,01,08</v>
          </cell>
          <cell r="B1187" t="str">
            <v>Escalera</v>
          </cell>
          <cell r="C1187" t="str">
            <v>DIA</v>
          </cell>
          <cell r="D1187">
            <v>1</v>
          </cell>
          <cell r="E1187">
            <v>0.1</v>
          </cell>
          <cell r="F1187">
            <v>1</v>
          </cell>
          <cell r="G1187">
            <v>0.1</v>
          </cell>
        </row>
        <row r="1188">
          <cell r="A1188" t="str">
            <v>3,01,08</v>
          </cell>
          <cell r="B1188" t="str">
            <v>Pistolade disparo Hilti</v>
          </cell>
          <cell r="C1188" t="str">
            <v>DIA</v>
          </cell>
          <cell r="D1188">
            <v>1</v>
          </cell>
          <cell r="E1188">
            <v>0.1</v>
          </cell>
          <cell r="F1188">
            <v>6.5</v>
          </cell>
          <cell r="G1188">
            <v>0.65</v>
          </cell>
        </row>
        <row r="1189">
          <cell r="A1189" t="str">
            <v>3,01,08</v>
          </cell>
          <cell r="B1189" t="str">
            <v>Desgaste de herramientas</v>
          </cell>
          <cell r="C1189" t="str">
            <v>%MO</v>
          </cell>
          <cell r="E1189">
            <v>0.1</v>
          </cell>
          <cell r="F1189">
            <v>4.13</v>
          </cell>
          <cell r="G1189">
            <v>0.41</v>
          </cell>
        </row>
        <row r="1190">
          <cell r="A1190" t="str">
            <v>4,01,01</v>
          </cell>
          <cell r="B1190" t="str">
            <v>Picado y resane para tuberias de energia y data empotradas en MURO</v>
          </cell>
          <cell r="F1190" t="str">
            <v>ML</v>
          </cell>
          <cell r="G1190">
            <v>6.6400000000000006</v>
          </cell>
        </row>
        <row r="1191">
          <cell r="A1191" t="str">
            <v>4,01,01</v>
          </cell>
          <cell r="C1191" t="str">
            <v>und.</v>
          </cell>
          <cell r="D1191" t="str">
            <v>cuad.</v>
          </cell>
          <cell r="E1191" t="str">
            <v>cant.</v>
          </cell>
          <cell r="F1191" t="str">
            <v>prec. $</v>
          </cell>
          <cell r="G1191" t="str">
            <v>parcial $</v>
          </cell>
        </row>
        <row r="1192">
          <cell r="A1192" t="str">
            <v>4,01,01</v>
          </cell>
          <cell r="B1192" t="str">
            <v>Materiales</v>
          </cell>
          <cell r="G1192">
            <v>2.56</v>
          </cell>
        </row>
        <row r="1193">
          <cell r="A1193" t="str">
            <v>4,01,01</v>
          </cell>
          <cell r="B1193" t="str">
            <v>Agregado fino + agregado grueso + aglomerante</v>
          </cell>
          <cell r="C1193" t="str">
            <v>GLB</v>
          </cell>
          <cell r="E1193">
            <v>1</v>
          </cell>
          <cell r="F1193">
            <v>2.56</v>
          </cell>
          <cell r="G1193">
            <v>2.56</v>
          </cell>
        </row>
        <row r="1194">
          <cell r="A1194" t="str">
            <v>4,01,01</v>
          </cell>
          <cell r="B1194" t="str">
            <v>Mano de obra</v>
          </cell>
          <cell r="G1194">
            <v>3.1799999999999997</v>
          </cell>
        </row>
        <row r="1195">
          <cell r="A1195" t="str">
            <v>4,01,01</v>
          </cell>
          <cell r="B1195" t="str">
            <v>Operario</v>
          </cell>
          <cell r="C1195" t="str">
            <v>HH</v>
          </cell>
          <cell r="D1195">
            <v>1</v>
          </cell>
          <cell r="E1195">
            <v>0.61538461538461542</v>
          </cell>
          <cell r="F1195">
            <v>2.84</v>
          </cell>
          <cell r="G1195">
            <v>1.75</v>
          </cell>
          <cell r="H1195">
            <v>13</v>
          </cell>
        </row>
        <row r="1196">
          <cell r="A1196" t="str">
            <v>4,01,01</v>
          </cell>
          <cell r="B1196" t="str">
            <v>Peón</v>
          </cell>
          <cell r="C1196" t="str">
            <v>HH</v>
          </cell>
          <cell r="D1196">
            <v>1</v>
          </cell>
          <cell r="E1196">
            <v>0.61538461538461542</v>
          </cell>
          <cell r="F1196">
            <v>2.3199999999999998</v>
          </cell>
          <cell r="G1196">
            <v>1.43</v>
          </cell>
          <cell r="H1196">
            <v>13</v>
          </cell>
        </row>
        <row r="1197">
          <cell r="A1197" t="str">
            <v>4,01,01</v>
          </cell>
          <cell r="B1197" t="str">
            <v>Equipos y/o herramientas</v>
          </cell>
          <cell r="G1197">
            <v>0.89999999999999991</v>
          </cell>
        </row>
        <row r="1198">
          <cell r="A1198" t="str">
            <v>4,01,01</v>
          </cell>
          <cell r="B1198" t="str">
            <v>Cincelador Hilti</v>
          </cell>
          <cell r="C1198" t="str">
            <v>DIA</v>
          </cell>
          <cell r="D1198">
            <v>1</v>
          </cell>
          <cell r="E1198">
            <v>7.6923076923076927E-2</v>
          </cell>
          <cell r="F1198">
            <v>6.5</v>
          </cell>
          <cell r="G1198">
            <v>0.5</v>
          </cell>
        </row>
        <row r="1199">
          <cell r="A1199" t="str">
            <v>4,01,01</v>
          </cell>
          <cell r="B1199" t="str">
            <v>Escalera</v>
          </cell>
          <cell r="C1199" t="str">
            <v>DIA</v>
          </cell>
          <cell r="D1199">
            <v>1</v>
          </cell>
          <cell r="E1199">
            <v>7.6923076923076927E-2</v>
          </cell>
          <cell r="F1199">
            <v>1</v>
          </cell>
          <cell r="G1199">
            <v>0.08</v>
          </cell>
        </row>
        <row r="1200">
          <cell r="A1200" t="str">
            <v>4,01,01</v>
          </cell>
          <cell r="B1200" t="str">
            <v>Desgaste de herramientas</v>
          </cell>
          <cell r="C1200" t="str">
            <v>%MO</v>
          </cell>
          <cell r="E1200">
            <v>0.1</v>
          </cell>
          <cell r="F1200">
            <v>3.1799999999999997</v>
          </cell>
          <cell r="G1200">
            <v>0.32</v>
          </cell>
        </row>
        <row r="1201">
          <cell r="A1201" t="str">
            <v>4,01,02</v>
          </cell>
          <cell r="B1201" t="str">
            <v>Picado y resane para tuberias de energia y data empotradas en PISO</v>
          </cell>
          <cell r="F1201" t="str">
            <v>ML</v>
          </cell>
          <cell r="G1201">
            <v>6.0200000000000005</v>
          </cell>
        </row>
        <row r="1202">
          <cell r="A1202" t="str">
            <v>4,01,02</v>
          </cell>
          <cell r="C1202" t="str">
            <v>und.</v>
          </cell>
          <cell r="D1202" t="str">
            <v>cuad.</v>
          </cell>
          <cell r="E1202" t="str">
            <v>cant.</v>
          </cell>
          <cell r="F1202" t="str">
            <v>prec. $</v>
          </cell>
          <cell r="G1202" t="str">
            <v>parcial $</v>
          </cell>
        </row>
        <row r="1203">
          <cell r="A1203" t="str">
            <v>4,01,02</v>
          </cell>
          <cell r="B1203" t="str">
            <v>Materiales</v>
          </cell>
          <cell r="G1203">
            <v>2.56</v>
          </cell>
        </row>
        <row r="1204">
          <cell r="A1204" t="str">
            <v>4,01,02</v>
          </cell>
          <cell r="B1204" t="str">
            <v>Agregado fino + agregado grueso + aglomerante</v>
          </cell>
          <cell r="C1204" t="str">
            <v>GLB</v>
          </cell>
          <cell r="E1204">
            <v>1</v>
          </cell>
          <cell r="F1204">
            <v>2.56</v>
          </cell>
          <cell r="G1204">
            <v>2.56</v>
          </cell>
        </row>
        <row r="1205">
          <cell r="A1205" t="str">
            <v>4,01,02</v>
          </cell>
          <cell r="B1205" t="str">
            <v>Mano de obra</v>
          </cell>
          <cell r="G1205">
            <v>2.75</v>
          </cell>
        </row>
        <row r="1206">
          <cell r="A1206" t="str">
            <v>4,01,02</v>
          </cell>
          <cell r="B1206" t="str">
            <v>Operario</v>
          </cell>
          <cell r="C1206" t="str">
            <v>HH</v>
          </cell>
          <cell r="D1206">
            <v>1</v>
          </cell>
          <cell r="E1206">
            <v>0.53333333333333333</v>
          </cell>
          <cell r="F1206">
            <v>2.84</v>
          </cell>
          <cell r="G1206">
            <v>1.51</v>
          </cell>
          <cell r="H1206">
            <v>15</v>
          </cell>
        </row>
        <row r="1207">
          <cell r="A1207" t="str">
            <v>4,01,02</v>
          </cell>
          <cell r="B1207" t="str">
            <v>Peón</v>
          </cell>
          <cell r="C1207" t="str">
            <v>HH</v>
          </cell>
          <cell r="D1207">
            <v>1</v>
          </cell>
          <cell r="E1207">
            <v>0.53333333333333333</v>
          </cell>
          <cell r="F1207">
            <v>2.3199999999999998</v>
          </cell>
          <cell r="G1207">
            <v>1.24</v>
          </cell>
          <cell r="H1207">
            <v>15</v>
          </cell>
        </row>
        <row r="1208">
          <cell r="A1208" t="str">
            <v>4,01,02</v>
          </cell>
          <cell r="B1208" t="str">
            <v>Equipos y/o herramientas</v>
          </cell>
          <cell r="G1208">
            <v>0.71</v>
          </cell>
        </row>
        <row r="1209">
          <cell r="A1209" t="str">
            <v>4,01,02</v>
          </cell>
          <cell r="B1209" t="str">
            <v>Cincelador Hilti</v>
          </cell>
          <cell r="C1209" t="str">
            <v>DIA</v>
          </cell>
          <cell r="D1209">
            <v>1</v>
          </cell>
          <cell r="E1209">
            <v>6.6666666666666666E-2</v>
          </cell>
          <cell r="F1209">
            <v>6.5</v>
          </cell>
          <cell r="G1209">
            <v>0.43</v>
          </cell>
        </row>
        <row r="1210">
          <cell r="A1210" t="str">
            <v>4,01,02</v>
          </cell>
          <cell r="B1210" t="str">
            <v>Desgaste de herramientas</v>
          </cell>
          <cell r="C1210" t="str">
            <v>%MO</v>
          </cell>
          <cell r="E1210">
            <v>0.1</v>
          </cell>
          <cell r="F1210">
            <v>2.75</v>
          </cell>
          <cell r="G1210">
            <v>0.28000000000000003</v>
          </cell>
        </row>
        <row r="1211">
          <cell r="A1211" t="str">
            <v>4,01,03</v>
          </cell>
          <cell r="B1211" t="str">
            <v>Picado de losa para empotrar caja especial en piso.</v>
          </cell>
          <cell r="F1211" t="str">
            <v>ML</v>
          </cell>
          <cell r="G1211">
            <v>12.98</v>
          </cell>
        </row>
        <row r="1212">
          <cell r="A1212" t="str">
            <v>4,01,03</v>
          </cell>
          <cell r="C1212" t="str">
            <v>und.</v>
          </cell>
          <cell r="D1212" t="str">
            <v>cuad.</v>
          </cell>
          <cell r="E1212" t="str">
            <v>cant.</v>
          </cell>
          <cell r="F1212" t="str">
            <v>prec. $</v>
          </cell>
          <cell r="G1212" t="str">
            <v>parcial $</v>
          </cell>
        </row>
        <row r="1213">
          <cell r="A1213" t="str">
            <v>4,01,03</v>
          </cell>
          <cell r="B1213" t="str">
            <v>Materiales</v>
          </cell>
        </row>
        <row r="1214">
          <cell r="A1214" t="str">
            <v>4,01,03</v>
          </cell>
          <cell r="B1214" t="str">
            <v>Mano de obra</v>
          </cell>
          <cell r="G1214">
            <v>10.32</v>
          </cell>
        </row>
        <row r="1215">
          <cell r="A1215" t="str">
            <v>4,01,03</v>
          </cell>
          <cell r="B1215" t="str">
            <v>Operario</v>
          </cell>
          <cell r="C1215" t="str">
            <v>HH</v>
          </cell>
          <cell r="D1215">
            <v>1</v>
          </cell>
          <cell r="E1215">
            <v>2</v>
          </cell>
          <cell r="F1215">
            <v>2.84</v>
          </cell>
          <cell r="G1215">
            <v>5.68</v>
          </cell>
          <cell r="H1215">
            <v>4</v>
          </cell>
        </row>
        <row r="1216">
          <cell r="A1216" t="str">
            <v>4,01,03</v>
          </cell>
          <cell r="B1216" t="str">
            <v>Peón</v>
          </cell>
          <cell r="C1216" t="str">
            <v>HH</v>
          </cell>
          <cell r="D1216">
            <v>1</v>
          </cell>
          <cell r="E1216">
            <v>2</v>
          </cell>
          <cell r="F1216">
            <v>2.3199999999999998</v>
          </cell>
          <cell r="G1216">
            <v>4.6399999999999997</v>
          </cell>
          <cell r="H1216">
            <v>4</v>
          </cell>
        </row>
        <row r="1217">
          <cell r="A1217" t="str">
            <v>4,01,03</v>
          </cell>
          <cell r="B1217" t="str">
            <v>Equipos y/o herramientas</v>
          </cell>
          <cell r="G1217">
            <v>2.66</v>
          </cell>
        </row>
        <row r="1218">
          <cell r="A1218" t="str">
            <v>4,01,03</v>
          </cell>
          <cell r="B1218" t="str">
            <v>Cincelador Hilti</v>
          </cell>
          <cell r="C1218" t="str">
            <v>DIA</v>
          </cell>
          <cell r="D1218">
            <v>1</v>
          </cell>
          <cell r="E1218">
            <v>0.25</v>
          </cell>
          <cell r="F1218">
            <v>6.5</v>
          </cell>
          <cell r="G1218">
            <v>1.63</v>
          </cell>
        </row>
        <row r="1219">
          <cell r="A1219" t="str">
            <v>4,01,03</v>
          </cell>
          <cell r="B1219" t="str">
            <v>Desgaste de herramientas</v>
          </cell>
          <cell r="C1219" t="str">
            <v>%MO</v>
          </cell>
          <cell r="E1219">
            <v>0.1</v>
          </cell>
          <cell r="F1219">
            <v>10.32</v>
          </cell>
          <cell r="G1219">
            <v>1.03</v>
          </cell>
        </row>
        <row r="1220">
          <cell r="A1220" t="str">
            <v>4,01,04</v>
          </cell>
          <cell r="B1220" t="str">
            <v xml:space="preserve">Picado de pared para empotrar gabinete de control de luces </v>
          </cell>
          <cell r="F1220" t="str">
            <v>ML</v>
          </cell>
          <cell r="G1220">
            <v>15.85</v>
          </cell>
        </row>
        <row r="1221">
          <cell r="A1221" t="str">
            <v>4,01,04</v>
          </cell>
          <cell r="C1221" t="str">
            <v>und.</v>
          </cell>
          <cell r="D1221" t="str">
            <v>cuad.</v>
          </cell>
          <cell r="E1221" t="str">
            <v>cant.</v>
          </cell>
          <cell r="F1221" t="str">
            <v>prec. $</v>
          </cell>
          <cell r="G1221" t="str">
            <v>parcial $</v>
          </cell>
        </row>
        <row r="1222">
          <cell r="A1222" t="str">
            <v>4,01,04</v>
          </cell>
          <cell r="B1222" t="str">
            <v>Materiales</v>
          </cell>
          <cell r="G1222">
            <v>4.5</v>
          </cell>
        </row>
        <row r="1223">
          <cell r="A1223" t="str">
            <v>4,01,04</v>
          </cell>
          <cell r="B1223" t="str">
            <v>Agregado fino + agregado grueso + aglomerante</v>
          </cell>
          <cell r="C1223" t="str">
            <v>GLB</v>
          </cell>
          <cell r="E1223">
            <v>1</v>
          </cell>
          <cell r="F1223">
            <v>4.5</v>
          </cell>
          <cell r="G1223">
            <v>4.5</v>
          </cell>
        </row>
        <row r="1224">
          <cell r="A1224" t="str">
            <v>4,01,04</v>
          </cell>
          <cell r="B1224" t="str">
            <v>Mano de obra</v>
          </cell>
          <cell r="G1224">
            <v>10.32</v>
          </cell>
        </row>
        <row r="1225">
          <cell r="A1225" t="str">
            <v>4,01,04</v>
          </cell>
          <cell r="B1225" t="str">
            <v>Operario</v>
          </cell>
          <cell r="C1225" t="str">
            <v>HH</v>
          </cell>
          <cell r="D1225">
            <v>1</v>
          </cell>
          <cell r="E1225">
            <v>2</v>
          </cell>
          <cell r="F1225">
            <v>2.84</v>
          </cell>
          <cell r="G1225">
            <v>5.68</v>
          </cell>
          <cell r="H1225">
            <v>4</v>
          </cell>
        </row>
        <row r="1226">
          <cell r="A1226" t="str">
            <v>4,01,04</v>
          </cell>
          <cell r="B1226" t="str">
            <v>Peón</v>
          </cell>
          <cell r="C1226" t="str">
            <v>HH</v>
          </cell>
          <cell r="D1226">
            <v>1</v>
          </cell>
          <cell r="E1226">
            <v>2</v>
          </cell>
          <cell r="F1226">
            <v>2.3199999999999998</v>
          </cell>
          <cell r="G1226">
            <v>4.6399999999999997</v>
          </cell>
          <cell r="H1226">
            <v>4</v>
          </cell>
        </row>
        <row r="1227">
          <cell r="A1227" t="str">
            <v>4,01,04</v>
          </cell>
          <cell r="B1227" t="str">
            <v>Equipos y/o herramientas</v>
          </cell>
          <cell r="G1227">
            <v>1.03</v>
          </cell>
        </row>
        <row r="1228">
          <cell r="A1228" t="e">
            <v>#REF!</v>
          </cell>
          <cell r="B1228" t="str">
            <v>Desgaste de herramientas</v>
          </cell>
          <cell r="C1228" t="str">
            <v>%MO</v>
          </cell>
          <cell r="E1228">
            <v>0.1</v>
          </cell>
          <cell r="F1228">
            <v>10.32</v>
          </cell>
          <cell r="G1228">
            <v>1.03</v>
          </cell>
        </row>
        <row r="1229">
          <cell r="A1229" t="str">
            <v>5,00,01</v>
          </cell>
          <cell r="B1229" t="str">
            <v>Bandeja portacable lisa c/tapa de 150x100mm c/tapa</v>
          </cell>
          <cell r="F1229" t="str">
            <v>( ml )</v>
          </cell>
          <cell r="G1229">
            <v>37.849999999999994</v>
          </cell>
        </row>
        <row r="1230">
          <cell r="A1230" t="str">
            <v>5,00,01</v>
          </cell>
          <cell r="C1230" t="str">
            <v>und.</v>
          </cell>
          <cell r="D1230" t="str">
            <v>cuad.</v>
          </cell>
          <cell r="E1230" t="str">
            <v>cant.</v>
          </cell>
          <cell r="F1230" t="str">
            <v>prec. $</v>
          </cell>
          <cell r="G1230" t="str">
            <v>parcial $</v>
          </cell>
        </row>
        <row r="1231">
          <cell r="A1231" t="str">
            <v>5,00,01</v>
          </cell>
          <cell r="B1231" t="str">
            <v>Materiales</v>
          </cell>
          <cell r="G1231">
            <v>34.459999999999994</v>
          </cell>
        </row>
        <row r="1232">
          <cell r="A1232" t="str">
            <v>5,00,01</v>
          </cell>
          <cell r="B1232" t="str">
            <v>Bandeja portacable lisa c/tapa de 150x100mm</v>
          </cell>
          <cell r="C1232" t="str">
            <v>ml</v>
          </cell>
          <cell r="E1232">
            <v>1</v>
          </cell>
          <cell r="F1232">
            <v>14.2</v>
          </cell>
          <cell r="G1232">
            <v>14.2</v>
          </cell>
        </row>
        <row r="1233">
          <cell r="A1233" t="str">
            <v>5,00,01</v>
          </cell>
          <cell r="B1233" t="str">
            <v>Tee de bandeja 150x150x150x100mm</v>
          </cell>
          <cell r="C1233" t="str">
            <v>und</v>
          </cell>
          <cell r="E1233">
            <v>0.5</v>
          </cell>
          <cell r="F1233">
            <v>14.71</v>
          </cell>
          <cell r="G1233">
            <v>7.36</v>
          </cell>
        </row>
        <row r="1234">
          <cell r="A1234" t="str">
            <v>5,00,01</v>
          </cell>
          <cell r="B1234" t="str">
            <v>Riel acanalado unistrut</v>
          </cell>
          <cell r="C1234" t="str">
            <v>und</v>
          </cell>
          <cell r="E1234">
            <v>0.3</v>
          </cell>
          <cell r="F1234">
            <v>17.37</v>
          </cell>
          <cell r="G1234">
            <v>5.21</v>
          </cell>
        </row>
        <row r="1235">
          <cell r="A1235" t="str">
            <v>5,00,01</v>
          </cell>
          <cell r="B1235" t="str">
            <v>Varilla roscada de 1/2"x1,8</v>
          </cell>
          <cell r="C1235" t="str">
            <v>und</v>
          </cell>
          <cell r="E1235">
            <v>0.8</v>
          </cell>
          <cell r="F1235">
            <v>3.71</v>
          </cell>
          <cell r="G1235">
            <v>2.97</v>
          </cell>
        </row>
        <row r="1236">
          <cell r="A1236" t="str">
            <v>5,00,01</v>
          </cell>
          <cell r="B1236" t="str">
            <v>tuerca hexagonal de 1/2"</v>
          </cell>
          <cell r="C1236" t="str">
            <v>und</v>
          </cell>
          <cell r="E1236">
            <v>4</v>
          </cell>
          <cell r="F1236">
            <v>0.12</v>
          </cell>
          <cell r="G1236">
            <v>0.48</v>
          </cell>
        </row>
        <row r="1237">
          <cell r="A1237" t="str">
            <v>5,00,01</v>
          </cell>
          <cell r="B1237" t="str">
            <v>Arandela cuadrada de 1/2"</v>
          </cell>
          <cell r="C1237" t="str">
            <v>und</v>
          </cell>
          <cell r="E1237">
            <v>4</v>
          </cell>
          <cell r="F1237">
            <v>0.53</v>
          </cell>
          <cell r="G1237">
            <v>2.12</v>
          </cell>
        </row>
        <row r="1238">
          <cell r="A1238" t="str">
            <v>5,00,01</v>
          </cell>
          <cell r="B1238" t="str">
            <v>Taco de expansión de 1/2"</v>
          </cell>
          <cell r="C1238" t="str">
            <v>und</v>
          </cell>
          <cell r="E1238">
            <v>2</v>
          </cell>
          <cell r="F1238">
            <v>1.06</v>
          </cell>
          <cell r="G1238">
            <v>2.12</v>
          </cell>
        </row>
        <row r="1239">
          <cell r="A1239" t="str">
            <v>5,00,01</v>
          </cell>
          <cell r="B1239" t="str">
            <v>Mano de obra</v>
          </cell>
          <cell r="G1239">
            <v>2.75</v>
          </cell>
        </row>
        <row r="1240">
          <cell r="A1240" t="str">
            <v>5,00,01</v>
          </cell>
          <cell r="B1240" t="str">
            <v>Operario</v>
          </cell>
          <cell r="C1240" t="str">
            <v>HH</v>
          </cell>
          <cell r="D1240">
            <v>1</v>
          </cell>
          <cell r="E1240">
            <v>0.53333333333333333</v>
          </cell>
          <cell r="F1240">
            <v>2.84</v>
          </cell>
          <cell r="G1240">
            <v>1.51</v>
          </cell>
          <cell r="H1240">
            <v>15</v>
          </cell>
        </row>
        <row r="1241">
          <cell r="A1241" t="str">
            <v>5,00,01</v>
          </cell>
          <cell r="B1241" t="str">
            <v>Peón</v>
          </cell>
          <cell r="C1241" t="str">
            <v>HH</v>
          </cell>
          <cell r="D1241">
            <v>1</v>
          </cell>
          <cell r="E1241">
            <v>0.53333333333333333</v>
          </cell>
          <cell r="F1241">
            <v>2.3199999999999998</v>
          </cell>
          <cell r="G1241">
            <v>1.24</v>
          </cell>
          <cell r="H1241">
            <v>15</v>
          </cell>
        </row>
        <row r="1242">
          <cell r="A1242" t="str">
            <v>5,00,01</v>
          </cell>
          <cell r="B1242" t="str">
            <v>Equipos</v>
          </cell>
          <cell r="G1242">
            <v>0.64</v>
          </cell>
        </row>
        <row r="1243">
          <cell r="A1243" t="str">
            <v>5,00,01</v>
          </cell>
          <cell r="B1243" t="str">
            <v>Escalera</v>
          </cell>
          <cell r="C1243" t="str">
            <v>DIA</v>
          </cell>
          <cell r="D1243">
            <v>1</v>
          </cell>
          <cell r="E1243">
            <v>6.6666666666666666E-2</v>
          </cell>
          <cell r="F1243">
            <v>1</v>
          </cell>
          <cell r="G1243">
            <v>7.0000000000000007E-2</v>
          </cell>
        </row>
        <row r="1244">
          <cell r="A1244" t="str">
            <v>5,00,01</v>
          </cell>
          <cell r="B1244" t="str">
            <v>Taladro Hilti</v>
          </cell>
          <cell r="C1244" t="str">
            <v>DIA</v>
          </cell>
          <cell r="D1244">
            <v>1</v>
          </cell>
          <cell r="E1244">
            <v>6.6666666666666666E-2</v>
          </cell>
          <cell r="F1244">
            <v>6.5</v>
          </cell>
          <cell r="G1244">
            <v>0.43</v>
          </cell>
        </row>
        <row r="1245">
          <cell r="A1245" t="str">
            <v>5,00,01</v>
          </cell>
          <cell r="B1245" t="str">
            <v>Desgaste de herramientas</v>
          </cell>
          <cell r="C1245" t="str">
            <v>%MO</v>
          </cell>
          <cell r="E1245">
            <v>0.05</v>
          </cell>
          <cell r="F1245">
            <v>2.75</v>
          </cell>
          <cell r="G1245">
            <v>0.14000000000000001</v>
          </cell>
        </row>
        <row r="1246">
          <cell r="A1246" t="str">
            <v>5,00,02</v>
          </cell>
          <cell r="B1246" t="str">
            <v>Bandeja portacable lisa c/tapa de 200x100mm c/tapa</v>
          </cell>
          <cell r="F1246" t="str">
            <v>( ml )</v>
          </cell>
          <cell r="G1246">
            <v>42.35</v>
          </cell>
        </row>
        <row r="1247">
          <cell r="A1247" t="str">
            <v>5,00,02</v>
          </cell>
          <cell r="C1247" t="str">
            <v>und.</v>
          </cell>
          <cell r="D1247" t="str">
            <v>cuad.</v>
          </cell>
          <cell r="E1247" t="str">
            <v>cant.</v>
          </cell>
          <cell r="F1247" t="str">
            <v>prec. $</v>
          </cell>
          <cell r="G1247" t="str">
            <v>parcial $</v>
          </cell>
        </row>
        <row r="1248">
          <cell r="A1248" t="str">
            <v>5,00,02</v>
          </cell>
          <cell r="B1248" t="str">
            <v>Materiales</v>
          </cell>
          <cell r="G1248">
            <v>38.96</v>
          </cell>
        </row>
        <row r="1249">
          <cell r="A1249" t="str">
            <v>5,00,02</v>
          </cell>
          <cell r="B1249" t="str">
            <v>Bandeja portacable lisa c/tapa de 200x100mm</v>
          </cell>
          <cell r="C1249" t="str">
            <v>ml</v>
          </cell>
          <cell r="E1249">
            <v>1</v>
          </cell>
          <cell r="F1249">
            <v>16.399999999999999</v>
          </cell>
          <cell r="G1249">
            <v>16.399999999999999</v>
          </cell>
        </row>
        <row r="1250">
          <cell r="A1250" t="str">
            <v>5,00,02</v>
          </cell>
          <cell r="B1250" t="str">
            <v>Tee de bandeja 200x200x200x100mm</v>
          </cell>
          <cell r="C1250" t="str">
            <v>und</v>
          </cell>
          <cell r="E1250">
            <v>0.5</v>
          </cell>
          <cell r="F1250">
            <v>18.23</v>
          </cell>
          <cell r="G1250">
            <v>9.1199999999999992</v>
          </cell>
        </row>
        <row r="1251">
          <cell r="A1251" t="str">
            <v>5,00,02</v>
          </cell>
          <cell r="B1251" t="str">
            <v>Riel acanalado unistrut</v>
          </cell>
          <cell r="C1251" t="str">
            <v>und</v>
          </cell>
          <cell r="E1251">
            <v>0.33333333333333337</v>
          </cell>
          <cell r="F1251">
            <v>17.37</v>
          </cell>
          <cell r="G1251">
            <v>5.79</v>
          </cell>
        </row>
        <row r="1252">
          <cell r="A1252" t="str">
            <v>5,00,02</v>
          </cell>
          <cell r="B1252" t="str">
            <v>Varilla roscada de 1/2"x1,8</v>
          </cell>
          <cell r="C1252" t="str">
            <v>und</v>
          </cell>
          <cell r="E1252">
            <v>1</v>
          </cell>
          <cell r="F1252">
            <v>3.71</v>
          </cell>
          <cell r="G1252">
            <v>3.71</v>
          </cell>
        </row>
        <row r="1253">
          <cell r="A1253" t="str">
            <v>5,00,02</v>
          </cell>
          <cell r="B1253" t="str">
            <v>tuerca hexagonal de 1/2"</v>
          </cell>
          <cell r="C1253" t="str">
            <v>und</v>
          </cell>
          <cell r="E1253">
            <v>3.3333333333333335</v>
          </cell>
          <cell r="F1253">
            <v>0.12</v>
          </cell>
          <cell r="G1253">
            <v>0.4</v>
          </cell>
        </row>
        <row r="1254">
          <cell r="A1254" t="str">
            <v>5,00,02</v>
          </cell>
          <cell r="B1254" t="str">
            <v>Arandela cuadrada de 1/2"</v>
          </cell>
          <cell r="C1254" t="str">
            <v>und</v>
          </cell>
          <cell r="E1254">
            <v>3.3333333333333335</v>
          </cell>
          <cell r="F1254">
            <v>0.53</v>
          </cell>
          <cell r="G1254">
            <v>1.77</v>
          </cell>
        </row>
        <row r="1255">
          <cell r="A1255" t="str">
            <v>5,00,02</v>
          </cell>
          <cell r="B1255" t="str">
            <v>Taco de expansión de 1/2"</v>
          </cell>
          <cell r="C1255" t="str">
            <v>und</v>
          </cell>
          <cell r="E1255">
            <v>1.6666666666666667</v>
          </cell>
          <cell r="F1255">
            <v>1.06</v>
          </cell>
          <cell r="G1255">
            <v>1.77</v>
          </cell>
        </row>
        <row r="1256">
          <cell r="A1256" t="str">
            <v>5,00,02</v>
          </cell>
          <cell r="B1256" t="str">
            <v>Mano de obra</v>
          </cell>
          <cell r="G1256">
            <v>2.75</v>
          </cell>
        </row>
        <row r="1257">
          <cell r="A1257" t="str">
            <v>5,00,02</v>
          </cell>
          <cell r="B1257" t="str">
            <v>Operario</v>
          </cell>
          <cell r="C1257" t="str">
            <v>HH</v>
          </cell>
          <cell r="D1257">
            <v>1</v>
          </cell>
          <cell r="E1257">
            <v>0.53333333333333333</v>
          </cell>
          <cell r="F1257">
            <v>2.84</v>
          </cell>
          <cell r="G1257">
            <v>1.51</v>
          </cell>
          <cell r="H1257">
            <v>15</v>
          </cell>
        </row>
        <row r="1258">
          <cell r="A1258" t="str">
            <v>5,00,02</v>
          </cell>
          <cell r="B1258" t="str">
            <v>Peón</v>
          </cell>
          <cell r="C1258" t="str">
            <v>HH</v>
          </cell>
          <cell r="D1258">
            <v>1</v>
          </cell>
          <cell r="E1258">
            <v>0.53333333333333333</v>
          </cell>
          <cell r="F1258">
            <v>2.3199999999999998</v>
          </cell>
          <cell r="G1258">
            <v>1.24</v>
          </cell>
          <cell r="H1258">
            <v>15</v>
          </cell>
        </row>
        <row r="1259">
          <cell r="A1259" t="str">
            <v>5,00,02</v>
          </cell>
          <cell r="B1259" t="str">
            <v>Equipos</v>
          </cell>
          <cell r="G1259">
            <v>0.64</v>
          </cell>
        </row>
        <row r="1260">
          <cell r="A1260" t="str">
            <v>5,00,02</v>
          </cell>
          <cell r="B1260" t="str">
            <v>Escalera</v>
          </cell>
          <cell r="C1260" t="str">
            <v>DIA</v>
          </cell>
          <cell r="D1260">
            <v>1</v>
          </cell>
          <cell r="E1260">
            <v>6.6666666666666666E-2</v>
          </cell>
          <cell r="F1260">
            <v>1</v>
          </cell>
          <cell r="G1260">
            <v>7.0000000000000007E-2</v>
          </cell>
        </row>
        <row r="1261">
          <cell r="A1261" t="str">
            <v>5,00,02</v>
          </cell>
          <cell r="B1261" t="str">
            <v>Taladro Hilti</v>
          </cell>
          <cell r="C1261" t="str">
            <v>DIA</v>
          </cell>
          <cell r="D1261">
            <v>1</v>
          </cell>
          <cell r="E1261">
            <v>6.6666666666666666E-2</v>
          </cell>
          <cell r="F1261">
            <v>6.5</v>
          </cell>
          <cell r="G1261">
            <v>0.43</v>
          </cell>
        </row>
        <row r="1262">
          <cell r="A1262" t="str">
            <v>5,00,02</v>
          </cell>
          <cell r="B1262" t="str">
            <v>Desgaste de herramientas</v>
          </cell>
          <cell r="C1262" t="str">
            <v>%MO</v>
          </cell>
          <cell r="E1262">
            <v>0.05</v>
          </cell>
          <cell r="F1262">
            <v>2.75</v>
          </cell>
          <cell r="G1262">
            <v>0.14000000000000001</v>
          </cell>
        </row>
        <row r="1263">
          <cell r="A1263" t="str">
            <v>5,00,03</v>
          </cell>
          <cell r="B1263" t="str">
            <v>Bandeja portacable tipo escalerilla de 1000x100 mm c/tapa</v>
          </cell>
          <cell r="F1263" t="str">
            <v>( ml )</v>
          </cell>
          <cell r="G1263">
            <v>170.01999999999998</v>
          </cell>
        </row>
        <row r="1264">
          <cell r="A1264" t="str">
            <v>5,00,03</v>
          </cell>
          <cell r="C1264" t="str">
            <v>und.</v>
          </cell>
          <cell r="D1264" t="str">
            <v>cuad.</v>
          </cell>
          <cell r="E1264" t="str">
            <v>cant.</v>
          </cell>
          <cell r="F1264" t="str">
            <v>prec. $</v>
          </cell>
          <cell r="G1264" t="str">
            <v>parcial $</v>
          </cell>
        </row>
        <row r="1265">
          <cell r="A1265" t="str">
            <v>5,00,03</v>
          </cell>
          <cell r="B1265" t="str">
            <v>Materiales</v>
          </cell>
          <cell r="G1265">
            <v>163.66</v>
          </cell>
        </row>
        <row r="1266">
          <cell r="A1266" t="str">
            <v>5,00,03</v>
          </cell>
          <cell r="B1266" t="str">
            <v>Bandeja portacable tipo escalerilla de 1000x100 mm</v>
          </cell>
          <cell r="C1266" t="str">
            <v>ml</v>
          </cell>
          <cell r="E1266">
            <v>1</v>
          </cell>
          <cell r="F1266">
            <v>31.54</v>
          </cell>
          <cell r="G1266">
            <v>31.54</v>
          </cell>
        </row>
        <row r="1267">
          <cell r="A1267" t="str">
            <v>5,00,03</v>
          </cell>
          <cell r="B1267" t="str">
            <v>Codo 90° bandeja 1000x400x100mm</v>
          </cell>
          <cell r="C1267" t="str">
            <v>und</v>
          </cell>
          <cell r="E1267">
            <v>1</v>
          </cell>
          <cell r="F1267">
            <v>115</v>
          </cell>
          <cell r="G1267">
            <v>115</v>
          </cell>
        </row>
        <row r="1268">
          <cell r="A1268" t="str">
            <v>5,00,03</v>
          </cell>
          <cell r="B1268" t="str">
            <v>Riel acanalado unistrut</v>
          </cell>
          <cell r="C1268" t="str">
            <v>und</v>
          </cell>
          <cell r="E1268">
            <v>0.5</v>
          </cell>
          <cell r="F1268">
            <v>17.37</v>
          </cell>
          <cell r="G1268">
            <v>8.69</v>
          </cell>
        </row>
        <row r="1269">
          <cell r="A1269" t="str">
            <v>5,00,03</v>
          </cell>
          <cell r="B1269" t="str">
            <v>Varilla roscada de 1/2"x1,8</v>
          </cell>
          <cell r="C1269" t="str">
            <v>und</v>
          </cell>
          <cell r="E1269">
            <v>1</v>
          </cell>
          <cell r="F1269">
            <v>3.71</v>
          </cell>
          <cell r="G1269">
            <v>3.71</v>
          </cell>
        </row>
        <row r="1270">
          <cell r="A1270" t="str">
            <v>5,00,03</v>
          </cell>
          <cell r="B1270" t="str">
            <v>tuerca hexagonal de 1/2"</v>
          </cell>
          <cell r="C1270" t="str">
            <v>und</v>
          </cell>
          <cell r="E1270">
            <v>4</v>
          </cell>
          <cell r="F1270">
            <v>0.12</v>
          </cell>
          <cell r="G1270">
            <v>0.48</v>
          </cell>
        </row>
        <row r="1271">
          <cell r="A1271" t="str">
            <v>5,00,03</v>
          </cell>
          <cell r="B1271" t="str">
            <v>Arandela cuadrada de 1/2"</v>
          </cell>
          <cell r="C1271" t="str">
            <v>und</v>
          </cell>
          <cell r="E1271">
            <v>4</v>
          </cell>
          <cell r="F1271">
            <v>0.53</v>
          </cell>
          <cell r="G1271">
            <v>2.12</v>
          </cell>
        </row>
        <row r="1272">
          <cell r="A1272" t="str">
            <v>5,00,03</v>
          </cell>
          <cell r="B1272" t="str">
            <v>Taco de expansión de 1/2"</v>
          </cell>
          <cell r="C1272" t="str">
            <v>und</v>
          </cell>
          <cell r="E1272">
            <v>2</v>
          </cell>
          <cell r="F1272">
            <v>1.06</v>
          </cell>
          <cell r="G1272">
            <v>2.12</v>
          </cell>
        </row>
        <row r="1273">
          <cell r="A1273" t="str">
            <v>5,00,03</v>
          </cell>
          <cell r="B1273" t="str">
            <v>Mano de obra</v>
          </cell>
          <cell r="G1273">
            <v>5.16</v>
          </cell>
        </row>
        <row r="1274">
          <cell r="A1274" t="str">
            <v>5,00,03</v>
          </cell>
          <cell r="B1274" t="str">
            <v>Operario</v>
          </cell>
          <cell r="C1274" t="str">
            <v>HH</v>
          </cell>
          <cell r="D1274">
            <v>1</v>
          </cell>
          <cell r="E1274">
            <v>1</v>
          </cell>
          <cell r="F1274">
            <v>2.84</v>
          </cell>
          <cell r="G1274">
            <v>2.84</v>
          </cell>
          <cell r="H1274">
            <v>8</v>
          </cell>
        </row>
        <row r="1275">
          <cell r="A1275" t="str">
            <v>5,00,03</v>
          </cell>
          <cell r="B1275" t="str">
            <v>Peón</v>
          </cell>
          <cell r="C1275" t="str">
            <v>HH</v>
          </cell>
          <cell r="D1275">
            <v>1</v>
          </cell>
          <cell r="E1275">
            <v>1</v>
          </cell>
          <cell r="F1275">
            <v>2.3199999999999998</v>
          </cell>
          <cell r="G1275">
            <v>2.3199999999999998</v>
          </cell>
          <cell r="H1275">
            <v>8</v>
          </cell>
        </row>
        <row r="1276">
          <cell r="A1276" t="str">
            <v>5,00,03</v>
          </cell>
          <cell r="B1276" t="str">
            <v>Equipos</v>
          </cell>
          <cell r="G1276">
            <v>1.2000000000000002</v>
          </cell>
        </row>
        <row r="1277">
          <cell r="A1277" t="str">
            <v>5,00,03</v>
          </cell>
          <cell r="B1277" t="str">
            <v>Escalera</v>
          </cell>
          <cell r="C1277" t="str">
            <v>DIA</v>
          </cell>
          <cell r="D1277">
            <v>1</v>
          </cell>
          <cell r="E1277">
            <v>0.125</v>
          </cell>
          <cell r="F1277">
            <v>1</v>
          </cell>
          <cell r="G1277">
            <v>0.13</v>
          </cell>
        </row>
        <row r="1278">
          <cell r="A1278" t="str">
            <v>5,00,03</v>
          </cell>
          <cell r="B1278" t="str">
            <v>Taladro Hilti</v>
          </cell>
          <cell r="C1278" t="str">
            <v>DIA</v>
          </cell>
          <cell r="D1278">
            <v>1</v>
          </cell>
          <cell r="E1278">
            <v>0.125</v>
          </cell>
          <cell r="F1278">
            <v>6.5</v>
          </cell>
          <cell r="G1278">
            <v>0.81</v>
          </cell>
        </row>
        <row r="1279">
          <cell r="A1279" t="str">
            <v>5,00,03</v>
          </cell>
          <cell r="B1279" t="str">
            <v>Desgaste de herramientas</v>
          </cell>
          <cell r="C1279" t="str">
            <v>%MO</v>
          </cell>
          <cell r="E1279">
            <v>0.05</v>
          </cell>
          <cell r="F1279">
            <v>5.16</v>
          </cell>
          <cell r="G1279">
            <v>0.26</v>
          </cell>
        </row>
        <row r="1280">
          <cell r="A1280" t="str">
            <v>5,00,04</v>
          </cell>
          <cell r="B1280" t="str">
            <v>Bandeja portacable tipo escalerilla de 400x100 mm c/tapa</v>
          </cell>
          <cell r="F1280" t="str">
            <v>( ml )</v>
          </cell>
          <cell r="G1280">
            <v>30.14</v>
          </cell>
        </row>
        <row r="1281">
          <cell r="A1281" t="str">
            <v>5,00,04</v>
          </cell>
          <cell r="C1281" t="str">
            <v>und.</v>
          </cell>
          <cell r="D1281" t="str">
            <v>cuad.</v>
          </cell>
          <cell r="E1281" t="str">
            <v>cant.</v>
          </cell>
          <cell r="F1281" t="str">
            <v>prec. $</v>
          </cell>
          <cell r="G1281" t="str">
            <v>parcial $</v>
          </cell>
        </row>
        <row r="1282">
          <cell r="A1282" t="str">
            <v>5,00,04</v>
          </cell>
          <cell r="B1282" t="str">
            <v>Materiales</v>
          </cell>
          <cell r="G1282">
            <v>25.05</v>
          </cell>
        </row>
        <row r="1283">
          <cell r="A1283" t="str">
            <v>5,00,04</v>
          </cell>
          <cell r="B1283" t="str">
            <v>Bandeja portacable tipo escalerilla de 400x100 mm</v>
          </cell>
          <cell r="C1283" t="str">
            <v>ml</v>
          </cell>
          <cell r="E1283">
            <v>1</v>
          </cell>
          <cell r="F1283">
            <v>15</v>
          </cell>
          <cell r="G1283">
            <v>15</v>
          </cell>
        </row>
        <row r="1284">
          <cell r="A1284" t="str">
            <v>5,00,04</v>
          </cell>
          <cell r="B1284" t="str">
            <v>Riel acanalado unistrut</v>
          </cell>
          <cell r="C1284" t="str">
            <v>und</v>
          </cell>
          <cell r="E1284">
            <v>0.2</v>
          </cell>
          <cell r="F1284">
            <v>17.37</v>
          </cell>
          <cell r="G1284">
            <v>3.47</v>
          </cell>
        </row>
        <row r="1285">
          <cell r="A1285" t="str">
            <v>5,00,04</v>
          </cell>
          <cell r="B1285" t="str">
            <v>Varilla roscada de 1/2"x1,8</v>
          </cell>
          <cell r="C1285" t="str">
            <v>und</v>
          </cell>
          <cell r="E1285">
            <v>0.5</v>
          </cell>
          <cell r="F1285">
            <v>3.71</v>
          </cell>
          <cell r="G1285">
            <v>1.86</v>
          </cell>
        </row>
        <row r="1286">
          <cell r="A1286" t="str">
            <v>5,00,04</v>
          </cell>
          <cell r="B1286" t="str">
            <v>tuerca hexagonal de 1/2"</v>
          </cell>
          <cell r="C1286" t="str">
            <v>und</v>
          </cell>
          <cell r="E1286">
            <v>4</v>
          </cell>
          <cell r="F1286">
            <v>0.12</v>
          </cell>
          <cell r="G1286">
            <v>0.48</v>
          </cell>
        </row>
        <row r="1287">
          <cell r="A1287" t="str">
            <v>5,00,04</v>
          </cell>
          <cell r="B1287" t="str">
            <v>Arandela cuadrada de 1/2"</v>
          </cell>
          <cell r="C1287" t="str">
            <v>und</v>
          </cell>
          <cell r="E1287">
            <v>4</v>
          </cell>
          <cell r="F1287">
            <v>0.53</v>
          </cell>
          <cell r="G1287">
            <v>2.12</v>
          </cell>
        </row>
        <row r="1288">
          <cell r="A1288" t="str">
            <v>5,00,04</v>
          </cell>
          <cell r="B1288" t="str">
            <v>Taco de expansión de 1/2"</v>
          </cell>
          <cell r="C1288" t="str">
            <v>und</v>
          </cell>
          <cell r="E1288">
            <v>2</v>
          </cell>
          <cell r="F1288">
            <v>1.06</v>
          </cell>
          <cell r="G1288">
            <v>2.12</v>
          </cell>
        </row>
        <row r="1289">
          <cell r="A1289" t="str">
            <v>5,00,04</v>
          </cell>
          <cell r="B1289" t="str">
            <v>Mano de obra</v>
          </cell>
          <cell r="G1289">
            <v>4.13</v>
          </cell>
        </row>
        <row r="1290">
          <cell r="A1290" t="str">
            <v>5,00,04</v>
          </cell>
          <cell r="B1290" t="str">
            <v>Operario</v>
          </cell>
          <cell r="C1290" t="str">
            <v>HH</v>
          </cell>
          <cell r="D1290">
            <v>1</v>
          </cell>
          <cell r="E1290">
            <v>0.8</v>
          </cell>
          <cell r="F1290">
            <v>2.84</v>
          </cell>
          <cell r="G1290">
            <v>2.27</v>
          </cell>
          <cell r="H1290">
            <v>10</v>
          </cell>
        </row>
        <row r="1291">
          <cell r="A1291" t="str">
            <v>5,00,04</v>
          </cell>
          <cell r="B1291" t="str">
            <v>Peón</v>
          </cell>
          <cell r="C1291" t="str">
            <v>HH</v>
          </cell>
          <cell r="D1291">
            <v>1</v>
          </cell>
          <cell r="E1291">
            <v>0.8</v>
          </cell>
          <cell r="F1291">
            <v>2.3199999999999998</v>
          </cell>
          <cell r="G1291">
            <v>1.86</v>
          </cell>
          <cell r="H1291">
            <v>10</v>
          </cell>
        </row>
        <row r="1292">
          <cell r="A1292" t="str">
            <v>5,00,04</v>
          </cell>
          <cell r="B1292" t="str">
            <v>Equipos</v>
          </cell>
          <cell r="G1292">
            <v>0.96</v>
          </cell>
        </row>
        <row r="1293">
          <cell r="A1293" t="str">
            <v>5,00,04</v>
          </cell>
          <cell r="B1293" t="str">
            <v>Escalera</v>
          </cell>
          <cell r="C1293" t="str">
            <v>DIA</v>
          </cell>
          <cell r="D1293">
            <v>1</v>
          </cell>
          <cell r="E1293">
            <v>0.1</v>
          </cell>
          <cell r="F1293">
            <v>1</v>
          </cell>
          <cell r="G1293">
            <v>0.1</v>
          </cell>
        </row>
        <row r="1294">
          <cell r="A1294" t="str">
            <v>5,00,04</v>
          </cell>
          <cell r="B1294" t="str">
            <v>Taladro Hilti</v>
          </cell>
          <cell r="C1294" t="str">
            <v>DIA</v>
          </cell>
          <cell r="D1294">
            <v>1</v>
          </cell>
          <cell r="E1294">
            <v>0.1</v>
          </cell>
          <cell r="F1294">
            <v>6.5</v>
          </cell>
          <cell r="G1294">
            <v>0.65</v>
          </cell>
        </row>
        <row r="1295">
          <cell r="A1295" t="str">
            <v>5,00,04</v>
          </cell>
          <cell r="B1295" t="str">
            <v>Desgaste de herramientas</v>
          </cell>
          <cell r="C1295" t="str">
            <v>%MO</v>
          </cell>
          <cell r="E1295">
            <v>0.05</v>
          </cell>
          <cell r="F1295">
            <v>4.13</v>
          </cell>
          <cell r="G1295">
            <v>0.21</v>
          </cell>
        </row>
        <row r="1296">
          <cell r="A1296" t="str">
            <v>5,00,05</v>
          </cell>
          <cell r="B1296" t="str">
            <v xml:space="preserve">Bandeja portacable tipo escalerilla de 250x100 mm c/tapa </v>
          </cell>
          <cell r="F1296" t="str">
            <v>( ml )</v>
          </cell>
          <cell r="G1296">
            <v>28.680000000000003</v>
          </cell>
        </row>
        <row r="1297">
          <cell r="A1297" t="str">
            <v>5,00,05</v>
          </cell>
          <cell r="C1297" t="str">
            <v>und.</v>
          </cell>
          <cell r="D1297" t="str">
            <v>cuad.</v>
          </cell>
          <cell r="E1297" t="str">
            <v>cant.</v>
          </cell>
          <cell r="F1297" t="str">
            <v>prec. $</v>
          </cell>
          <cell r="G1297" t="str">
            <v>parcial $</v>
          </cell>
        </row>
        <row r="1298">
          <cell r="A1298" t="str">
            <v>5,00,05</v>
          </cell>
          <cell r="B1298" t="str">
            <v>Materiales</v>
          </cell>
          <cell r="G1298">
            <v>25.290000000000003</v>
          </cell>
        </row>
        <row r="1299">
          <cell r="A1299" t="str">
            <v>5,00,05</v>
          </cell>
          <cell r="B1299" t="str">
            <v>Bandeja portacable lisa c/tapa de 250x100mm</v>
          </cell>
          <cell r="C1299" t="str">
            <v>ml</v>
          </cell>
          <cell r="E1299">
            <v>1</v>
          </cell>
          <cell r="F1299">
            <v>13.5</v>
          </cell>
          <cell r="G1299">
            <v>13.5</v>
          </cell>
        </row>
        <row r="1300">
          <cell r="A1300" t="str">
            <v>5,00,05</v>
          </cell>
          <cell r="B1300" t="str">
            <v>Riel acanalado unistrut</v>
          </cell>
          <cell r="C1300" t="str">
            <v>und</v>
          </cell>
          <cell r="E1300">
            <v>0.3</v>
          </cell>
          <cell r="F1300">
            <v>17.37</v>
          </cell>
          <cell r="G1300">
            <v>5.21</v>
          </cell>
        </row>
        <row r="1301">
          <cell r="A1301" t="str">
            <v>5,00,05</v>
          </cell>
          <cell r="B1301" t="str">
            <v>Varilla roscada de 1/2"x1,8</v>
          </cell>
          <cell r="C1301" t="str">
            <v>und</v>
          </cell>
          <cell r="E1301">
            <v>0.5</v>
          </cell>
          <cell r="F1301">
            <v>3.71</v>
          </cell>
          <cell r="G1301">
            <v>1.86</v>
          </cell>
        </row>
        <row r="1302">
          <cell r="A1302" t="str">
            <v>5,00,05</v>
          </cell>
          <cell r="B1302" t="str">
            <v>tuerca hexagonal de 1/2"</v>
          </cell>
          <cell r="C1302" t="str">
            <v>und</v>
          </cell>
          <cell r="E1302">
            <v>4</v>
          </cell>
          <cell r="F1302">
            <v>0.12</v>
          </cell>
          <cell r="G1302">
            <v>0.48</v>
          </cell>
        </row>
        <row r="1303">
          <cell r="A1303" t="str">
            <v>5,00,05</v>
          </cell>
          <cell r="B1303" t="str">
            <v>Arandela cuadrada de 1/2"</v>
          </cell>
          <cell r="C1303" t="str">
            <v>und</v>
          </cell>
          <cell r="E1303">
            <v>4</v>
          </cell>
          <cell r="F1303">
            <v>0.53</v>
          </cell>
          <cell r="G1303">
            <v>2.12</v>
          </cell>
        </row>
        <row r="1304">
          <cell r="A1304" t="str">
            <v>5,00,05</v>
          </cell>
          <cell r="B1304" t="str">
            <v>Taco de expansión de 1/2"</v>
          </cell>
          <cell r="C1304" t="str">
            <v>und</v>
          </cell>
          <cell r="E1304">
            <v>2</v>
          </cell>
          <cell r="F1304">
            <v>1.06</v>
          </cell>
          <cell r="G1304">
            <v>2.12</v>
          </cell>
        </row>
        <row r="1305">
          <cell r="A1305" t="str">
            <v>5,00,05</v>
          </cell>
          <cell r="B1305" t="str">
            <v>Mano de obra</v>
          </cell>
          <cell r="G1305">
            <v>2.75</v>
          </cell>
        </row>
        <row r="1306">
          <cell r="A1306" t="str">
            <v>5,00,05</v>
          </cell>
          <cell r="B1306" t="str">
            <v>Operario</v>
          </cell>
          <cell r="C1306" t="str">
            <v>HH</v>
          </cell>
          <cell r="D1306">
            <v>1</v>
          </cell>
          <cell r="E1306">
            <v>0.53333333333333333</v>
          </cell>
          <cell r="F1306">
            <v>2.84</v>
          </cell>
          <cell r="G1306">
            <v>1.51</v>
          </cell>
          <cell r="H1306">
            <v>15</v>
          </cell>
        </row>
        <row r="1307">
          <cell r="A1307" t="str">
            <v>5,00,05</v>
          </cell>
          <cell r="B1307" t="str">
            <v>Peón</v>
          </cell>
          <cell r="C1307" t="str">
            <v>HH</v>
          </cell>
          <cell r="D1307">
            <v>1</v>
          </cell>
          <cell r="E1307">
            <v>0.53333333333333333</v>
          </cell>
          <cell r="F1307">
            <v>2.3199999999999998</v>
          </cell>
          <cell r="G1307">
            <v>1.24</v>
          </cell>
          <cell r="H1307">
            <v>15</v>
          </cell>
        </row>
        <row r="1308">
          <cell r="A1308" t="str">
            <v>5,00,05</v>
          </cell>
          <cell r="B1308" t="str">
            <v>Equipos</v>
          </cell>
          <cell r="G1308">
            <v>0.64</v>
          </cell>
        </row>
        <row r="1309">
          <cell r="A1309" t="str">
            <v>5,00,05</v>
          </cell>
          <cell r="B1309" t="str">
            <v>Escalera</v>
          </cell>
          <cell r="C1309" t="str">
            <v>DIA</v>
          </cell>
          <cell r="D1309">
            <v>1</v>
          </cell>
          <cell r="E1309">
            <v>6.6666666666666666E-2</v>
          </cell>
          <cell r="F1309">
            <v>1</v>
          </cell>
          <cell r="G1309">
            <v>7.0000000000000007E-2</v>
          </cell>
        </row>
        <row r="1310">
          <cell r="A1310" t="str">
            <v>5,00,05</v>
          </cell>
          <cell r="B1310" t="str">
            <v>Taladro Hilti</v>
          </cell>
          <cell r="C1310" t="str">
            <v>DIA</v>
          </cell>
          <cell r="D1310">
            <v>1</v>
          </cell>
          <cell r="E1310">
            <v>6.6666666666666666E-2</v>
          </cell>
          <cell r="F1310">
            <v>6.5</v>
          </cell>
          <cell r="G1310">
            <v>0.43</v>
          </cell>
        </row>
        <row r="1311">
          <cell r="A1311" t="str">
            <v>5,00,05</v>
          </cell>
          <cell r="B1311" t="str">
            <v>Desgaste de herramientas</v>
          </cell>
          <cell r="C1311" t="str">
            <v>%MO</v>
          </cell>
          <cell r="E1311">
            <v>0.05</v>
          </cell>
          <cell r="F1311">
            <v>2.75</v>
          </cell>
          <cell r="G1311">
            <v>0.14000000000000001</v>
          </cell>
        </row>
        <row r="1312">
          <cell r="A1312" t="str">
            <v>5,00,06</v>
          </cell>
          <cell r="B1312" t="str">
            <v>Canaleta PVC de 100x50 mm hellerman tyton</v>
          </cell>
          <cell r="F1312" t="str">
            <v>( ml )</v>
          </cell>
          <cell r="G1312">
            <v>14.600000000000001</v>
          </cell>
        </row>
        <row r="1313">
          <cell r="A1313" t="str">
            <v>5,00,06</v>
          </cell>
          <cell r="C1313" t="str">
            <v>und.</v>
          </cell>
          <cell r="D1313" t="str">
            <v>cuad.</v>
          </cell>
          <cell r="E1313" t="str">
            <v>cant.</v>
          </cell>
          <cell r="F1313" t="str">
            <v>prec. $</v>
          </cell>
          <cell r="G1313" t="str">
            <v>parcial $</v>
          </cell>
        </row>
        <row r="1314">
          <cell r="A1314" t="str">
            <v>5,00,06</v>
          </cell>
          <cell r="B1314" t="str">
            <v>Materiales</v>
          </cell>
          <cell r="G1314">
            <v>10.97</v>
          </cell>
        </row>
        <row r="1315">
          <cell r="A1315" t="str">
            <v>5,00,06</v>
          </cell>
          <cell r="B1315" t="str">
            <v>Canaleta PVC de 100x50 mm hellerman tyton</v>
          </cell>
          <cell r="C1315" t="str">
            <v>ml</v>
          </cell>
          <cell r="E1315">
            <v>1</v>
          </cell>
          <cell r="F1315">
            <v>5.75</v>
          </cell>
          <cell r="G1315">
            <v>5.75</v>
          </cell>
        </row>
        <row r="1316">
          <cell r="A1316" t="str">
            <v>5,00,06</v>
          </cell>
          <cell r="B1316" t="str">
            <v>Separador interno</v>
          </cell>
          <cell r="C1316" t="str">
            <v>und</v>
          </cell>
          <cell r="E1316">
            <v>0.5</v>
          </cell>
          <cell r="F1316">
            <v>1.55</v>
          </cell>
          <cell r="G1316">
            <v>0.78</v>
          </cell>
        </row>
        <row r="1317">
          <cell r="A1317" t="str">
            <v>5,00,06</v>
          </cell>
          <cell r="B1317" t="str">
            <v>Angulo interno movil</v>
          </cell>
          <cell r="C1317" t="str">
            <v>und</v>
          </cell>
          <cell r="E1317">
            <v>0.16393442622950818</v>
          </cell>
          <cell r="F1317">
            <v>4.5999999999999996</v>
          </cell>
          <cell r="G1317">
            <v>0.75</v>
          </cell>
        </row>
        <row r="1318">
          <cell r="A1318" t="str">
            <v>5,00,06</v>
          </cell>
          <cell r="B1318" t="str">
            <v>Angulo externo movil</v>
          </cell>
          <cell r="C1318" t="str">
            <v>und</v>
          </cell>
          <cell r="E1318">
            <v>0.21311475409836064</v>
          </cell>
          <cell r="F1318">
            <v>4.5999999999999996</v>
          </cell>
          <cell r="G1318">
            <v>0.98</v>
          </cell>
        </row>
        <row r="1319">
          <cell r="A1319" t="str">
            <v>5,00,06</v>
          </cell>
          <cell r="B1319" t="str">
            <v>Tapa final</v>
          </cell>
          <cell r="C1319" t="str">
            <v>und</v>
          </cell>
          <cell r="E1319">
            <v>9.8360655737704916E-2</v>
          </cell>
          <cell r="F1319">
            <v>0.98</v>
          </cell>
          <cell r="G1319">
            <v>0.1</v>
          </cell>
        </row>
        <row r="1320">
          <cell r="A1320" t="str">
            <v>5,00,06</v>
          </cell>
          <cell r="B1320" t="str">
            <v>Curva plana con separadores</v>
          </cell>
          <cell r="C1320" t="str">
            <v>und</v>
          </cell>
          <cell r="E1320">
            <v>2.4590163934426229E-2</v>
          </cell>
          <cell r="F1320">
            <v>5.8</v>
          </cell>
          <cell r="G1320">
            <v>0.14000000000000001</v>
          </cell>
        </row>
        <row r="1321">
          <cell r="A1321" t="str">
            <v>5,00,06</v>
          </cell>
          <cell r="B1321" t="str">
            <v>Derivación Tee con separadores</v>
          </cell>
          <cell r="C1321" t="str">
            <v>und</v>
          </cell>
          <cell r="E1321">
            <v>0.19672131147540983</v>
          </cell>
          <cell r="F1321">
            <v>9.3000000000000007</v>
          </cell>
          <cell r="G1321">
            <v>1.83</v>
          </cell>
        </row>
        <row r="1322">
          <cell r="A1322" t="str">
            <v>5,00,06</v>
          </cell>
          <cell r="B1322" t="str">
            <v>Tarugo plastico verde de 1/4</v>
          </cell>
          <cell r="C1322" t="str">
            <v>und</v>
          </cell>
          <cell r="E1322">
            <v>4.0983606557377046</v>
          </cell>
          <cell r="F1322">
            <v>0.115</v>
          </cell>
          <cell r="G1322">
            <v>0.47</v>
          </cell>
        </row>
        <row r="1323">
          <cell r="A1323" t="str">
            <v>5,00,06</v>
          </cell>
          <cell r="B1323" t="str">
            <v>Tornillo autoroscante de 8x1"</v>
          </cell>
          <cell r="C1323" t="str">
            <v>und</v>
          </cell>
          <cell r="E1323">
            <v>4.0983606557377046</v>
          </cell>
          <cell r="F1323">
            <v>4.2000000000000003E-2</v>
          </cell>
          <cell r="G1323">
            <v>0.17</v>
          </cell>
        </row>
        <row r="1324">
          <cell r="A1324" t="str">
            <v>5,00,06</v>
          </cell>
          <cell r="B1324" t="str">
            <v>Mano de obra</v>
          </cell>
          <cell r="G1324">
            <v>2.95</v>
          </cell>
        </row>
        <row r="1325">
          <cell r="A1325" t="str">
            <v>5,00,06</v>
          </cell>
          <cell r="B1325" t="str">
            <v>Operario</v>
          </cell>
          <cell r="C1325" t="str">
            <v>HH</v>
          </cell>
          <cell r="D1325">
            <v>1</v>
          </cell>
          <cell r="E1325">
            <v>0.5714285714285714</v>
          </cell>
          <cell r="F1325">
            <v>2.84</v>
          </cell>
          <cell r="G1325">
            <v>1.62</v>
          </cell>
          <cell r="H1325">
            <v>14</v>
          </cell>
        </row>
        <row r="1326">
          <cell r="A1326" t="str">
            <v>5,00,06</v>
          </cell>
          <cell r="B1326" t="str">
            <v>Peón</v>
          </cell>
          <cell r="C1326" t="str">
            <v>HH</v>
          </cell>
          <cell r="D1326">
            <v>1</v>
          </cell>
          <cell r="E1326">
            <v>0.5714285714285714</v>
          </cell>
          <cell r="F1326">
            <v>2.3199999999999998</v>
          </cell>
          <cell r="G1326">
            <v>1.33</v>
          </cell>
          <cell r="H1326">
            <v>14</v>
          </cell>
        </row>
        <row r="1327">
          <cell r="A1327" t="str">
            <v>5,00,06</v>
          </cell>
          <cell r="B1327" t="str">
            <v>Equipos</v>
          </cell>
          <cell r="G1327">
            <v>0.68</v>
          </cell>
        </row>
        <row r="1328">
          <cell r="A1328" t="str">
            <v>5,00,06</v>
          </cell>
          <cell r="B1328" t="str">
            <v>Escalera</v>
          </cell>
          <cell r="C1328" t="str">
            <v>DIA</v>
          </cell>
          <cell r="D1328">
            <v>1</v>
          </cell>
          <cell r="E1328">
            <v>7.1428571428571425E-2</v>
          </cell>
          <cell r="F1328">
            <v>1</v>
          </cell>
          <cell r="G1328">
            <v>7.0000000000000007E-2</v>
          </cell>
        </row>
        <row r="1329">
          <cell r="A1329" t="str">
            <v>5,00,06</v>
          </cell>
          <cell r="B1329" t="str">
            <v>Taladro Hilti</v>
          </cell>
          <cell r="C1329" t="str">
            <v>DIA</v>
          </cell>
          <cell r="D1329">
            <v>1</v>
          </cell>
          <cell r="E1329">
            <v>7.1428571428571425E-2</v>
          </cell>
          <cell r="F1329">
            <v>6.5</v>
          </cell>
          <cell r="G1329">
            <v>0.46</v>
          </cell>
        </row>
        <row r="1330">
          <cell r="A1330" t="str">
            <v>5,00,06</v>
          </cell>
          <cell r="B1330" t="str">
            <v>Desgaste de herramientas</v>
          </cell>
          <cell r="C1330" t="str">
            <v>%MO</v>
          </cell>
          <cell r="E1330">
            <v>0.05</v>
          </cell>
          <cell r="F1330">
            <v>2.95</v>
          </cell>
          <cell r="G1330">
            <v>0.15</v>
          </cell>
        </row>
        <row r="1331">
          <cell r="A1331" t="str">
            <v>5,00,07</v>
          </cell>
          <cell r="B1331" t="str">
            <v>Cajas cuadrada de PVC de 180x80 mm</v>
          </cell>
          <cell r="F1331" t="str">
            <v>( und )</v>
          </cell>
          <cell r="G1331">
            <v>22.200000000000003</v>
          </cell>
        </row>
        <row r="1332">
          <cell r="A1332" t="str">
            <v>5,00,07</v>
          </cell>
          <cell r="C1332" t="str">
            <v>und.</v>
          </cell>
          <cell r="D1332" t="str">
            <v>cuad.</v>
          </cell>
          <cell r="E1332" t="str">
            <v>cant.</v>
          </cell>
          <cell r="F1332" t="str">
            <v>prec. $</v>
          </cell>
          <cell r="G1332" t="str">
            <v>parcial $</v>
          </cell>
        </row>
        <row r="1333">
          <cell r="A1333" t="str">
            <v>5,00,07</v>
          </cell>
          <cell r="B1333" t="str">
            <v>Materiales</v>
          </cell>
          <cell r="G1333">
            <v>17.110000000000003</v>
          </cell>
        </row>
        <row r="1334">
          <cell r="A1334" t="str">
            <v>5,00,07</v>
          </cell>
          <cell r="B1334" t="str">
            <v>Cajas cuadrada de PVC de 180x80 mm</v>
          </cell>
          <cell r="C1334" t="str">
            <v>ml</v>
          </cell>
          <cell r="E1334">
            <v>1</v>
          </cell>
          <cell r="F1334">
            <v>16.166</v>
          </cell>
          <cell r="G1334">
            <v>16.170000000000002</v>
          </cell>
        </row>
        <row r="1335">
          <cell r="A1335" t="str">
            <v>5,00,07</v>
          </cell>
          <cell r="B1335" t="str">
            <v>Tarugo plastico verde de 1/4</v>
          </cell>
          <cell r="C1335" t="str">
            <v>und</v>
          </cell>
          <cell r="E1335">
            <v>6</v>
          </cell>
          <cell r="F1335">
            <v>0.115</v>
          </cell>
          <cell r="G1335">
            <v>0.69</v>
          </cell>
        </row>
        <row r="1336">
          <cell r="A1336" t="str">
            <v>5,00,07</v>
          </cell>
          <cell r="B1336" t="str">
            <v>Tornillo autoroscante de 8x1"</v>
          </cell>
          <cell r="C1336" t="str">
            <v>und</v>
          </cell>
          <cell r="E1336">
            <v>6</v>
          </cell>
          <cell r="F1336">
            <v>4.2000000000000003E-2</v>
          </cell>
          <cell r="G1336">
            <v>0.25</v>
          </cell>
        </row>
        <row r="1337">
          <cell r="A1337" t="str">
            <v>5,00,07</v>
          </cell>
          <cell r="B1337" t="str">
            <v>Mano de obra</v>
          </cell>
          <cell r="G1337">
            <v>4.13</v>
          </cell>
        </row>
        <row r="1338">
          <cell r="A1338" t="str">
            <v>5,00,07</v>
          </cell>
          <cell r="B1338" t="str">
            <v>Operario</v>
          </cell>
          <cell r="C1338" t="str">
            <v>HH</v>
          </cell>
          <cell r="D1338">
            <v>1</v>
          </cell>
          <cell r="E1338">
            <v>0.8</v>
          </cell>
          <cell r="F1338">
            <v>2.84</v>
          </cell>
          <cell r="G1338">
            <v>2.27</v>
          </cell>
          <cell r="H1338">
            <v>10</v>
          </cell>
        </row>
        <row r="1339">
          <cell r="A1339" t="str">
            <v>5,00,07</v>
          </cell>
          <cell r="B1339" t="str">
            <v>Peón</v>
          </cell>
          <cell r="C1339" t="str">
            <v>HH</v>
          </cell>
          <cell r="D1339">
            <v>1</v>
          </cell>
          <cell r="E1339">
            <v>0.8</v>
          </cell>
          <cell r="F1339">
            <v>2.3199999999999998</v>
          </cell>
          <cell r="G1339">
            <v>1.86</v>
          </cell>
          <cell r="H1339">
            <v>10</v>
          </cell>
        </row>
        <row r="1340">
          <cell r="A1340" t="str">
            <v>5,00,07</v>
          </cell>
          <cell r="B1340" t="str">
            <v>Equipos</v>
          </cell>
          <cell r="G1340">
            <v>0.96</v>
          </cell>
        </row>
        <row r="1341">
          <cell r="A1341" t="str">
            <v>5,00,07</v>
          </cell>
          <cell r="B1341" t="str">
            <v>Escalera</v>
          </cell>
          <cell r="C1341" t="str">
            <v>DIA</v>
          </cell>
          <cell r="D1341">
            <v>1</v>
          </cell>
          <cell r="E1341">
            <v>0.1</v>
          </cell>
          <cell r="F1341">
            <v>1</v>
          </cell>
          <cell r="G1341">
            <v>0.1</v>
          </cell>
        </row>
        <row r="1342">
          <cell r="A1342" t="str">
            <v>5,00,07</v>
          </cell>
          <cell r="B1342" t="str">
            <v>Taladro Hilti</v>
          </cell>
          <cell r="C1342" t="str">
            <v>DIA</v>
          </cell>
          <cell r="D1342">
            <v>1</v>
          </cell>
          <cell r="E1342">
            <v>0.1</v>
          </cell>
          <cell r="F1342">
            <v>6.5</v>
          </cell>
          <cell r="G1342">
            <v>0.65</v>
          </cell>
        </row>
        <row r="1343">
          <cell r="A1343" t="str">
            <v>5,00,07</v>
          </cell>
          <cell r="B1343" t="str">
            <v>Desgaste de herramientas</v>
          </cell>
          <cell r="C1343" t="str">
            <v>%MO</v>
          </cell>
          <cell r="E1343">
            <v>0.05</v>
          </cell>
          <cell r="F1343">
            <v>4.13</v>
          </cell>
          <cell r="G1343">
            <v>0.21</v>
          </cell>
        </row>
        <row r="1344">
          <cell r="A1344" t="str">
            <v>6,01,01</v>
          </cell>
          <cell r="B1344" t="str">
            <v>Desmontaje de tuberías y cajas existentes de los sistemas de alumbrado, tomacorrientes, voz y data del piso 17.</v>
          </cell>
          <cell r="F1344" t="str">
            <v>( glb )</v>
          </cell>
          <cell r="G1344">
            <v>88.34</v>
          </cell>
        </row>
        <row r="1345">
          <cell r="A1345" t="str">
            <v>6,01,01</v>
          </cell>
          <cell r="C1345" t="str">
            <v>und.</v>
          </cell>
          <cell r="D1345" t="str">
            <v>cuad.</v>
          </cell>
          <cell r="E1345" t="str">
            <v>cant.</v>
          </cell>
          <cell r="F1345" t="str">
            <v>prec. $</v>
          </cell>
          <cell r="G1345" t="str">
            <v>parcial $</v>
          </cell>
        </row>
        <row r="1346">
          <cell r="A1346" t="str">
            <v>6,01,01</v>
          </cell>
          <cell r="B1346" t="str">
            <v>Materiales</v>
          </cell>
          <cell r="G1346">
            <v>0</v>
          </cell>
        </row>
        <row r="1347">
          <cell r="A1347" t="str">
            <v>6,01,01</v>
          </cell>
        </row>
        <row r="1348">
          <cell r="A1348" t="str">
            <v>6,01,01</v>
          </cell>
          <cell r="B1348" t="str">
            <v>Mano de obra</v>
          </cell>
          <cell r="G1348">
            <v>82.56</v>
          </cell>
        </row>
        <row r="1349">
          <cell r="A1349" t="str">
            <v>6,01,01</v>
          </cell>
          <cell r="B1349" t="str">
            <v>Operario</v>
          </cell>
          <cell r="C1349" t="str">
            <v>HH</v>
          </cell>
          <cell r="D1349">
            <v>2</v>
          </cell>
          <cell r="E1349">
            <v>8</v>
          </cell>
          <cell r="F1349">
            <v>2.84</v>
          </cell>
          <cell r="G1349">
            <v>45.44</v>
          </cell>
          <cell r="H1349">
            <v>1</v>
          </cell>
        </row>
        <row r="1350">
          <cell r="A1350" t="str">
            <v>6,01,01</v>
          </cell>
          <cell r="B1350" t="str">
            <v>Peón</v>
          </cell>
          <cell r="C1350" t="str">
            <v>HH</v>
          </cell>
          <cell r="D1350">
            <v>2</v>
          </cell>
          <cell r="E1350">
            <v>8</v>
          </cell>
          <cell r="F1350">
            <v>2.3199999999999998</v>
          </cell>
          <cell r="G1350">
            <v>37.119999999999997</v>
          </cell>
          <cell r="H1350">
            <v>1</v>
          </cell>
        </row>
        <row r="1351">
          <cell r="A1351" t="str">
            <v>6,01,01</v>
          </cell>
          <cell r="B1351" t="str">
            <v>Equipos y/o herramientas</v>
          </cell>
          <cell r="G1351">
            <v>5.7799999999999994</v>
          </cell>
        </row>
        <row r="1352">
          <cell r="A1352" t="str">
            <v>6,01,01</v>
          </cell>
          <cell r="B1352" t="str">
            <v>Cuerpo de andamio de 2 m</v>
          </cell>
          <cell r="C1352" t="str">
            <v>DIA</v>
          </cell>
          <cell r="D1352">
            <v>1</v>
          </cell>
          <cell r="E1352">
            <v>1</v>
          </cell>
          <cell r="F1352">
            <v>0.65</v>
          </cell>
          <cell r="G1352">
            <v>0.65</v>
          </cell>
        </row>
        <row r="1353">
          <cell r="A1353" t="str">
            <v>6,01,01</v>
          </cell>
          <cell r="B1353" t="str">
            <v>Escalera</v>
          </cell>
          <cell r="C1353" t="str">
            <v>DIA</v>
          </cell>
          <cell r="D1353">
            <v>1</v>
          </cell>
          <cell r="E1353">
            <v>1</v>
          </cell>
          <cell r="F1353">
            <v>1</v>
          </cell>
          <cell r="G1353">
            <v>1</v>
          </cell>
        </row>
        <row r="1354">
          <cell r="A1354" t="str">
            <v>6,01,01</v>
          </cell>
          <cell r="B1354" t="str">
            <v>Desgaste de herramientas</v>
          </cell>
          <cell r="C1354" t="str">
            <v>%MO</v>
          </cell>
          <cell r="E1354">
            <v>0.05</v>
          </cell>
          <cell r="F1354">
            <v>82.56</v>
          </cell>
          <cell r="G1354">
            <v>4.13</v>
          </cell>
        </row>
        <row r="1355">
          <cell r="A1355" t="str">
            <v>6,01,02</v>
          </cell>
          <cell r="B1355" t="str">
            <v>Desmontaje de Bandejas metálicas de energia y data</v>
          </cell>
          <cell r="F1355" t="str">
            <v>( ml )</v>
          </cell>
          <cell r="G1355">
            <v>1.2900000000000003</v>
          </cell>
        </row>
        <row r="1356">
          <cell r="A1356" t="str">
            <v>6,01,02</v>
          </cell>
          <cell r="C1356" t="str">
            <v>und.</v>
          </cell>
          <cell r="D1356" t="str">
            <v>cuad.</v>
          </cell>
          <cell r="E1356" t="str">
            <v>cant.</v>
          </cell>
          <cell r="F1356" t="str">
            <v>prec. $</v>
          </cell>
          <cell r="G1356" t="str">
            <v>parcial $</v>
          </cell>
        </row>
        <row r="1357">
          <cell r="A1357" t="str">
            <v>6,01,02</v>
          </cell>
          <cell r="B1357" t="str">
            <v>Materiales</v>
          </cell>
          <cell r="G1357">
            <v>0</v>
          </cell>
        </row>
        <row r="1358">
          <cell r="A1358" t="str">
            <v>6,01,02</v>
          </cell>
        </row>
        <row r="1359">
          <cell r="A1359" t="str">
            <v>6,01,02</v>
          </cell>
          <cell r="B1359" t="str">
            <v>Mano de obra</v>
          </cell>
          <cell r="G1359">
            <v>1.1800000000000002</v>
          </cell>
        </row>
        <row r="1360">
          <cell r="A1360" t="str">
            <v>6,01,02</v>
          </cell>
          <cell r="B1360" t="str">
            <v>Operario</v>
          </cell>
          <cell r="C1360" t="str">
            <v>HH</v>
          </cell>
          <cell r="D1360">
            <v>1</v>
          </cell>
          <cell r="E1360">
            <v>0.22857142857142856</v>
          </cell>
          <cell r="F1360">
            <v>2.84</v>
          </cell>
          <cell r="G1360">
            <v>0.65</v>
          </cell>
          <cell r="H1360">
            <v>35</v>
          </cell>
        </row>
        <row r="1361">
          <cell r="A1361" t="str">
            <v>6,01,02</v>
          </cell>
          <cell r="B1361" t="str">
            <v>Peón</v>
          </cell>
          <cell r="C1361" t="str">
            <v>HH</v>
          </cell>
          <cell r="D1361">
            <v>1</v>
          </cell>
          <cell r="E1361">
            <v>0.22857142857142856</v>
          </cell>
          <cell r="F1361">
            <v>2.3199999999999998</v>
          </cell>
          <cell r="G1361">
            <v>0.53</v>
          </cell>
          <cell r="H1361">
            <v>35</v>
          </cell>
        </row>
        <row r="1362">
          <cell r="A1362" t="str">
            <v>6,01,02</v>
          </cell>
          <cell r="B1362" t="str">
            <v>Equipos y/o herramientas</v>
          </cell>
          <cell r="G1362">
            <v>0.11</v>
          </cell>
        </row>
        <row r="1363">
          <cell r="A1363" t="str">
            <v>6,01,02</v>
          </cell>
          <cell r="B1363" t="str">
            <v>Cuerpo de andamio de 2 m</v>
          </cell>
          <cell r="C1363" t="str">
            <v>DIA</v>
          </cell>
          <cell r="D1363">
            <v>1</v>
          </cell>
          <cell r="E1363">
            <v>2.8571428571428571E-2</v>
          </cell>
          <cell r="F1363">
            <v>0.65</v>
          </cell>
          <cell r="G1363">
            <v>0.02</v>
          </cell>
        </row>
        <row r="1364">
          <cell r="A1364" t="str">
            <v>6,01,02</v>
          </cell>
          <cell r="B1364" t="str">
            <v>Escalera</v>
          </cell>
          <cell r="C1364" t="str">
            <v>DIA</v>
          </cell>
          <cell r="D1364">
            <v>1</v>
          </cell>
          <cell r="E1364">
            <v>2.8571428571428571E-2</v>
          </cell>
          <cell r="F1364">
            <v>1</v>
          </cell>
          <cell r="G1364">
            <v>0.03</v>
          </cell>
        </row>
        <row r="1365">
          <cell r="A1365" t="str">
            <v>6,01,02</v>
          </cell>
          <cell r="B1365" t="str">
            <v>Desgaste de herramientas</v>
          </cell>
          <cell r="C1365" t="str">
            <v>%MO</v>
          </cell>
          <cell r="E1365">
            <v>0.05</v>
          </cell>
          <cell r="F1365">
            <v>1.1800000000000002</v>
          </cell>
          <cell r="G1365">
            <v>0.06</v>
          </cell>
        </row>
        <row r="1366">
          <cell r="A1366" t="str">
            <v>6,01,03</v>
          </cell>
          <cell r="B1366" t="str">
            <v>Interruptor simple en la serie Nuva con dado magic de ticino</v>
          </cell>
          <cell r="F1366" t="str">
            <v>( und )</v>
          </cell>
          <cell r="G1366">
            <v>6.47</v>
          </cell>
        </row>
        <row r="1367">
          <cell r="A1367" t="str">
            <v>6,01,03</v>
          </cell>
          <cell r="C1367" t="str">
            <v>und.</v>
          </cell>
          <cell r="D1367" t="str">
            <v>cuad.</v>
          </cell>
          <cell r="E1367" t="str">
            <v>cant.</v>
          </cell>
          <cell r="F1367" t="str">
            <v>prec. $</v>
          </cell>
          <cell r="G1367" t="str">
            <v>parcial $</v>
          </cell>
        </row>
        <row r="1368">
          <cell r="A1368" t="str">
            <v>6,01,03</v>
          </cell>
          <cell r="B1368" t="str">
            <v>Materiales</v>
          </cell>
          <cell r="G1368">
            <v>3.4399999999999995</v>
          </cell>
        </row>
        <row r="1369">
          <cell r="A1369" t="str">
            <v>6,01,03</v>
          </cell>
          <cell r="B1369" t="str">
            <v>Placa serie Nuva de ticino 1 cavidad</v>
          </cell>
          <cell r="C1369" t="str">
            <v>ml</v>
          </cell>
          <cell r="E1369">
            <v>1</v>
          </cell>
          <cell r="F1369">
            <v>1.47</v>
          </cell>
          <cell r="G1369">
            <v>1.47</v>
          </cell>
        </row>
        <row r="1370">
          <cell r="A1370" t="str">
            <v>6,01,03</v>
          </cell>
          <cell r="B1370" t="str">
            <v>Dado interruptor serie magic de ticino</v>
          </cell>
          <cell r="C1370" t="str">
            <v>und</v>
          </cell>
          <cell r="E1370">
            <v>1</v>
          </cell>
          <cell r="F1370">
            <v>1.167</v>
          </cell>
          <cell r="G1370">
            <v>1.17</v>
          </cell>
        </row>
        <row r="1371">
          <cell r="A1371" t="str">
            <v>6,01,03</v>
          </cell>
          <cell r="B1371" t="str">
            <v xml:space="preserve">Stobolt </v>
          </cell>
          <cell r="C1371" t="str">
            <v>und</v>
          </cell>
          <cell r="E1371">
            <v>2</v>
          </cell>
          <cell r="F1371">
            <v>0.4</v>
          </cell>
          <cell r="G1371">
            <v>0.8</v>
          </cell>
        </row>
        <row r="1372">
          <cell r="A1372" t="str">
            <v>6,01,03</v>
          </cell>
          <cell r="B1372" t="str">
            <v>Mano de obra</v>
          </cell>
          <cell r="G1372">
            <v>2.75</v>
          </cell>
        </row>
        <row r="1373">
          <cell r="A1373" t="str">
            <v>6,01,03</v>
          </cell>
          <cell r="B1373" t="str">
            <v>Operario</v>
          </cell>
          <cell r="C1373" t="str">
            <v>HH</v>
          </cell>
          <cell r="D1373">
            <v>1</v>
          </cell>
          <cell r="E1373">
            <v>0.53333333333333333</v>
          </cell>
          <cell r="F1373">
            <v>2.84</v>
          </cell>
          <cell r="G1373">
            <v>1.51</v>
          </cell>
          <cell r="H1373">
            <v>15</v>
          </cell>
        </row>
        <row r="1374">
          <cell r="A1374" t="str">
            <v>6,01,03</v>
          </cell>
          <cell r="B1374" t="str">
            <v>Peón</v>
          </cell>
          <cell r="C1374" t="str">
            <v>HH</v>
          </cell>
          <cell r="D1374">
            <v>1</v>
          </cell>
          <cell r="E1374">
            <v>0.53333333333333333</v>
          </cell>
          <cell r="F1374">
            <v>2.3199999999999998</v>
          </cell>
          <cell r="G1374">
            <v>1.24</v>
          </cell>
          <cell r="H1374">
            <v>15</v>
          </cell>
        </row>
        <row r="1375">
          <cell r="A1375" t="str">
            <v>6,01,03</v>
          </cell>
          <cell r="B1375" t="str">
            <v>Equipos</v>
          </cell>
          <cell r="G1375">
            <v>0.28000000000000003</v>
          </cell>
        </row>
        <row r="1376">
          <cell r="A1376" t="str">
            <v>6,01,03</v>
          </cell>
          <cell r="B1376" t="str">
            <v>Desgaste de herramientas</v>
          </cell>
          <cell r="C1376" t="str">
            <v>%MO</v>
          </cell>
          <cell r="E1376">
            <v>0.1</v>
          </cell>
          <cell r="F1376">
            <v>2.75</v>
          </cell>
          <cell r="G1376">
            <v>0.28000000000000003</v>
          </cell>
        </row>
        <row r="1377">
          <cell r="A1377" t="str">
            <v>6,01,04</v>
          </cell>
          <cell r="B1377" t="str">
            <v>Interruptor doble en la serie Nuva con dado magic de ticino</v>
          </cell>
          <cell r="F1377" t="str">
            <v>( und )</v>
          </cell>
          <cell r="G1377">
            <v>7.63</v>
          </cell>
        </row>
        <row r="1378">
          <cell r="A1378" t="str">
            <v>6,01,04</v>
          </cell>
          <cell r="C1378" t="str">
            <v>und.</v>
          </cell>
          <cell r="D1378" t="str">
            <v>cuad.</v>
          </cell>
          <cell r="E1378" t="str">
            <v>cant.</v>
          </cell>
          <cell r="F1378" t="str">
            <v>prec. $</v>
          </cell>
          <cell r="G1378" t="str">
            <v>parcial $</v>
          </cell>
        </row>
        <row r="1379">
          <cell r="A1379" t="str">
            <v>6,01,04</v>
          </cell>
          <cell r="B1379" t="str">
            <v>Materiales</v>
          </cell>
          <cell r="G1379">
            <v>4.5999999999999996</v>
          </cell>
        </row>
        <row r="1380">
          <cell r="A1380" t="str">
            <v>6,01,04</v>
          </cell>
          <cell r="B1380" t="str">
            <v>Placa serie Nuva de ticino 2 cavidad</v>
          </cell>
          <cell r="C1380" t="str">
            <v>ml</v>
          </cell>
          <cell r="E1380">
            <v>1</v>
          </cell>
          <cell r="F1380">
            <v>1.47</v>
          </cell>
          <cell r="G1380">
            <v>1.47</v>
          </cell>
        </row>
        <row r="1381">
          <cell r="A1381" t="str">
            <v>6,01,04</v>
          </cell>
          <cell r="B1381" t="str">
            <v>Dado interruptor serie magic de ticino</v>
          </cell>
          <cell r="C1381" t="str">
            <v>und</v>
          </cell>
          <cell r="E1381">
            <v>2</v>
          </cell>
          <cell r="F1381">
            <v>1.167</v>
          </cell>
          <cell r="G1381">
            <v>2.33</v>
          </cell>
        </row>
        <row r="1382">
          <cell r="A1382" t="str">
            <v>6,01,04</v>
          </cell>
          <cell r="B1382" t="str">
            <v xml:space="preserve">Stobolt </v>
          </cell>
          <cell r="C1382" t="str">
            <v>und</v>
          </cell>
          <cell r="E1382">
            <v>2</v>
          </cell>
          <cell r="F1382">
            <v>0.4</v>
          </cell>
          <cell r="G1382">
            <v>0.8</v>
          </cell>
        </row>
        <row r="1383">
          <cell r="A1383" t="str">
            <v>6,01,04</v>
          </cell>
          <cell r="B1383" t="str">
            <v>Mano de obra</v>
          </cell>
          <cell r="G1383">
            <v>2.75</v>
          </cell>
        </row>
        <row r="1384">
          <cell r="A1384" t="str">
            <v>6,01,04</v>
          </cell>
          <cell r="B1384" t="str">
            <v>Operario</v>
          </cell>
          <cell r="C1384" t="str">
            <v>HH</v>
          </cell>
          <cell r="D1384">
            <v>1</v>
          </cell>
          <cell r="E1384">
            <v>0.53333333333333333</v>
          </cell>
          <cell r="F1384">
            <v>2.84</v>
          </cell>
          <cell r="G1384">
            <v>1.51</v>
          </cell>
          <cell r="H1384">
            <v>15</v>
          </cell>
        </row>
        <row r="1385">
          <cell r="A1385" t="str">
            <v>6,01,04</v>
          </cell>
          <cell r="B1385" t="str">
            <v>Peón</v>
          </cell>
          <cell r="C1385" t="str">
            <v>HH</v>
          </cell>
          <cell r="D1385">
            <v>1</v>
          </cell>
          <cell r="E1385">
            <v>0.53333333333333333</v>
          </cell>
          <cell r="F1385">
            <v>2.3199999999999998</v>
          </cell>
          <cell r="G1385">
            <v>1.24</v>
          </cell>
          <cell r="H1385">
            <v>15</v>
          </cell>
        </row>
        <row r="1386">
          <cell r="A1386" t="str">
            <v>6,01,04</v>
          </cell>
          <cell r="B1386" t="str">
            <v>Equipos</v>
          </cell>
          <cell r="G1386">
            <v>0.28000000000000003</v>
          </cell>
        </row>
        <row r="1387">
          <cell r="A1387" t="str">
            <v>6,01,04</v>
          </cell>
          <cell r="B1387" t="str">
            <v>Desgaste de herramientas</v>
          </cell>
          <cell r="C1387" t="str">
            <v>%MO</v>
          </cell>
          <cell r="E1387">
            <v>0.1</v>
          </cell>
          <cell r="F1387">
            <v>2.75</v>
          </cell>
          <cell r="G1387">
            <v>0.28000000000000003</v>
          </cell>
        </row>
        <row r="1388">
          <cell r="A1388" t="str">
            <v>6,01,05</v>
          </cell>
          <cell r="B1388" t="str">
            <v>Interruptor triple en la serie Nuva con dado magic de ticino</v>
          </cell>
          <cell r="F1388" t="str">
            <v>UND</v>
          </cell>
          <cell r="G1388">
            <v>8.81</v>
          </cell>
        </row>
        <row r="1389">
          <cell r="A1389" t="str">
            <v>6,01,05</v>
          </cell>
          <cell r="C1389" t="str">
            <v>und.</v>
          </cell>
          <cell r="D1389" t="str">
            <v>cuad.</v>
          </cell>
          <cell r="E1389" t="str">
            <v>cant.</v>
          </cell>
          <cell r="F1389" t="str">
            <v>prec. $</v>
          </cell>
          <cell r="G1389" t="str">
            <v>parcial $</v>
          </cell>
        </row>
        <row r="1390">
          <cell r="A1390" t="str">
            <v>6,01,05</v>
          </cell>
          <cell r="B1390" t="str">
            <v>Materiales</v>
          </cell>
          <cell r="G1390">
            <v>5.78</v>
          </cell>
        </row>
        <row r="1391">
          <cell r="A1391" t="str">
            <v>6,01,05</v>
          </cell>
          <cell r="B1391" t="str">
            <v>Placa serie Nuva de ticino 3 cavidad</v>
          </cell>
          <cell r="C1391" t="str">
            <v>ml</v>
          </cell>
          <cell r="E1391">
            <v>1</v>
          </cell>
          <cell r="F1391">
            <v>1.48</v>
          </cell>
          <cell r="G1391">
            <v>1.48</v>
          </cell>
        </row>
        <row r="1392">
          <cell r="A1392" t="str">
            <v>6,01,05</v>
          </cell>
          <cell r="B1392" t="str">
            <v>Dado interruptor serie magic de ticino</v>
          </cell>
          <cell r="C1392" t="str">
            <v>und</v>
          </cell>
          <cell r="E1392">
            <v>3</v>
          </cell>
          <cell r="F1392">
            <v>1.167</v>
          </cell>
          <cell r="G1392">
            <v>3.5</v>
          </cell>
        </row>
        <row r="1393">
          <cell r="A1393" t="str">
            <v>6,01,05</v>
          </cell>
          <cell r="B1393" t="str">
            <v xml:space="preserve">Stobolt </v>
          </cell>
          <cell r="C1393" t="str">
            <v>und</v>
          </cell>
          <cell r="E1393">
            <v>2</v>
          </cell>
          <cell r="F1393">
            <v>0.4</v>
          </cell>
          <cell r="G1393">
            <v>0.8</v>
          </cell>
        </row>
        <row r="1394">
          <cell r="A1394" t="str">
            <v>6,01,05</v>
          </cell>
          <cell r="B1394" t="str">
            <v>Mano de obra</v>
          </cell>
          <cell r="G1394">
            <v>2.75</v>
          </cell>
        </row>
        <row r="1395">
          <cell r="A1395" t="str">
            <v>6,01,05</v>
          </cell>
          <cell r="B1395" t="str">
            <v>Operario</v>
          </cell>
          <cell r="C1395" t="str">
            <v>HH</v>
          </cell>
          <cell r="D1395">
            <v>1</v>
          </cell>
          <cell r="E1395">
            <v>0.53333333333333333</v>
          </cell>
          <cell r="F1395">
            <v>2.84</v>
          </cell>
          <cell r="G1395">
            <v>1.51</v>
          </cell>
          <cell r="H1395">
            <v>15</v>
          </cell>
        </row>
        <row r="1396">
          <cell r="A1396" t="str">
            <v>6,01,05</v>
          </cell>
          <cell r="B1396" t="str">
            <v>Peón</v>
          </cell>
          <cell r="C1396" t="str">
            <v>HH</v>
          </cell>
          <cell r="D1396">
            <v>1</v>
          </cell>
          <cell r="E1396">
            <v>0.53333333333333333</v>
          </cell>
          <cell r="F1396">
            <v>2.3199999999999998</v>
          </cell>
          <cell r="G1396">
            <v>1.24</v>
          </cell>
          <cell r="H1396">
            <v>15</v>
          </cell>
        </row>
        <row r="1397">
          <cell r="A1397" t="str">
            <v>6,01,05</v>
          </cell>
          <cell r="B1397" t="str">
            <v>Equipos</v>
          </cell>
          <cell r="G1397">
            <v>0.28000000000000003</v>
          </cell>
        </row>
        <row r="1398">
          <cell r="A1398" t="str">
            <v>6,01,05</v>
          </cell>
          <cell r="B1398" t="str">
            <v>Desgaste de herramientas</v>
          </cell>
          <cell r="C1398" t="str">
            <v>%MO</v>
          </cell>
          <cell r="E1398">
            <v>0.1</v>
          </cell>
          <cell r="F1398">
            <v>2.75</v>
          </cell>
          <cell r="G1398">
            <v>0.28000000000000003</v>
          </cell>
        </row>
        <row r="1399">
          <cell r="A1399" t="str">
            <v>6,01,06</v>
          </cell>
          <cell r="B1399" t="str">
            <v>Tomacorriente bipolar + LT en la serie Nuva con dados magic de ticino</v>
          </cell>
          <cell r="F1399" t="str">
            <v>( und )</v>
          </cell>
          <cell r="G1399">
            <v>6.7</v>
          </cell>
        </row>
        <row r="1400">
          <cell r="A1400" t="str">
            <v>6,01,06</v>
          </cell>
          <cell r="C1400" t="str">
            <v>und.</v>
          </cell>
          <cell r="D1400" t="str">
            <v>cuad.</v>
          </cell>
          <cell r="E1400" t="str">
            <v>cant.</v>
          </cell>
          <cell r="F1400" t="str">
            <v>prec. $</v>
          </cell>
          <cell r="G1400" t="str">
            <v>parcial $</v>
          </cell>
        </row>
        <row r="1401">
          <cell r="A1401" t="str">
            <v>6,01,06</v>
          </cell>
          <cell r="B1401" t="str">
            <v>Materiales</v>
          </cell>
          <cell r="G1401">
            <v>3.67</v>
          </cell>
        </row>
        <row r="1402">
          <cell r="A1402" t="str">
            <v>6,01,06</v>
          </cell>
          <cell r="B1402" t="str">
            <v>Placa serie Nuva de ticino 2 cavidad</v>
          </cell>
          <cell r="C1402" t="str">
            <v>ml</v>
          </cell>
          <cell r="E1402">
            <v>1</v>
          </cell>
          <cell r="F1402">
            <v>1.47</v>
          </cell>
          <cell r="G1402">
            <v>1.47</v>
          </cell>
        </row>
        <row r="1403">
          <cell r="A1403" t="str">
            <v>6,01,06</v>
          </cell>
          <cell r="B1403" t="str">
            <v>Dado tomacorriente + LT serie magic de ticino</v>
          </cell>
          <cell r="C1403" t="str">
            <v>und</v>
          </cell>
          <cell r="E1403">
            <v>1</v>
          </cell>
          <cell r="F1403">
            <v>1.4</v>
          </cell>
          <cell r="G1403">
            <v>1.4</v>
          </cell>
        </row>
        <row r="1404">
          <cell r="A1404" t="str">
            <v>6,01,06</v>
          </cell>
          <cell r="B1404" t="str">
            <v xml:space="preserve">Stobolt </v>
          </cell>
          <cell r="C1404" t="str">
            <v>und</v>
          </cell>
          <cell r="E1404">
            <v>2</v>
          </cell>
          <cell r="F1404">
            <v>0.4</v>
          </cell>
          <cell r="G1404">
            <v>0.8</v>
          </cell>
        </row>
        <row r="1405">
          <cell r="A1405" t="str">
            <v>6,01,06</v>
          </cell>
          <cell r="B1405" t="str">
            <v>Mano de obra</v>
          </cell>
          <cell r="G1405">
            <v>2.75</v>
          </cell>
        </row>
        <row r="1406">
          <cell r="A1406" t="str">
            <v>6,01,06</v>
          </cell>
          <cell r="B1406" t="str">
            <v>Operario</v>
          </cell>
          <cell r="C1406" t="str">
            <v>HH</v>
          </cell>
          <cell r="D1406">
            <v>1</v>
          </cell>
          <cell r="E1406">
            <v>0.53333333333333333</v>
          </cell>
          <cell r="F1406">
            <v>2.84</v>
          </cell>
          <cell r="G1406">
            <v>1.51</v>
          </cell>
          <cell r="H1406">
            <v>15</v>
          </cell>
        </row>
        <row r="1407">
          <cell r="A1407" t="str">
            <v>6,01,06</v>
          </cell>
          <cell r="B1407" t="str">
            <v>Peón</v>
          </cell>
          <cell r="C1407" t="str">
            <v>HH</v>
          </cell>
          <cell r="D1407">
            <v>1</v>
          </cell>
          <cell r="E1407">
            <v>0.53333333333333333</v>
          </cell>
          <cell r="F1407">
            <v>2.3199999999999998</v>
          </cell>
          <cell r="G1407">
            <v>1.24</v>
          </cell>
          <cell r="H1407">
            <v>15</v>
          </cell>
        </row>
        <row r="1408">
          <cell r="A1408" t="str">
            <v>6,01,06</v>
          </cell>
          <cell r="B1408" t="str">
            <v>Equipos</v>
          </cell>
          <cell r="G1408">
            <v>0.28000000000000003</v>
          </cell>
        </row>
        <row r="1409">
          <cell r="A1409" t="str">
            <v>6,01,06</v>
          </cell>
          <cell r="B1409" t="str">
            <v>Desgaste de herramientas</v>
          </cell>
          <cell r="C1409" t="str">
            <v>%MO</v>
          </cell>
          <cell r="E1409">
            <v>0.1</v>
          </cell>
          <cell r="F1409">
            <v>2.75</v>
          </cell>
          <cell r="G1409">
            <v>0.28000000000000003</v>
          </cell>
        </row>
        <row r="1410">
          <cell r="A1410" t="str">
            <v>6,01,07</v>
          </cell>
          <cell r="B1410" t="str">
            <v>Tomacorriente bipolar doble + LT en la serie Nuva con dados magic de ticino</v>
          </cell>
          <cell r="F1410" t="str">
            <v>( und )</v>
          </cell>
          <cell r="G1410">
            <v>8.1</v>
          </cell>
        </row>
        <row r="1411">
          <cell r="A1411" t="str">
            <v>6,01,07</v>
          </cell>
          <cell r="C1411" t="str">
            <v>und.</v>
          </cell>
          <cell r="D1411" t="str">
            <v>cuad.</v>
          </cell>
          <cell r="E1411" t="str">
            <v>cant.</v>
          </cell>
          <cell r="F1411" t="str">
            <v>prec. $</v>
          </cell>
          <cell r="G1411" t="str">
            <v>parcial $</v>
          </cell>
        </row>
        <row r="1412">
          <cell r="A1412" t="str">
            <v>6,01,07</v>
          </cell>
          <cell r="B1412" t="str">
            <v>Materiales</v>
          </cell>
          <cell r="G1412">
            <v>5.0699999999999994</v>
          </cell>
        </row>
        <row r="1413">
          <cell r="A1413" t="str">
            <v>6,01,07</v>
          </cell>
          <cell r="B1413" t="str">
            <v>Placa serie Nuva de ticino 2 cavidad</v>
          </cell>
          <cell r="C1413" t="str">
            <v>ml</v>
          </cell>
          <cell r="E1413">
            <v>1</v>
          </cell>
          <cell r="F1413">
            <v>1.47</v>
          </cell>
          <cell r="G1413">
            <v>1.47</v>
          </cell>
        </row>
        <row r="1414">
          <cell r="A1414" t="str">
            <v>6,01,07</v>
          </cell>
          <cell r="B1414" t="str">
            <v>Dado tomacorriente + LT serie magic de ticino</v>
          </cell>
          <cell r="C1414" t="str">
            <v>und</v>
          </cell>
          <cell r="E1414">
            <v>2</v>
          </cell>
          <cell r="F1414">
            <v>1.4</v>
          </cell>
          <cell r="G1414">
            <v>2.8</v>
          </cell>
        </row>
        <row r="1415">
          <cell r="A1415" t="str">
            <v>6,01,07</v>
          </cell>
          <cell r="B1415" t="str">
            <v xml:space="preserve">Stobolt </v>
          </cell>
          <cell r="C1415" t="str">
            <v>und</v>
          </cell>
          <cell r="E1415">
            <v>2</v>
          </cell>
          <cell r="F1415">
            <v>0.4</v>
          </cell>
          <cell r="G1415">
            <v>0.8</v>
          </cell>
        </row>
        <row r="1416">
          <cell r="A1416" t="str">
            <v>6,01,07</v>
          </cell>
          <cell r="B1416" t="str">
            <v>Mano de obra</v>
          </cell>
          <cell r="G1416">
            <v>2.75</v>
          </cell>
        </row>
        <row r="1417">
          <cell r="A1417" t="str">
            <v>6,01,07</v>
          </cell>
          <cell r="B1417" t="str">
            <v>Operario</v>
          </cell>
          <cell r="C1417" t="str">
            <v>HH</v>
          </cell>
          <cell r="D1417">
            <v>1</v>
          </cell>
          <cell r="E1417">
            <v>0.53333333333333333</v>
          </cell>
          <cell r="F1417">
            <v>2.84</v>
          </cell>
          <cell r="G1417">
            <v>1.51</v>
          </cell>
          <cell r="H1417">
            <v>15</v>
          </cell>
        </row>
        <row r="1418">
          <cell r="A1418" t="str">
            <v>6,01,07</v>
          </cell>
          <cell r="B1418" t="str">
            <v>Peón</v>
          </cell>
          <cell r="C1418" t="str">
            <v>HH</v>
          </cell>
          <cell r="D1418">
            <v>1</v>
          </cell>
          <cell r="E1418">
            <v>0.53333333333333333</v>
          </cell>
          <cell r="F1418">
            <v>2.3199999999999998</v>
          </cell>
          <cell r="G1418">
            <v>1.24</v>
          </cell>
          <cell r="H1418">
            <v>15</v>
          </cell>
        </row>
        <row r="1419">
          <cell r="A1419" t="str">
            <v>6,01,07</v>
          </cell>
          <cell r="B1419" t="str">
            <v>Equipos</v>
          </cell>
          <cell r="G1419">
            <v>0.28000000000000003</v>
          </cell>
        </row>
        <row r="1420">
          <cell r="A1420" t="str">
            <v>6,01,07</v>
          </cell>
          <cell r="B1420" t="str">
            <v>Desgaste de herramientas</v>
          </cell>
          <cell r="C1420" t="str">
            <v>%MO</v>
          </cell>
          <cell r="E1420">
            <v>0.1</v>
          </cell>
          <cell r="F1420">
            <v>2.75</v>
          </cell>
          <cell r="G1420">
            <v>0.28000000000000003</v>
          </cell>
        </row>
        <row r="1421">
          <cell r="A1421" t="str">
            <v>6,01,08</v>
          </cell>
          <cell r="B1421" t="str">
            <v>Placas ciegas</v>
          </cell>
          <cell r="F1421" t="str">
            <v>( und )</v>
          </cell>
          <cell r="G1421">
            <v>4.55</v>
          </cell>
        </row>
        <row r="1422">
          <cell r="A1422" t="str">
            <v>6,01,08</v>
          </cell>
          <cell r="C1422" t="str">
            <v>und.</v>
          </cell>
          <cell r="D1422" t="str">
            <v>cuad.</v>
          </cell>
          <cell r="E1422" t="str">
            <v>cant.</v>
          </cell>
          <cell r="F1422" t="str">
            <v>prec. $</v>
          </cell>
          <cell r="G1422" t="str">
            <v>parcial $</v>
          </cell>
        </row>
        <row r="1423">
          <cell r="A1423" t="str">
            <v>6,01,08</v>
          </cell>
          <cell r="B1423" t="str">
            <v>Materiales</v>
          </cell>
          <cell r="G1423">
            <v>2.27</v>
          </cell>
        </row>
        <row r="1424">
          <cell r="A1424" t="str">
            <v>6,01,08</v>
          </cell>
          <cell r="B1424" t="str">
            <v>Placa serie Nuva de ticino</v>
          </cell>
          <cell r="C1424" t="str">
            <v>ml</v>
          </cell>
          <cell r="E1424">
            <v>1</v>
          </cell>
          <cell r="F1424">
            <v>1.47</v>
          </cell>
          <cell r="G1424">
            <v>1.47</v>
          </cell>
        </row>
        <row r="1425">
          <cell r="A1425" t="str">
            <v>6,01,08</v>
          </cell>
          <cell r="B1425" t="str">
            <v xml:space="preserve">Stobolt </v>
          </cell>
          <cell r="C1425" t="str">
            <v>und</v>
          </cell>
          <cell r="E1425">
            <v>2</v>
          </cell>
          <cell r="F1425">
            <v>0.4</v>
          </cell>
          <cell r="G1425">
            <v>0.8</v>
          </cell>
        </row>
        <row r="1426">
          <cell r="A1426" t="str">
            <v>6,01,08</v>
          </cell>
          <cell r="B1426" t="str">
            <v>Mano de obra</v>
          </cell>
          <cell r="G1426">
            <v>2.0699999999999998</v>
          </cell>
        </row>
        <row r="1427">
          <cell r="A1427" t="str">
            <v>6,01,08</v>
          </cell>
          <cell r="B1427" t="str">
            <v>Operario</v>
          </cell>
          <cell r="C1427" t="str">
            <v>HH</v>
          </cell>
          <cell r="D1427">
            <v>1</v>
          </cell>
          <cell r="E1427">
            <v>0.4</v>
          </cell>
          <cell r="F1427">
            <v>2.84</v>
          </cell>
          <cell r="G1427">
            <v>1.1399999999999999</v>
          </cell>
          <cell r="H1427">
            <v>20</v>
          </cell>
        </row>
        <row r="1428">
          <cell r="A1428" t="str">
            <v>6,01,08</v>
          </cell>
          <cell r="B1428" t="str">
            <v>Peón</v>
          </cell>
          <cell r="C1428" t="str">
            <v>HH</v>
          </cell>
          <cell r="D1428">
            <v>1</v>
          </cell>
          <cell r="E1428">
            <v>0.4</v>
          </cell>
          <cell r="F1428">
            <v>2.3199999999999998</v>
          </cell>
          <cell r="G1428">
            <v>0.93</v>
          </cell>
          <cell r="H1428">
            <v>20</v>
          </cell>
        </row>
        <row r="1429">
          <cell r="A1429" t="str">
            <v>6,01,08</v>
          </cell>
          <cell r="B1429" t="str">
            <v>Equipos</v>
          </cell>
          <cell r="G1429">
            <v>0.21</v>
          </cell>
        </row>
        <row r="1430">
          <cell r="A1430" t="str">
            <v>6,01,08</v>
          </cell>
          <cell r="B1430" t="str">
            <v>Desgaste de herramientas</v>
          </cell>
          <cell r="C1430" t="str">
            <v>%MO</v>
          </cell>
          <cell r="E1430">
            <v>0.1</v>
          </cell>
          <cell r="F1430">
            <v>2.0699999999999998</v>
          </cell>
          <cell r="G1430">
            <v>0.21</v>
          </cell>
        </row>
        <row r="1431">
          <cell r="A1431" t="str">
            <v>6,01,09</v>
          </cell>
          <cell r="B1431" t="str">
            <v>Pulsador de encendido y apagado de luces en pasadizos</v>
          </cell>
          <cell r="F1431" t="str">
            <v>( und )</v>
          </cell>
          <cell r="G1431">
            <v>20.34</v>
          </cell>
        </row>
        <row r="1432">
          <cell r="A1432" t="str">
            <v>6,01,09</v>
          </cell>
          <cell r="C1432" t="str">
            <v>und.</v>
          </cell>
          <cell r="D1432" t="str">
            <v>cuad.</v>
          </cell>
          <cell r="E1432" t="str">
            <v>cant.</v>
          </cell>
          <cell r="F1432" t="str">
            <v>prec. $</v>
          </cell>
          <cell r="G1432" t="str">
            <v>parcial $</v>
          </cell>
        </row>
        <row r="1433">
          <cell r="A1433" t="str">
            <v>6,01,09</v>
          </cell>
          <cell r="B1433" t="str">
            <v>Materiales</v>
          </cell>
          <cell r="G1433">
            <v>15.8</v>
          </cell>
        </row>
        <row r="1434">
          <cell r="A1434" t="str">
            <v>6,01,09</v>
          </cell>
          <cell r="B1434" t="str">
            <v>Pulsador de encendido y apagado de luces en pasadizos</v>
          </cell>
          <cell r="C1434" t="str">
            <v>ml</v>
          </cell>
          <cell r="E1434">
            <v>1</v>
          </cell>
          <cell r="F1434">
            <v>15</v>
          </cell>
          <cell r="G1434">
            <v>15</v>
          </cell>
        </row>
        <row r="1435">
          <cell r="A1435" t="str">
            <v>6,01,09</v>
          </cell>
          <cell r="B1435" t="str">
            <v xml:space="preserve">Stobolt </v>
          </cell>
          <cell r="C1435" t="str">
            <v>und</v>
          </cell>
          <cell r="E1435">
            <v>2</v>
          </cell>
          <cell r="F1435">
            <v>0.4</v>
          </cell>
          <cell r="G1435">
            <v>0.8</v>
          </cell>
        </row>
        <row r="1436">
          <cell r="A1436" t="str">
            <v>6,01,09</v>
          </cell>
          <cell r="B1436" t="str">
            <v>Mano de obra</v>
          </cell>
          <cell r="G1436">
            <v>4.13</v>
          </cell>
        </row>
        <row r="1437">
          <cell r="A1437" t="str">
            <v>6,01,09</v>
          </cell>
          <cell r="B1437" t="str">
            <v>Operario</v>
          </cell>
          <cell r="C1437" t="str">
            <v>HH</v>
          </cell>
          <cell r="D1437">
            <v>1</v>
          </cell>
          <cell r="E1437">
            <v>0.8</v>
          </cell>
          <cell r="F1437">
            <v>2.84</v>
          </cell>
          <cell r="G1437">
            <v>2.27</v>
          </cell>
          <cell r="H1437">
            <v>10</v>
          </cell>
        </row>
        <row r="1438">
          <cell r="A1438" t="str">
            <v>6,01,09</v>
          </cell>
          <cell r="B1438" t="str">
            <v>Peón</v>
          </cell>
          <cell r="C1438" t="str">
            <v>HH</v>
          </cell>
          <cell r="D1438">
            <v>1</v>
          </cell>
          <cell r="E1438">
            <v>0.8</v>
          </cell>
          <cell r="F1438">
            <v>2.3199999999999998</v>
          </cell>
          <cell r="G1438">
            <v>1.86</v>
          </cell>
          <cell r="H1438">
            <v>10</v>
          </cell>
        </row>
        <row r="1439">
          <cell r="A1439" t="str">
            <v>6,01,09</v>
          </cell>
          <cell r="B1439" t="str">
            <v>Equipos</v>
          </cell>
          <cell r="G1439">
            <v>0.41</v>
          </cell>
        </row>
        <row r="1440">
          <cell r="A1440" t="str">
            <v>6,01,09</v>
          </cell>
          <cell r="B1440" t="str">
            <v>Desgaste de herramientas</v>
          </cell>
          <cell r="C1440" t="str">
            <v>%MO</v>
          </cell>
          <cell r="E1440">
            <v>0.1</v>
          </cell>
          <cell r="F1440">
            <v>4.13</v>
          </cell>
          <cell r="G1440">
            <v>0.41</v>
          </cell>
        </row>
        <row r="1441">
          <cell r="A1441" t="str">
            <v>6,01,10</v>
          </cell>
          <cell r="B1441" t="str">
            <v>Modificación de bandejas metálicas de energía, voz y data</v>
          </cell>
          <cell r="F1441" t="str">
            <v>( ml )</v>
          </cell>
          <cell r="G1441">
            <v>22.869999999999997</v>
          </cell>
        </row>
        <row r="1442">
          <cell r="A1442" t="str">
            <v>6,01,10</v>
          </cell>
          <cell r="C1442" t="str">
            <v>und.</v>
          </cell>
          <cell r="D1442" t="str">
            <v>cuad.</v>
          </cell>
          <cell r="E1442" t="str">
            <v>cant.</v>
          </cell>
          <cell r="F1442" t="str">
            <v>prec. $</v>
          </cell>
          <cell r="G1442" t="str">
            <v>parcial $</v>
          </cell>
        </row>
        <row r="1443">
          <cell r="A1443" t="str">
            <v>6,01,10</v>
          </cell>
          <cell r="B1443" t="str">
            <v>Materiales</v>
          </cell>
          <cell r="G1443">
            <v>12.58</v>
          </cell>
        </row>
        <row r="1444">
          <cell r="A1444" t="str">
            <v>6,01,10</v>
          </cell>
          <cell r="B1444" t="str">
            <v>Stobolt+tuerca de 1/4</v>
          </cell>
          <cell r="C1444" t="str">
            <v>und</v>
          </cell>
          <cell r="E1444">
            <v>8</v>
          </cell>
          <cell r="F1444">
            <v>0.1</v>
          </cell>
          <cell r="G1444">
            <v>0.8</v>
          </cell>
        </row>
        <row r="1445">
          <cell r="A1445" t="str">
            <v>6,01,10</v>
          </cell>
          <cell r="B1445" t="str">
            <v>uniones de plancha galvanizada</v>
          </cell>
          <cell r="C1445" t="str">
            <v>und</v>
          </cell>
          <cell r="E1445">
            <v>8</v>
          </cell>
          <cell r="F1445">
            <v>0.2</v>
          </cell>
          <cell r="G1445">
            <v>1.6</v>
          </cell>
        </row>
        <row r="1446">
          <cell r="A1446" t="str">
            <v>6,01,10</v>
          </cell>
          <cell r="B1446" t="str">
            <v>Varilla roscada de 1/2"x1,8</v>
          </cell>
          <cell r="C1446" t="str">
            <v>und</v>
          </cell>
          <cell r="E1446">
            <v>1.6</v>
          </cell>
          <cell r="F1446">
            <v>3.71</v>
          </cell>
          <cell r="G1446">
            <v>5.94</v>
          </cell>
        </row>
        <row r="1447">
          <cell r="A1447" t="str">
            <v>6,01,10</v>
          </cell>
          <cell r="B1447" t="str">
            <v>Tacos de expansión de 1/2"</v>
          </cell>
          <cell r="C1447" t="str">
            <v>und</v>
          </cell>
          <cell r="E1447">
            <v>4</v>
          </cell>
          <cell r="F1447">
            <v>1.06</v>
          </cell>
          <cell r="G1447">
            <v>4.24</v>
          </cell>
        </row>
        <row r="1448">
          <cell r="A1448" t="str">
            <v>6,01,10</v>
          </cell>
          <cell r="B1448" t="str">
            <v>Mano de obra</v>
          </cell>
          <cell r="G1448">
            <v>8.25</v>
          </cell>
        </row>
        <row r="1449">
          <cell r="A1449" t="str">
            <v>6,01,10</v>
          </cell>
          <cell r="B1449" t="str">
            <v>Operario</v>
          </cell>
          <cell r="C1449" t="str">
            <v>HH</v>
          </cell>
          <cell r="D1449">
            <v>1</v>
          </cell>
          <cell r="E1449">
            <v>1.6</v>
          </cell>
          <cell r="F1449">
            <v>2.84</v>
          </cell>
          <cell r="G1449">
            <v>4.54</v>
          </cell>
          <cell r="H1449">
            <v>5</v>
          </cell>
        </row>
        <row r="1450">
          <cell r="A1450" t="str">
            <v>6,01,10</v>
          </cell>
          <cell r="B1450" t="str">
            <v>Peón</v>
          </cell>
          <cell r="C1450" t="str">
            <v>HH</v>
          </cell>
          <cell r="D1450">
            <v>1</v>
          </cell>
          <cell r="E1450">
            <v>1.6</v>
          </cell>
          <cell r="F1450">
            <v>2.3199999999999998</v>
          </cell>
          <cell r="G1450">
            <v>3.71</v>
          </cell>
          <cell r="H1450">
            <v>5</v>
          </cell>
        </row>
        <row r="1451">
          <cell r="A1451" t="str">
            <v>6,01,10</v>
          </cell>
          <cell r="B1451" t="str">
            <v>Equipos y/o herramientas</v>
          </cell>
          <cell r="G1451">
            <v>2.04</v>
          </cell>
        </row>
        <row r="1452">
          <cell r="A1452" t="str">
            <v>6,01,10</v>
          </cell>
          <cell r="B1452" t="str">
            <v>Cuerpo de andamio de 2 m</v>
          </cell>
          <cell r="C1452" t="str">
            <v>DIA</v>
          </cell>
          <cell r="D1452">
            <v>1</v>
          </cell>
          <cell r="E1452">
            <v>0.2</v>
          </cell>
          <cell r="F1452">
            <v>0.65</v>
          </cell>
          <cell r="G1452">
            <v>0.13</v>
          </cell>
        </row>
        <row r="1453">
          <cell r="A1453" t="str">
            <v>6,01,10</v>
          </cell>
          <cell r="B1453" t="str">
            <v>Escalera</v>
          </cell>
          <cell r="C1453" t="str">
            <v>DIA</v>
          </cell>
          <cell r="D1453">
            <v>1</v>
          </cell>
          <cell r="E1453">
            <v>0.2</v>
          </cell>
          <cell r="F1453">
            <v>1</v>
          </cell>
          <cell r="G1453">
            <v>0.2</v>
          </cell>
        </row>
        <row r="1454">
          <cell r="A1454" t="str">
            <v>6,01,10</v>
          </cell>
          <cell r="B1454" t="str">
            <v>Taladro Hilti</v>
          </cell>
          <cell r="C1454" t="str">
            <v>DIA</v>
          </cell>
          <cell r="D1454">
            <v>1</v>
          </cell>
          <cell r="E1454">
            <v>0.2</v>
          </cell>
          <cell r="F1454">
            <v>6.5</v>
          </cell>
          <cell r="G1454">
            <v>1.3</v>
          </cell>
        </row>
        <row r="1455">
          <cell r="A1455" t="str">
            <v>6,01,10</v>
          </cell>
          <cell r="B1455" t="str">
            <v>Desgaste de herramientas</v>
          </cell>
          <cell r="C1455" t="str">
            <v>%MO</v>
          </cell>
          <cell r="E1455">
            <v>0.05</v>
          </cell>
          <cell r="F1455">
            <v>8.25</v>
          </cell>
          <cell r="G1455">
            <v>0.41</v>
          </cell>
        </row>
        <row r="1456">
          <cell r="A1456" t="str">
            <v>6,01,11</v>
          </cell>
          <cell r="B1456" t="str">
            <v>Modificación de canalización de voz y data en la bandeja metálica</v>
          </cell>
          <cell r="F1456" t="str">
            <v>( und )</v>
          </cell>
          <cell r="G1456">
            <v>6.68</v>
          </cell>
        </row>
        <row r="1457">
          <cell r="A1457" t="str">
            <v>6,01,11</v>
          </cell>
          <cell r="C1457" t="str">
            <v>und.</v>
          </cell>
          <cell r="D1457" t="str">
            <v>cuad.</v>
          </cell>
          <cell r="E1457" t="str">
            <v>cant.</v>
          </cell>
          <cell r="F1457" t="str">
            <v>prec. $</v>
          </cell>
          <cell r="G1457" t="str">
            <v>parcial $</v>
          </cell>
        </row>
        <row r="1458">
          <cell r="A1458" t="str">
            <v>6,01,11</v>
          </cell>
          <cell r="B1458" t="str">
            <v>Materiales</v>
          </cell>
          <cell r="G1458">
            <v>4.43</v>
          </cell>
        </row>
        <row r="1459">
          <cell r="A1459" t="str">
            <v>6,01,11</v>
          </cell>
          <cell r="B1459" t="str">
            <v>Tubería PVC SAP de 35 mm</v>
          </cell>
          <cell r="C1459" t="str">
            <v>ml</v>
          </cell>
          <cell r="E1459">
            <v>1</v>
          </cell>
          <cell r="F1459">
            <v>0.87</v>
          </cell>
          <cell r="G1459">
            <v>0.87</v>
          </cell>
        </row>
        <row r="1460">
          <cell r="A1460" t="str">
            <v>6,01,11</v>
          </cell>
          <cell r="B1460" t="str">
            <v>Curva PVC SAP de 35 mm</v>
          </cell>
          <cell r="C1460" t="str">
            <v>und</v>
          </cell>
          <cell r="E1460">
            <v>1</v>
          </cell>
          <cell r="F1460">
            <v>1.39</v>
          </cell>
          <cell r="G1460">
            <v>1.39</v>
          </cell>
        </row>
        <row r="1461">
          <cell r="A1461" t="str">
            <v>6,01,11</v>
          </cell>
          <cell r="B1461" t="str">
            <v>Unión PVC SAP de 35 mm</v>
          </cell>
          <cell r="C1461" t="str">
            <v>und</v>
          </cell>
          <cell r="E1461">
            <v>2</v>
          </cell>
          <cell r="F1461">
            <v>0.53</v>
          </cell>
          <cell r="G1461">
            <v>1.06</v>
          </cell>
        </row>
        <row r="1462">
          <cell r="A1462" t="str">
            <v>6,01,11</v>
          </cell>
          <cell r="B1462" t="str">
            <v>Conexión PVC SAP de 35 mm</v>
          </cell>
          <cell r="C1462" t="str">
            <v>und</v>
          </cell>
          <cell r="E1462">
            <v>1</v>
          </cell>
          <cell r="F1462">
            <v>0.31</v>
          </cell>
          <cell r="G1462">
            <v>0.31</v>
          </cell>
        </row>
        <row r="1463">
          <cell r="A1463" t="str">
            <v>6,01,11</v>
          </cell>
          <cell r="B1463" t="str">
            <v>Abrazadera galv. 35mm</v>
          </cell>
          <cell r="C1463" t="str">
            <v>und</v>
          </cell>
          <cell r="E1463">
            <v>1</v>
          </cell>
          <cell r="F1463">
            <v>0.43</v>
          </cell>
          <cell r="G1463">
            <v>0.43</v>
          </cell>
        </row>
        <row r="1464">
          <cell r="A1464" t="str">
            <v>6,01,11</v>
          </cell>
          <cell r="B1464" t="str">
            <v>Tarugo plastico verde de 1/4</v>
          </cell>
          <cell r="C1464" t="str">
            <v>und</v>
          </cell>
          <cell r="E1464">
            <v>2</v>
          </cell>
          <cell r="F1464">
            <v>0.115</v>
          </cell>
          <cell r="G1464">
            <v>0.23</v>
          </cell>
        </row>
        <row r="1465">
          <cell r="A1465" t="str">
            <v>6,01,11</v>
          </cell>
          <cell r="B1465" t="str">
            <v>Tornillo autoroscante de 8x1"</v>
          </cell>
          <cell r="C1465" t="str">
            <v>und</v>
          </cell>
          <cell r="E1465">
            <v>2</v>
          </cell>
          <cell r="F1465">
            <v>4.2000000000000003E-2</v>
          </cell>
          <cell r="G1465">
            <v>0.08</v>
          </cell>
        </row>
        <row r="1466">
          <cell r="A1466" t="str">
            <v>6,01,11</v>
          </cell>
          <cell r="B1466" t="str">
            <v>Pegamento PVC de 1/4 de galón</v>
          </cell>
          <cell r="C1466" t="str">
            <v>und</v>
          </cell>
          <cell r="E1466">
            <v>0.01</v>
          </cell>
          <cell r="F1466">
            <v>6.3959999999999999</v>
          </cell>
          <cell r="G1466">
            <v>0.06</v>
          </cell>
        </row>
        <row r="1467">
          <cell r="A1467" t="str">
            <v>6,01,11</v>
          </cell>
          <cell r="B1467" t="str">
            <v>Mano de obra</v>
          </cell>
          <cell r="G1467">
            <v>2.0699999999999998</v>
          </cell>
        </row>
        <row r="1468">
          <cell r="A1468" t="str">
            <v>6,01,11</v>
          </cell>
          <cell r="B1468" t="str">
            <v>Operario</v>
          </cell>
          <cell r="C1468" t="str">
            <v>HH</v>
          </cell>
          <cell r="D1468">
            <v>1</v>
          </cell>
          <cell r="E1468">
            <v>0.4</v>
          </cell>
          <cell r="F1468">
            <v>2.84</v>
          </cell>
          <cell r="G1468">
            <v>1.1399999999999999</v>
          </cell>
          <cell r="H1468">
            <v>20</v>
          </cell>
        </row>
        <row r="1469">
          <cell r="A1469" t="str">
            <v>6,01,11</v>
          </cell>
          <cell r="B1469" t="str">
            <v>Peón</v>
          </cell>
          <cell r="C1469" t="str">
            <v>HH</v>
          </cell>
          <cell r="D1469">
            <v>1</v>
          </cell>
          <cell r="E1469">
            <v>0.4</v>
          </cell>
          <cell r="F1469">
            <v>2.3199999999999998</v>
          </cell>
          <cell r="G1469">
            <v>0.93</v>
          </cell>
          <cell r="H1469">
            <v>20</v>
          </cell>
        </row>
        <row r="1470">
          <cell r="A1470" t="str">
            <v>6,01,11</v>
          </cell>
          <cell r="B1470" t="str">
            <v>Equipos y/o herramientas</v>
          </cell>
          <cell r="G1470">
            <v>0.18</v>
          </cell>
        </row>
        <row r="1471">
          <cell r="A1471" t="str">
            <v>6,01,11</v>
          </cell>
          <cell r="B1471" t="str">
            <v>Cuerpo de andamio de 2 m</v>
          </cell>
          <cell r="C1471" t="str">
            <v>DIA</v>
          </cell>
          <cell r="D1471">
            <v>1</v>
          </cell>
          <cell r="E1471">
            <v>0.05</v>
          </cell>
          <cell r="F1471">
            <v>0.65</v>
          </cell>
          <cell r="G1471">
            <v>0.03</v>
          </cell>
        </row>
        <row r="1472">
          <cell r="A1472" t="str">
            <v>6,01,11</v>
          </cell>
          <cell r="B1472" t="str">
            <v>Escalera</v>
          </cell>
          <cell r="C1472" t="str">
            <v>DIA</v>
          </cell>
          <cell r="D1472">
            <v>1</v>
          </cell>
          <cell r="E1472">
            <v>0.05</v>
          </cell>
          <cell r="F1472">
            <v>1</v>
          </cell>
          <cell r="G1472">
            <v>0.05</v>
          </cell>
        </row>
        <row r="1473">
          <cell r="A1473" t="str">
            <v>6,01,11</v>
          </cell>
          <cell r="B1473" t="str">
            <v>Desgaste de herramientas</v>
          </cell>
          <cell r="C1473" t="str">
            <v>%MO</v>
          </cell>
          <cell r="E1473">
            <v>0.05</v>
          </cell>
          <cell r="F1473">
            <v>2.0699999999999998</v>
          </cell>
          <cell r="G1473">
            <v>0.1</v>
          </cell>
        </row>
        <row r="1474">
          <cell r="A1474" t="str">
            <v>6,01,12</v>
          </cell>
          <cell r="B1474" t="str">
            <v>Modificación de canalización de energia, voz y data encollarin de PVC en columnas</v>
          </cell>
          <cell r="F1474" t="str">
            <v>( und )</v>
          </cell>
          <cell r="G1474">
            <v>8.7999999999999989</v>
          </cell>
        </row>
        <row r="1475">
          <cell r="A1475" t="str">
            <v>6,01,12</v>
          </cell>
          <cell r="C1475" t="str">
            <v>und.</v>
          </cell>
          <cell r="D1475" t="str">
            <v>cuad.</v>
          </cell>
          <cell r="E1475" t="str">
            <v>cant.</v>
          </cell>
          <cell r="F1475" t="str">
            <v>prec. $</v>
          </cell>
          <cell r="G1475" t="str">
            <v>parcial $</v>
          </cell>
        </row>
        <row r="1476">
          <cell r="A1476" t="str">
            <v>6,01,12</v>
          </cell>
          <cell r="B1476" t="str">
            <v>Materiales</v>
          </cell>
          <cell r="G1476">
            <v>6.22</v>
          </cell>
        </row>
        <row r="1477">
          <cell r="A1477" t="str">
            <v>6,01,12</v>
          </cell>
          <cell r="B1477" t="str">
            <v>Tubería PVC SAP de 35 mm</v>
          </cell>
          <cell r="C1477" t="str">
            <v>ml</v>
          </cell>
          <cell r="E1477">
            <v>1</v>
          </cell>
          <cell r="F1477">
            <v>0.87</v>
          </cell>
          <cell r="G1477">
            <v>0.87</v>
          </cell>
        </row>
        <row r="1478">
          <cell r="A1478" t="str">
            <v>6,01,12</v>
          </cell>
          <cell r="B1478" t="str">
            <v>Tubería PVC SAP de 20 mm</v>
          </cell>
          <cell r="C1478" t="str">
            <v>ml</v>
          </cell>
          <cell r="E1478">
            <v>1</v>
          </cell>
          <cell r="F1478">
            <v>0.41</v>
          </cell>
          <cell r="G1478">
            <v>0.41</v>
          </cell>
        </row>
        <row r="1479">
          <cell r="A1479" t="str">
            <v>6,01,12</v>
          </cell>
          <cell r="B1479" t="str">
            <v>Unión PVC SAP de 35 mm</v>
          </cell>
          <cell r="C1479" t="str">
            <v>und</v>
          </cell>
          <cell r="E1479">
            <v>2</v>
          </cell>
          <cell r="F1479">
            <v>0.53</v>
          </cell>
          <cell r="G1479">
            <v>1.06</v>
          </cell>
        </row>
        <row r="1480">
          <cell r="A1480" t="str">
            <v>6,01,12</v>
          </cell>
          <cell r="B1480" t="str">
            <v>Unión PVC SAP de 20 mm</v>
          </cell>
          <cell r="C1480" t="str">
            <v>und</v>
          </cell>
          <cell r="E1480">
            <v>2</v>
          </cell>
          <cell r="F1480">
            <v>0.25</v>
          </cell>
          <cell r="G1480">
            <v>0.5</v>
          </cell>
        </row>
        <row r="1481">
          <cell r="A1481" t="str">
            <v>6,01,12</v>
          </cell>
          <cell r="B1481" t="str">
            <v>Conexión PVC SAP de 35 mm</v>
          </cell>
          <cell r="C1481" t="str">
            <v>und</v>
          </cell>
          <cell r="E1481">
            <v>2</v>
          </cell>
          <cell r="F1481">
            <v>0.31</v>
          </cell>
          <cell r="G1481">
            <v>0.62</v>
          </cell>
        </row>
        <row r="1482">
          <cell r="A1482" t="str">
            <v>6,01,12</v>
          </cell>
          <cell r="B1482" t="str">
            <v>Conexión PVC SAP de 20 mm</v>
          </cell>
          <cell r="C1482" t="str">
            <v>und</v>
          </cell>
          <cell r="E1482">
            <v>2</v>
          </cell>
          <cell r="F1482">
            <v>0.17399999999999999</v>
          </cell>
          <cell r="G1482">
            <v>0.35</v>
          </cell>
        </row>
        <row r="1483">
          <cell r="A1483" t="str">
            <v>6,01,12</v>
          </cell>
          <cell r="B1483" t="str">
            <v>Abrazadera galv. 35mm</v>
          </cell>
          <cell r="C1483" t="str">
            <v>und</v>
          </cell>
          <cell r="E1483">
            <v>2</v>
          </cell>
          <cell r="F1483">
            <v>0.43</v>
          </cell>
          <cell r="G1483">
            <v>0.86</v>
          </cell>
        </row>
        <row r="1484">
          <cell r="A1484" t="str">
            <v>6,01,12</v>
          </cell>
          <cell r="B1484" t="str">
            <v>Abrazadera galv. 20mm</v>
          </cell>
          <cell r="C1484" t="str">
            <v>und</v>
          </cell>
          <cell r="E1484">
            <v>2</v>
          </cell>
          <cell r="F1484">
            <v>0.43</v>
          </cell>
          <cell r="G1484">
            <v>0.86</v>
          </cell>
        </row>
        <row r="1485">
          <cell r="A1485" t="str">
            <v>6,01,12</v>
          </cell>
          <cell r="B1485" t="str">
            <v>Tarugo plastico verde de 1/4</v>
          </cell>
          <cell r="C1485" t="str">
            <v>und</v>
          </cell>
          <cell r="E1485">
            <v>4</v>
          </cell>
          <cell r="F1485">
            <v>0.115</v>
          </cell>
          <cell r="G1485">
            <v>0.46</v>
          </cell>
        </row>
        <row r="1486">
          <cell r="A1486" t="str">
            <v>6,01,12</v>
          </cell>
          <cell r="B1486" t="str">
            <v>Tornillo autoroscante de 8x1"</v>
          </cell>
          <cell r="C1486" t="str">
            <v>und</v>
          </cell>
          <cell r="E1486">
            <v>4</v>
          </cell>
          <cell r="F1486">
            <v>4.2000000000000003E-2</v>
          </cell>
          <cell r="G1486">
            <v>0.17</v>
          </cell>
        </row>
        <row r="1487">
          <cell r="A1487" t="str">
            <v>6,01,12</v>
          </cell>
          <cell r="B1487" t="str">
            <v>Pegamento PVC de 1/4 de galón</v>
          </cell>
          <cell r="C1487" t="str">
            <v>und</v>
          </cell>
          <cell r="E1487">
            <v>0.01</v>
          </cell>
          <cell r="F1487">
            <v>6.3959999999999999</v>
          </cell>
          <cell r="G1487">
            <v>0.06</v>
          </cell>
        </row>
        <row r="1488">
          <cell r="A1488" t="str">
            <v>6,01,12</v>
          </cell>
          <cell r="B1488" t="str">
            <v>Mano de obra</v>
          </cell>
          <cell r="G1488">
            <v>2.0699999999999998</v>
          </cell>
        </row>
        <row r="1489">
          <cell r="A1489" t="str">
            <v>6,01,12</v>
          </cell>
          <cell r="B1489" t="str">
            <v>Operario</v>
          </cell>
          <cell r="C1489" t="str">
            <v>HH</v>
          </cell>
          <cell r="D1489">
            <v>1</v>
          </cell>
          <cell r="E1489">
            <v>0.4</v>
          </cell>
          <cell r="F1489">
            <v>2.84</v>
          </cell>
          <cell r="G1489">
            <v>1.1399999999999999</v>
          </cell>
          <cell r="H1489">
            <v>20</v>
          </cell>
        </row>
        <row r="1490">
          <cell r="A1490" t="str">
            <v>6,01,12</v>
          </cell>
          <cell r="B1490" t="str">
            <v>Peón</v>
          </cell>
          <cell r="C1490" t="str">
            <v>HH</v>
          </cell>
          <cell r="D1490">
            <v>1</v>
          </cell>
          <cell r="E1490">
            <v>0.4</v>
          </cell>
          <cell r="F1490">
            <v>2.3199999999999998</v>
          </cell>
          <cell r="G1490">
            <v>0.93</v>
          </cell>
          <cell r="H1490">
            <v>20</v>
          </cell>
        </row>
        <row r="1491">
          <cell r="A1491" t="str">
            <v>6,01,12</v>
          </cell>
          <cell r="B1491" t="str">
            <v>Equipos y/o herramientas</v>
          </cell>
          <cell r="G1491">
            <v>0.51</v>
          </cell>
        </row>
        <row r="1492">
          <cell r="A1492" t="str">
            <v>6,01,12</v>
          </cell>
          <cell r="B1492" t="str">
            <v>Cuerpo de andamio de 2 m</v>
          </cell>
          <cell r="C1492" t="str">
            <v>DIA</v>
          </cell>
          <cell r="D1492">
            <v>1</v>
          </cell>
          <cell r="E1492">
            <v>0.05</v>
          </cell>
          <cell r="F1492">
            <v>0.65</v>
          </cell>
          <cell r="G1492">
            <v>0.03</v>
          </cell>
        </row>
        <row r="1493">
          <cell r="A1493" t="str">
            <v>6,01,12</v>
          </cell>
          <cell r="B1493" t="str">
            <v>Escalera</v>
          </cell>
          <cell r="C1493" t="str">
            <v>DIA</v>
          </cell>
          <cell r="D1493">
            <v>1</v>
          </cell>
          <cell r="E1493">
            <v>0.05</v>
          </cell>
          <cell r="F1493">
            <v>1</v>
          </cell>
          <cell r="G1493">
            <v>0.05</v>
          </cell>
        </row>
        <row r="1494">
          <cell r="A1494" t="str">
            <v>6,01,12</v>
          </cell>
          <cell r="B1494" t="str">
            <v>Taladro Hilti</v>
          </cell>
          <cell r="C1494" t="str">
            <v>DIA</v>
          </cell>
          <cell r="D1494">
            <v>1</v>
          </cell>
          <cell r="E1494">
            <v>0.05</v>
          </cell>
          <cell r="F1494">
            <v>6.5</v>
          </cell>
          <cell r="G1494">
            <v>0.33</v>
          </cell>
        </row>
        <row r="1495">
          <cell r="A1495" t="str">
            <v>6,01,12</v>
          </cell>
          <cell r="B1495" t="str">
            <v>Desgaste de herramientas</v>
          </cell>
          <cell r="C1495" t="str">
            <v>%MO</v>
          </cell>
          <cell r="E1495">
            <v>0.05</v>
          </cell>
          <cell r="F1495">
            <v>2.0699999999999998</v>
          </cell>
          <cell r="G1495">
            <v>0.1</v>
          </cell>
        </row>
        <row r="1496">
          <cell r="A1496" t="str">
            <v>6,01,13</v>
          </cell>
          <cell r="B1496" t="str">
            <v>Reubicación de tablero eléctrico TO17-1</v>
          </cell>
          <cell r="F1496" t="str">
            <v>(und)</v>
          </cell>
          <cell r="G1496">
            <v>69.41</v>
          </cell>
        </row>
        <row r="1497">
          <cell r="A1497" t="str">
            <v>6,01,13</v>
          </cell>
          <cell r="C1497" t="str">
            <v>und.</v>
          </cell>
          <cell r="D1497" t="str">
            <v>cuad.</v>
          </cell>
          <cell r="E1497" t="str">
            <v>cant.</v>
          </cell>
          <cell r="F1497" t="str">
            <v>prec. $</v>
          </cell>
          <cell r="G1497" t="str">
            <v>parcial $</v>
          </cell>
        </row>
        <row r="1498">
          <cell r="A1498" t="str">
            <v>6,01,13</v>
          </cell>
          <cell r="B1498" t="str">
            <v>Materiales</v>
          </cell>
          <cell r="G1498">
            <v>7.1000000000000005</v>
          </cell>
        </row>
        <row r="1499">
          <cell r="A1499" t="str">
            <v>6,01,13</v>
          </cell>
          <cell r="B1499" t="str">
            <v>Varilla roscada de 1/2"x1,8</v>
          </cell>
          <cell r="C1499" t="str">
            <v>und</v>
          </cell>
          <cell r="E1499">
            <v>0.2</v>
          </cell>
          <cell r="F1499">
            <v>3.71</v>
          </cell>
          <cell r="G1499">
            <v>0.74</v>
          </cell>
        </row>
        <row r="1500">
          <cell r="A1500" t="str">
            <v>6,01,13</v>
          </cell>
          <cell r="B1500" t="str">
            <v>Taco de expansión de 1/2"</v>
          </cell>
          <cell r="C1500" t="str">
            <v>und</v>
          </cell>
          <cell r="E1500">
            <v>6</v>
          </cell>
          <cell r="F1500">
            <v>1.06</v>
          </cell>
          <cell r="G1500">
            <v>6.36</v>
          </cell>
        </row>
        <row r="1501">
          <cell r="A1501" t="str">
            <v>6,01,13</v>
          </cell>
          <cell r="B1501" t="str">
            <v>Mano de obra</v>
          </cell>
          <cell r="G1501">
            <v>51.599999999999994</v>
          </cell>
        </row>
        <row r="1502">
          <cell r="A1502" t="str">
            <v>6,01,13</v>
          </cell>
          <cell r="B1502" t="str">
            <v>Operario</v>
          </cell>
          <cell r="C1502" t="str">
            <v>HH</v>
          </cell>
          <cell r="D1502">
            <v>1</v>
          </cell>
          <cell r="E1502">
            <v>10</v>
          </cell>
          <cell r="F1502">
            <v>2.84</v>
          </cell>
          <cell r="G1502">
            <v>28.4</v>
          </cell>
          <cell r="H1502">
            <v>0.8</v>
          </cell>
        </row>
        <row r="1503">
          <cell r="A1503" t="str">
            <v>6,01,13</v>
          </cell>
          <cell r="B1503" t="str">
            <v>Peón</v>
          </cell>
          <cell r="C1503" t="str">
            <v>HH</v>
          </cell>
          <cell r="D1503">
            <v>1</v>
          </cell>
          <cell r="E1503">
            <v>10</v>
          </cell>
          <cell r="F1503">
            <v>2.3199999999999998</v>
          </cell>
          <cell r="G1503">
            <v>23.2</v>
          </cell>
          <cell r="H1503">
            <v>0.8</v>
          </cell>
        </row>
        <row r="1504">
          <cell r="A1504" t="str">
            <v>6,01,13</v>
          </cell>
          <cell r="B1504" t="str">
            <v>Equipos</v>
          </cell>
          <cell r="G1504">
            <v>10.71</v>
          </cell>
        </row>
        <row r="1505">
          <cell r="A1505" t="str">
            <v>6,01,13</v>
          </cell>
          <cell r="B1505" t="str">
            <v>Taladro Hilti</v>
          </cell>
          <cell r="C1505" t="str">
            <v>DIA</v>
          </cell>
          <cell r="D1505">
            <v>1</v>
          </cell>
          <cell r="E1505">
            <v>1.25</v>
          </cell>
          <cell r="F1505">
            <v>6.5</v>
          </cell>
          <cell r="G1505">
            <v>8.1300000000000008</v>
          </cell>
        </row>
        <row r="1506">
          <cell r="A1506" t="str">
            <v>6,01,13</v>
          </cell>
          <cell r="B1506" t="str">
            <v>Desgaste de herramientas</v>
          </cell>
          <cell r="C1506" t="str">
            <v>%MO</v>
          </cell>
          <cell r="E1506">
            <v>0.05</v>
          </cell>
          <cell r="F1506">
            <v>51.599999999999994</v>
          </cell>
          <cell r="G1506">
            <v>2.58</v>
          </cell>
        </row>
        <row r="1507">
          <cell r="A1507" t="str">
            <v>6,01,14</v>
          </cell>
          <cell r="B1507" t="str">
            <v>Reubicación de tablero eléctrico TE17</v>
          </cell>
          <cell r="F1507" t="str">
            <v>(und)</v>
          </cell>
          <cell r="G1507">
            <v>69.41</v>
          </cell>
        </row>
        <row r="1508">
          <cell r="A1508" t="str">
            <v>6,01,14</v>
          </cell>
          <cell r="C1508" t="str">
            <v>und.</v>
          </cell>
          <cell r="D1508" t="str">
            <v>cuad.</v>
          </cell>
          <cell r="E1508" t="str">
            <v>cant.</v>
          </cell>
          <cell r="F1508" t="str">
            <v>prec. $</v>
          </cell>
          <cell r="G1508" t="str">
            <v>parcial $</v>
          </cell>
        </row>
        <row r="1509">
          <cell r="A1509" t="str">
            <v>6,01,14</v>
          </cell>
          <cell r="B1509" t="str">
            <v>Materiales</v>
          </cell>
          <cell r="G1509">
            <v>7.1000000000000005</v>
          </cell>
        </row>
        <row r="1510">
          <cell r="A1510" t="str">
            <v>6,01,14</v>
          </cell>
          <cell r="B1510" t="str">
            <v>Varilla roscada de 1/2"x1,8</v>
          </cell>
          <cell r="C1510" t="str">
            <v>und</v>
          </cell>
          <cell r="E1510">
            <v>0.2</v>
          </cell>
          <cell r="F1510">
            <v>3.71</v>
          </cell>
          <cell r="G1510">
            <v>0.74</v>
          </cell>
        </row>
        <row r="1511">
          <cell r="A1511" t="str">
            <v>6,01,14</v>
          </cell>
          <cell r="B1511" t="str">
            <v>Taco de expansión de 1/2"</v>
          </cell>
          <cell r="C1511" t="str">
            <v>und</v>
          </cell>
          <cell r="E1511">
            <v>6</v>
          </cell>
          <cell r="F1511">
            <v>1.06</v>
          </cell>
          <cell r="G1511">
            <v>6.36</v>
          </cell>
        </row>
        <row r="1512">
          <cell r="A1512" t="str">
            <v>6,01,14</v>
          </cell>
          <cell r="B1512" t="str">
            <v>Mano de obra</v>
          </cell>
          <cell r="G1512">
            <v>51.599999999999994</v>
          </cell>
        </row>
        <row r="1513">
          <cell r="A1513" t="str">
            <v>6,01,14</v>
          </cell>
          <cell r="B1513" t="str">
            <v>Operario</v>
          </cell>
          <cell r="C1513" t="str">
            <v>HH</v>
          </cell>
          <cell r="D1513">
            <v>1</v>
          </cell>
          <cell r="E1513">
            <v>10</v>
          </cell>
          <cell r="F1513">
            <v>2.84</v>
          </cell>
          <cell r="G1513">
            <v>28.4</v>
          </cell>
          <cell r="H1513">
            <v>0.8</v>
          </cell>
        </row>
        <row r="1514">
          <cell r="A1514" t="str">
            <v>6,01,14</v>
          </cell>
          <cell r="B1514" t="str">
            <v>Peón</v>
          </cell>
          <cell r="C1514" t="str">
            <v>HH</v>
          </cell>
          <cell r="D1514">
            <v>1</v>
          </cell>
          <cell r="E1514">
            <v>10</v>
          </cell>
          <cell r="F1514">
            <v>2.3199999999999998</v>
          </cell>
          <cell r="G1514">
            <v>23.2</v>
          </cell>
          <cell r="H1514">
            <v>0.8</v>
          </cell>
        </row>
        <row r="1515">
          <cell r="A1515" t="str">
            <v>6,01,14</v>
          </cell>
          <cell r="B1515" t="str">
            <v>Equipos</v>
          </cell>
          <cell r="G1515">
            <v>10.71</v>
          </cell>
        </row>
        <row r="1516">
          <cell r="A1516" t="str">
            <v>6,01,14</v>
          </cell>
          <cell r="B1516" t="str">
            <v>Taladro Hilti</v>
          </cell>
          <cell r="C1516" t="str">
            <v>DIA</v>
          </cell>
          <cell r="D1516">
            <v>1</v>
          </cell>
          <cell r="E1516">
            <v>1.25</v>
          </cell>
          <cell r="F1516">
            <v>6.5</v>
          </cell>
          <cell r="G1516">
            <v>8.1300000000000008</v>
          </cell>
        </row>
        <row r="1517">
          <cell r="A1517" t="str">
            <v>6,01,14</v>
          </cell>
          <cell r="B1517" t="str">
            <v>Desgaste de herramientas</v>
          </cell>
          <cell r="C1517" t="str">
            <v>%MO</v>
          </cell>
          <cell r="E1517">
            <v>0.05</v>
          </cell>
          <cell r="F1517">
            <v>51.599999999999994</v>
          </cell>
          <cell r="G1517">
            <v>2.58</v>
          </cell>
        </row>
        <row r="1518">
          <cell r="A1518" t="str">
            <v>6,01,15</v>
          </cell>
          <cell r="B1518" t="str">
            <v>Salida de de voz y data de impresora en muro</v>
          </cell>
          <cell r="F1518" t="str">
            <v>( pto )</v>
          </cell>
          <cell r="G1518">
            <v>22.2</v>
          </cell>
        </row>
        <row r="1519">
          <cell r="A1519" t="str">
            <v>6,01,15</v>
          </cell>
          <cell r="C1519" t="str">
            <v>und.</v>
          </cell>
          <cell r="D1519" t="str">
            <v>cuad.</v>
          </cell>
          <cell r="E1519" t="str">
            <v>cant.</v>
          </cell>
          <cell r="F1519" t="str">
            <v>prec. $</v>
          </cell>
          <cell r="G1519" t="str">
            <v>parcial $</v>
          </cell>
        </row>
        <row r="1520">
          <cell r="A1520" t="str">
            <v>6,01,15</v>
          </cell>
          <cell r="B1520" t="str">
            <v>Materiales</v>
          </cell>
          <cell r="D1520" t="str">
            <v xml:space="preserve"> </v>
          </cell>
          <cell r="G1520">
            <v>12.04</v>
          </cell>
        </row>
        <row r="1521">
          <cell r="A1521" t="str">
            <v>6,01,15</v>
          </cell>
          <cell r="B1521" t="str">
            <v>Tubería PVC SAP de 25 mm</v>
          </cell>
          <cell r="C1521" t="str">
            <v>ml</v>
          </cell>
          <cell r="E1521">
            <v>8</v>
          </cell>
          <cell r="F1521">
            <v>0.52</v>
          </cell>
          <cell r="G1521">
            <v>4.16</v>
          </cell>
        </row>
        <row r="1522">
          <cell r="A1522" t="str">
            <v>6,01,15</v>
          </cell>
          <cell r="B1522" t="str">
            <v>Curva PVC SAP de 25 mm</v>
          </cell>
          <cell r="C1522" t="str">
            <v>und</v>
          </cell>
          <cell r="E1522">
            <v>2</v>
          </cell>
          <cell r="F1522">
            <v>0.89</v>
          </cell>
          <cell r="G1522">
            <v>1.78</v>
          </cell>
        </row>
        <row r="1523">
          <cell r="A1523" t="str">
            <v>6,01,15</v>
          </cell>
          <cell r="B1523" t="str">
            <v>Unión PVC SAP de 25 mm</v>
          </cell>
          <cell r="C1523" t="str">
            <v>und</v>
          </cell>
          <cell r="E1523">
            <v>2</v>
          </cell>
          <cell r="F1523">
            <v>0.34</v>
          </cell>
          <cell r="G1523">
            <v>0.68</v>
          </cell>
        </row>
        <row r="1524">
          <cell r="A1524" t="str">
            <v>6,01,15</v>
          </cell>
          <cell r="B1524" t="str">
            <v>Conexión PVC SAP de 25 mm</v>
          </cell>
          <cell r="C1524" t="str">
            <v>und</v>
          </cell>
          <cell r="E1524">
            <v>2</v>
          </cell>
          <cell r="F1524">
            <v>0.2</v>
          </cell>
          <cell r="G1524">
            <v>0.4</v>
          </cell>
        </row>
        <row r="1525">
          <cell r="A1525" t="str">
            <v>6,01,15</v>
          </cell>
          <cell r="B1525" t="str">
            <v xml:space="preserve">Caja F°G° 100x100x50mm </v>
          </cell>
          <cell r="C1525" t="str">
            <v>und</v>
          </cell>
          <cell r="E1525">
            <v>1</v>
          </cell>
          <cell r="F1525">
            <v>1.72</v>
          </cell>
          <cell r="G1525">
            <v>1.72</v>
          </cell>
        </row>
        <row r="1526">
          <cell r="A1526" t="str">
            <v>6,01,15</v>
          </cell>
          <cell r="B1526" t="str">
            <v>Tapa de un gang</v>
          </cell>
          <cell r="C1526" t="str">
            <v>und</v>
          </cell>
          <cell r="E1526">
            <v>1</v>
          </cell>
          <cell r="F1526">
            <v>0.85</v>
          </cell>
          <cell r="G1526">
            <v>0.85</v>
          </cell>
        </row>
        <row r="1527">
          <cell r="A1527" t="str">
            <v>6,01,15</v>
          </cell>
          <cell r="B1527" t="str">
            <v>Abrazadera de 25 mm</v>
          </cell>
          <cell r="C1527" t="str">
            <v>und</v>
          </cell>
          <cell r="E1527">
            <v>6</v>
          </cell>
          <cell r="F1527">
            <v>0.2</v>
          </cell>
          <cell r="G1527">
            <v>1.2</v>
          </cell>
        </row>
        <row r="1528">
          <cell r="A1528" t="str">
            <v>6,01,15</v>
          </cell>
          <cell r="B1528" t="str">
            <v>Tarugo plastico verde de 1/4</v>
          </cell>
          <cell r="C1528" t="str">
            <v>und</v>
          </cell>
          <cell r="E1528">
            <v>6</v>
          </cell>
          <cell r="F1528">
            <v>0.115</v>
          </cell>
          <cell r="G1528">
            <v>0.69</v>
          </cell>
        </row>
        <row r="1529">
          <cell r="A1529" t="str">
            <v>6,01,15</v>
          </cell>
          <cell r="B1529" t="str">
            <v>Tornillo autoroscante de 8x1"</v>
          </cell>
          <cell r="C1529" t="str">
            <v>und</v>
          </cell>
          <cell r="E1529">
            <v>6</v>
          </cell>
          <cell r="F1529">
            <v>4.2000000000000003E-2</v>
          </cell>
          <cell r="G1529">
            <v>0.25</v>
          </cell>
        </row>
        <row r="1530">
          <cell r="A1530" t="str">
            <v>6,01,15</v>
          </cell>
          <cell r="B1530" t="str">
            <v>Tornillo autoroscante de 8x1/2 "</v>
          </cell>
          <cell r="C1530" t="str">
            <v>und</v>
          </cell>
          <cell r="E1530">
            <v>6</v>
          </cell>
          <cell r="F1530">
            <v>4.2000000000000003E-2</v>
          </cell>
          <cell r="G1530">
            <v>0.25</v>
          </cell>
        </row>
        <row r="1531">
          <cell r="A1531" t="str">
            <v>6,01,15</v>
          </cell>
          <cell r="B1531" t="str">
            <v>Pegamento de 1/4 de galón</v>
          </cell>
          <cell r="C1531" t="str">
            <v>und</v>
          </cell>
          <cell r="E1531">
            <v>0.01</v>
          </cell>
          <cell r="F1531">
            <v>6.3959999999999999</v>
          </cell>
          <cell r="G1531">
            <v>0.06</v>
          </cell>
        </row>
        <row r="1532">
          <cell r="A1532" t="str">
            <v>6,01,15</v>
          </cell>
          <cell r="B1532" t="str">
            <v>Mano de obra</v>
          </cell>
          <cell r="G1532">
            <v>8.25</v>
          </cell>
        </row>
        <row r="1533">
          <cell r="A1533" t="str">
            <v>6,01,15</v>
          </cell>
          <cell r="B1533" t="str">
            <v>Operario</v>
          </cell>
          <cell r="C1533" t="str">
            <v>HH</v>
          </cell>
          <cell r="D1533">
            <v>1</v>
          </cell>
          <cell r="E1533">
            <v>1.6</v>
          </cell>
          <cell r="F1533">
            <v>2.84</v>
          </cell>
          <cell r="G1533">
            <v>4.54</v>
          </cell>
          <cell r="H1533">
            <v>5</v>
          </cell>
        </row>
        <row r="1534">
          <cell r="A1534" t="str">
            <v>6,01,15</v>
          </cell>
          <cell r="B1534" t="str">
            <v>Peón</v>
          </cell>
          <cell r="C1534" t="str">
            <v>HH</v>
          </cell>
          <cell r="D1534">
            <v>1</v>
          </cell>
          <cell r="E1534">
            <v>1.6</v>
          </cell>
          <cell r="F1534">
            <v>2.3199999999999998</v>
          </cell>
          <cell r="G1534">
            <v>3.71</v>
          </cell>
          <cell r="H1534">
            <v>5</v>
          </cell>
        </row>
        <row r="1535">
          <cell r="A1535" t="str">
            <v>6,01,15</v>
          </cell>
          <cell r="B1535" t="str">
            <v>Equipos</v>
          </cell>
          <cell r="G1535">
            <v>1.91</v>
          </cell>
        </row>
        <row r="1536">
          <cell r="A1536" t="str">
            <v>6,01,15</v>
          </cell>
          <cell r="B1536" t="str">
            <v>Escalera</v>
          </cell>
          <cell r="C1536" t="str">
            <v>DIA</v>
          </cell>
          <cell r="D1536">
            <v>1</v>
          </cell>
          <cell r="E1536">
            <v>0.2</v>
          </cell>
          <cell r="F1536">
            <v>1</v>
          </cell>
          <cell r="G1536">
            <v>0.2</v>
          </cell>
        </row>
        <row r="1537">
          <cell r="A1537" t="str">
            <v>6,01,15</v>
          </cell>
          <cell r="B1537" t="str">
            <v>Taladro Hilti</v>
          </cell>
          <cell r="C1537" t="str">
            <v>DIA</v>
          </cell>
          <cell r="D1537">
            <v>1</v>
          </cell>
          <cell r="E1537">
            <v>0.2</v>
          </cell>
          <cell r="F1537">
            <v>6.5</v>
          </cell>
          <cell r="G1537">
            <v>1.3</v>
          </cell>
        </row>
        <row r="1538">
          <cell r="A1538" t="str">
            <v>6,01,15</v>
          </cell>
          <cell r="B1538" t="str">
            <v>Desgaste de herramientas</v>
          </cell>
          <cell r="C1538" t="str">
            <v>%MO</v>
          </cell>
          <cell r="E1538">
            <v>0.05</v>
          </cell>
          <cell r="F1538">
            <v>8.25</v>
          </cell>
          <cell r="G1538">
            <v>0.41</v>
          </cell>
        </row>
        <row r="1539">
          <cell r="A1539" t="str">
            <v>6,01,16</v>
          </cell>
          <cell r="B1539" t="str">
            <v>Salida de fuerza para impresora en muro</v>
          </cell>
          <cell r="F1539" t="str">
            <v>( pto )</v>
          </cell>
          <cell r="G1539">
            <v>15.98</v>
          </cell>
        </row>
        <row r="1540">
          <cell r="A1540" t="str">
            <v>6,01,16</v>
          </cell>
          <cell r="C1540" t="str">
            <v>und.</v>
          </cell>
          <cell r="D1540" t="str">
            <v>cuad.</v>
          </cell>
          <cell r="E1540" t="str">
            <v>cant.</v>
          </cell>
          <cell r="F1540" t="str">
            <v>prec. $</v>
          </cell>
          <cell r="G1540" t="str">
            <v>parcial $</v>
          </cell>
        </row>
        <row r="1541">
          <cell r="A1541" t="str">
            <v>6,01,16</v>
          </cell>
          <cell r="B1541" t="str">
            <v>Materiales</v>
          </cell>
          <cell r="G1541">
            <v>7.51</v>
          </cell>
        </row>
        <row r="1542">
          <cell r="A1542" t="str">
            <v>6,01,16</v>
          </cell>
          <cell r="B1542" t="str">
            <v>Tubería PVC SAP de 20 mm</v>
          </cell>
          <cell r="C1542" t="str">
            <v>ml</v>
          </cell>
          <cell r="E1542">
            <v>8</v>
          </cell>
          <cell r="F1542">
            <v>0.41</v>
          </cell>
          <cell r="G1542">
            <v>3.28</v>
          </cell>
        </row>
        <row r="1543">
          <cell r="A1543" t="str">
            <v>6,01,16</v>
          </cell>
          <cell r="B1543" t="str">
            <v>Curva PVC SAP de 20 mm</v>
          </cell>
          <cell r="C1543" t="str">
            <v>und</v>
          </cell>
          <cell r="E1543">
            <v>2</v>
          </cell>
          <cell r="F1543">
            <v>0.59</v>
          </cell>
          <cell r="G1543">
            <v>1.18</v>
          </cell>
        </row>
        <row r="1544">
          <cell r="A1544" t="str">
            <v>6,01,16</v>
          </cell>
          <cell r="B1544" t="str">
            <v>Unión PVC SAP de 20 mm</v>
          </cell>
          <cell r="C1544" t="str">
            <v>und</v>
          </cell>
          <cell r="E1544">
            <v>2</v>
          </cell>
          <cell r="F1544">
            <v>0.25</v>
          </cell>
          <cell r="G1544">
            <v>0.5</v>
          </cell>
        </row>
        <row r="1545">
          <cell r="A1545" t="str">
            <v>6,01,16</v>
          </cell>
          <cell r="B1545" t="str">
            <v>Conexión PVC SAP de 20 mm</v>
          </cell>
          <cell r="C1545" t="str">
            <v>und</v>
          </cell>
          <cell r="E1545">
            <v>2</v>
          </cell>
          <cell r="F1545">
            <v>0.17399999999999999</v>
          </cell>
          <cell r="G1545">
            <v>0.35</v>
          </cell>
        </row>
        <row r="1546">
          <cell r="A1546" t="str">
            <v>6,01,16</v>
          </cell>
          <cell r="B1546" t="str">
            <v>Caja rectangular de 100x50 mm</v>
          </cell>
          <cell r="C1546" t="str">
            <v>und</v>
          </cell>
          <cell r="E1546">
            <v>1</v>
          </cell>
          <cell r="F1546">
            <v>0.78</v>
          </cell>
          <cell r="G1546">
            <v>0.78</v>
          </cell>
        </row>
        <row r="1547">
          <cell r="A1547" t="str">
            <v>6,01,16</v>
          </cell>
          <cell r="B1547" t="str">
            <v>Abrazadera de 20 mm</v>
          </cell>
          <cell r="C1547" t="str">
            <v>und</v>
          </cell>
          <cell r="E1547">
            <v>4</v>
          </cell>
          <cell r="F1547">
            <v>0.14000000000000001</v>
          </cell>
          <cell r="G1547">
            <v>0.56000000000000005</v>
          </cell>
        </row>
        <row r="1548">
          <cell r="A1548" t="str">
            <v>6,01,16</v>
          </cell>
          <cell r="B1548" t="str">
            <v>Tarugo plastico verde de 1/4</v>
          </cell>
          <cell r="C1548" t="str">
            <v>und</v>
          </cell>
          <cell r="E1548">
            <v>4</v>
          </cell>
          <cell r="F1548">
            <v>0.115</v>
          </cell>
          <cell r="G1548">
            <v>0.46</v>
          </cell>
        </row>
        <row r="1549">
          <cell r="A1549" t="str">
            <v>6,01,16</v>
          </cell>
          <cell r="B1549" t="str">
            <v>Tornillo autoroscante de 8x1"</v>
          </cell>
          <cell r="C1549" t="str">
            <v>und</v>
          </cell>
          <cell r="E1549">
            <v>4</v>
          </cell>
          <cell r="F1549">
            <v>4.2000000000000003E-2</v>
          </cell>
          <cell r="G1549">
            <v>0.17</v>
          </cell>
        </row>
        <row r="1550">
          <cell r="A1550" t="str">
            <v>6,01,16</v>
          </cell>
          <cell r="B1550" t="str">
            <v>Tornillo autoroscante de8x1/2"</v>
          </cell>
          <cell r="C1550" t="str">
            <v>und</v>
          </cell>
          <cell r="E1550">
            <v>4</v>
          </cell>
          <cell r="F1550">
            <v>4.2000000000000003E-2</v>
          </cell>
          <cell r="G1550">
            <v>0.17</v>
          </cell>
        </row>
        <row r="1551">
          <cell r="A1551" t="str">
            <v>6,01,16</v>
          </cell>
          <cell r="B1551" t="str">
            <v>Pegamento de 1/4 de galón</v>
          </cell>
          <cell r="C1551" t="str">
            <v>und</v>
          </cell>
          <cell r="E1551">
            <v>0.01</v>
          </cell>
          <cell r="F1551">
            <v>6.3959999999999999</v>
          </cell>
          <cell r="G1551">
            <v>0.06</v>
          </cell>
        </row>
        <row r="1552">
          <cell r="A1552" t="str">
            <v>6,01,16</v>
          </cell>
          <cell r="B1552" t="str">
            <v>Mano de obra</v>
          </cell>
          <cell r="G1552">
            <v>6.88</v>
          </cell>
        </row>
        <row r="1553">
          <cell r="A1553" t="str">
            <v>6,01,16</v>
          </cell>
          <cell r="B1553" t="str">
            <v>Operario</v>
          </cell>
          <cell r="C1553" t="str">
            <v>HH</v>
          </cell>
          <cell r="D1553">
            <v>1</v>
          </cell>
          <cell r="E1553">
            <v>1.3333333333333333</v>
          </cell>
          <cell r="F1553">
            <v>2.84</v>
          </cell>
          <cell r="G1553">
            <v>3.79</v>
          </cell>
          <cell r="H1553">
            <v>6</v>
          </cell>
        </row>
        <row r="1554">
          <cell r="A1554" t="str">
            <v>6,01,16</v>
          </cell>
          <cell r="B1554" t="str">
            <v>Peón</v>
          </cell>
          <cell r="C1554" t="str">
            <v>HH</v>
          </cell>
          <cell r="D1554">
            <v>1</v>
          </cell>
          <cell r="E1554">
            <v>1.3333333333333333</v>
          </cell>
          <cell r="F1554">
            <v>2.3199999999999998</v>
          </cell>
          <cell r="G1554">
            <v>3.09</v>
          </cell>
          <cell r="H1554">
            <v>6</v>
          </cell>
        </row>
        <row r="1555">
          <cell r="A1555" t="str">
            <v>6,01,16</v>
          </cell>
          <cell r="B1555" t="str">
            <v>Equipos</v>
          </cell>
          <cell r="G1555">
            <v>1.59</v>
          </cell>
        </row>
        <row r="1556">
          <cell r="A1556" t="str">
            <v>6,01,16</v>
          </cell>
          <cell r="B1556" t="str">
            <v>Escalera</v>
          </cell>
          <cell r="C1556" t="str">
            <v>DIA</v>
          </cell>
          <cell r="D1556">
            <v>1</v>
          </cell>
          <cell r="E1556">
            <v>0.16666666666666666</v>
          </cell>
          <cell r="F1556">
            <v>1</v>
          </cell>
          <cell r="G1556">
            <v>0.17</v>
          </cell>
        </row>
        <row r="1557">
          <cell r="A1557" t="str">
            <v>6,01,16</v>
          </cell>
          <cell r="B1557" t="str">
            <v>Taladro Hilti</v>
          </cell>
          <cell r="C1557" t="str">
            <v>DIA</v>
          </cell>
          <cell r="D1557">
            <v>1</v>
          </cell>
          <cell r="E1557">
            <v>0.16666666666666666</v>
          </cell>
          <cell r="F1557">
            <v>6.5</v>
          </cell>
          <cell r="G1557">
            <v>1.08</v>
          </cell>
        </row>
        <row r="1558">
          <cell r="A1558" t="str">
            <v>6,01,16</v>
          </cell>
          <cell r="B1558" t="str">
            <v>Desgaste de herramientas</v>
          </cell>
          <cell r="C1558" t="str">
            <v>%MO</v>
          </cell>
          <cell r="E1558">
            <v>0.05</v>
          </cell>
          <cell r="F1558">
            <v>6.88</v>
          </cell>
          <cell r="G1558">
            <v>0.34</v>
          </cell>
        </row>
        <row r="1559">
          <cell r="A1559" t="str">
            <v>6,01,17</v>
          </cell>
          <cell r="B1559" t="str">
            <v>Salidas de data en piso para mueble en panel (solo canalización)</v>
          </cell>
          <cell r="F1559" t="str">
            <v>( pto )</v>
          </cell>
          <cell r="G1559">
            <v>19.610000000000003</v>
          </cell>
        </row>
        <row r="1560">
          <cell r="A1560" t="str">
            <v>6,01,17</v>
          </cell>
          <cell r="C1560" t="str">
            <v>und.</v>
          </cell>
          <cell r="D1560" t="str">
            <v>cuad.</v>
          </cell>
          <cell r="E1560" t="str">
            <v>cant.</v>
          </cell>
          <cell r="F1560" t="str">
            <v>prec. $</v>
          </cell>
          <cell r="G1560" t="str">
            <v>parcial $</v>
          </cell>
        </row>
        <row r="1561">
          <cell r="A1561" t="str">
            <v>6,01,17</v>
          </cell>
          <cell r="B1561" t="str">
            <v>Materiales</v>
          </cell>
          <cell r="D1561" t="str">
            <v xml:space="preserve"> </v>
          </cell>
          <cell r="G1561">
            <v>9.4500000000000011</v>
          </cell>
        </row>
        <row r="1562">
          <cell r="A1562" t="str">
            <v>6,01,17</v>
          </cell>
          <cell r="B1562" t="str">
            <v>Tubería PVC SAP de 25 mm</v>
          </cell>
          <cell r="C1562" t="str">
            <v>ml</v>
          </cell>
          <cell r="E1562">
            <v>5.8</v>
          </cell>
          <cell r="F1562">
            <v>0.52</v>
          </cell>
          <cell r="G1562">
            <v>3.02</v>
          </cell>
        </row>
        <row r="1563">
          <cell r="A1563" t="str">
            <v>6,01,17</v>
          </cell>
          <cell r="B1563" t="str">
            <v>Curva PVC SAP de 25 mm</v>
          </cell>
          <cell r="C1563" t="str">
            <v>und</v>
          </cell>
          <cell r="E1563">
            <v>2</v>
          </cell>
          <cell r="F1563">
            <v>0.89</v>
          </cell>
          <cell r="G1563">
            <v>1.78</v>
          </cell>
        </row>
        <row r="1564">
          <cell r="A1564" t="str">
            <v>6,01,17</v>
          </cell>
          <cell r="B1564" t="str">
            <v>Unión PVC SAP de 25 mm</v>
          </cell>
          <cell r="C1564" t="str">
            <v>und</v>
          </cell>
          <cell r="E1564">
            <v>4</v>
          </cell>
          <cell r="F1564">
            <v>0.34</v>
          </cell>
          <cell r="G1564">
            <v>1.36</v>
          </cell>
        </row>
        <row r="1565">
          <cell r="A1565" t="str">
            <v>6,01,17</v>
          </cell>
          <cell r="B1565" t="str">
            <v>Conexión PVC SAP de 25 mm</v>
          </cell>
          <cell r="C1565" t="str">
            <v>und</v>
          </cell>
          <cell r="E1565">
            <v>4</v>
          </cell>
          <cell r="F1565">
            <v>0.2</v>
          </cell>
          <cell r="G1565">
            <v>0.8</v>
          </cell>
        </row>
        <row r="1566">
          <cell r="A1566" t="str">
            <v>6,01,17</v>
          </cell>
          <cell r="B1566" t="str">
            <v xml:space="preserve">Caja F°G° 100x100x50mm </v>
          </cell>
          <cell r="C1566" t="str">
            <v>und</v>
          </cell>
          <cell r="E1566">
            <v>1</v>
          </cell>
          <cell r="F1566">
            <v>1.72</v>
          </cell>
          <cell r="G1566">
            <v>1.72</v>
          </cell>
        </row>
        <row r="1567">
          <cell r="A1567" t="str">
            <v>6,01,17</v>
          </cell>
          <cell r="B1567" t="str">
            <v>Abrazadera de 25 mm</v>
          </cell>
          <cell r="C1567" t="str">
            <v>und</v>
          </cell>
          <cell r="E1567">
            <v>2</v>
          </cell>
          <cell r="F1567">
            <v>0.2</v>
          </cell>
          <cell r="G1567">
            <v>0.4</v>
          </cell>
        </row>
        <row r="1568">
          <cell r="A1568" t="str">
            <v>6,01,17</v>
          </cell>
          <cell r="B1568" t="str">
            <v>Tarugo plastico verde de 1/4</v>
          </cell>
          <cell r="C1568" t="str">
            <v>und</v>
          </cell>
          <cell r="E1568">
            <v>2</v>
          </cell>
          <cell r="F1568">
            <v>0.115</v>
          </cell>
          <cell r="G1568">
            <v>0.23</v>
          </cell>
        </row>
        <row r="1569">
          <cell r="A1569" t="str">
            <v>6,01,17</v>
          </cell>
          <cell r="B1569" t="str">
            <v>Tornillo autoroscante de 8x1"</v>
          </cell>
          <cell r="C1569" t="str">
            <v>und</v>
          </cell>
          <cell r="E1569">
            <v>2</v>
          </cell>
          <cell r="F1569">
            <v>4.2000000000000003E-2</v>
          </cell>
          <cell r="G1569">
            <v>0.08</v>
          </cell>
        </row>
        <row r="1570">
          <cell r="A1570" t="str">
            <v>6,01,17</v>
          </cell>
          <cell r="B1570" t="str">
            <v>Pegamento de 1/4 de galón</v>
          </cell>
          <cell r="C1570" t="str">
            <v>und</v>
          </cell>
          <cell r="E1570">
            <v>0.01</v>
          </cell>
          <cell r="F1570">
            <v>6.3959999999999999</v>
          </cell>
          <cell r="G1570">
            <v>0.06</v>
          </cell>
        </row>
        <row r="1571">
          <cell r="A1571" t="str">
            <v>6,01,17</v>
          </cell>
          <cell r="B1571" t="str">
            <v>Mano de obra</v>
          </cell>
          <cell r="G1571">
            <v>8.25</v>
          </cell>
        </row>
        <row r="1572">
          <cell r="A1572" t="str">
            <v>6,01,17</v>
          </cell>
          <cell r="B1572" t="str">
            <v>Operario</v>
          </cell>
          <cell r="C1572" t="str">
            <v>HH</v>
          </cell>
          <cell r="D1572">
            <v>1</v>
          </cell>
          <cell r="E1572">
            <v>1.6</v>
          </cell>
          <cell r="F1572">
            <v>2.84</v>
          </cell>
          <cell r="G1572">
            <v>4.54</v>
          </cell>
          <cell r="H1572">
            <v>5</v>
          </cell>
        </row>
        <row r="1573">
          <cell r="A1573" t="str">
            <v>6,01,17</v>
          </cell>
          <cell r="B1573" t="str">
            <v>Peón</v>
          </cell>
          <cell r="C1573" t="str">
            <v>HH</v>
          </cell>
          <cell r="D1573">
            <v>1</v>
          </cell>
          <cell r="E1573">
            <v>1.6</v>
          </cell>
          <cell r="F1573">
            <v>2.3199999999999998</v>
          </cell>
          <cell r="G1573">
            <v>3.71</v>
          </cell>
          <cell r="H1573">
            <v>5</v>
          </cell>
        </row>
        <row r="1574">
          <cell r="A1574" t="str">
            <v>6,01,17</v>
          </cell>
          <cell r="B1574" t="str">
            <v>Equipos</v>
          </cell>
          <cell r="G1574">
            <v>1.91</v>
          </cell>
        </row>
        <row r="1575">
          <cell r="A1575" t="str">
            <v>6,01,17</v>
          </cell>
          <cell r="B1575" t="str">
            <v>Escalera</v>
          </cell>
          <cell r="C1575" t="str">
            <v>DIA</v>
          </cell>
          <cell r="D1575">
            <v>1</v>
          </cell>
          <cell r="E1575">
            <v>0.2</v>
          </cell>
          <cell r="F1575">
            <v>1</v>
          </cell>
          <cell r="G1575">
            <v>0.2</v>
          </cell>
        </row>
        <row r="1576">
          <cell r="A1576" t="str">
            <v>6,01,17</v>
          </cell>
          <cell r="B1576" t="str">
            <v>Taladro Hilti</v>
          </cell>
          <cell r="C1576" t="str">
            <v>DIA</v>
          </cell>
          <cell r="D1576">
            <v>1</v>
          </cell>
          <cell r="E1576">
            <v>0.2</v>
          </cell>
          <cell r="F1576">
            <v>6.5</v>
          </cell>
          <cell r="G1576">
            <v>1.3</v>
          </cell>
        </row>
        <row r="1577">
          <cell r="A1577" t="str">
            <v>6,01,17</v>
          </cell>
          <cell r="B1577" t="str">
            <v>Desgaste de herramientas</v>
          </cell>
          <cell r="C1577" t="str">
            <v>%MO</v>
          </cell>
          <cell r="E1577">
            <v>0.05</v>
          </cell>
          <cell r="F1577">
            <v>8.25</v>
          </cell>
          <cell r="G1577">
            <v>0.41</v>
          </cell>
        </row>
        <row r="1578">
          <cell r="A1578" t="str">
            <v>6,01,18</v>
          </cell>
          <cell r="B1578" t="str">
            <v>Salida de fuerza en piso para mueble en panel (solo canalización)</v>
          </cell>
          <cell r="F1578" t="str">
            <v>( pto )</v>
          </cell>
          <cell r="G1578">
            <v>12.24</v>
          </cell>
        </row>
        <row r="1579">
          <cell r="A1579" t="str">
            <v>6,01,18</v>
          </cell>
          <cell r="C1579" t="str">
            <v>und.</v>
          </cell>
          <cell r="D1579" t="str">
            <v>cuad.</v>
          </cell>
          <cell r="E1579" t="str">
            <v>cant.</v>
          </cell>
          <cell r="F1579" t="str">
            <v>prec. $</v>
          </cell>
          <cell r="G1579" t="str">
            <v>parcial $</v>
          </cell>
        </row>
        <row r="1580">
          <cell r="A1580" t="str">
            <v>6,01,18</v>
          </cell>
          <cell r="B1580" t="str">
            <v>Materiales</v>
          </cell>
          <cell r="G1580">
            <v>3.7700000000000005</v>
          </cell>
        </row>
        <row r="1581">
          <cell r="A1581" t="str">
            <v>6,01,18</v>
          </cell>
          <cell r="B1581" t="str">
            <v>Tubería PVC SAP de 20 mm</v>
          </cell>
          <cell r="C1581" t="str">
            <v>ml</v>
          </cell>
          <cell r="E1581">
            <v>2.9</v>
          </cell>
          <cell r="F1581">
            <v>0.41</v>
          </cell>
          <cell r="G1581">
            <v>1.19</v>
          </cell>
        </row>
        <row r="1582">
          <cell r="A1582" t="str">
            <v>6,01,18</v>
          </cell>
          <cell r="B1582" t="str">
            <v>Curva PVC SAP de 20 mm</v>
          </cell>
          <cell r="C1582" t="str">
            <v>und</v>
          </cell>
          <cell r="E1582">
            <v>1</v>
          </cell>
          <cell r="F1582">
            <v>0.59</v>
          </cell>
          <cell r="G1582">
            <v>0.59</v>
          </cell>
        </row>
        <row r="1583">
          <cell r="A1583" t="str">
            <v>6,01,18</v>
          </cell>
          <cell r="B1583" t="str">
            <v>Unión PVC SAP de 20 mm</v>
          </cell>
          <cell r="C1583" t="str">
            <v>und</v>
          </cell>
          <cell r="E1583">
            <v>2</v>
          </cell>
          <cell r="F1583">
            <v>0.25</v>
          </cell>
          <cell r="G1583">
            <v>0.5</v>
          </cell>
        </row>
        <row r="1584">
          <cell r="A1584" t="str">
            <v>6,01,18</v>
          </cell>
          <cell r="B1584" t="str">
            <v>Conexión PVC SAP de 20 mm</v>
          </cell>
          <cell r="C1584" t="str">
            <v>und</v>
          </cell>
          <cell r="E1584">
            <v>2</v>
          </cell>
          <cell r="F1584">
            <v>0.17399999999999999</v>
          </cell>
          <cell r="G1584">
            <v>0.35</v>
          </cell>
        </row>
        <row r="1585">
          <cell r="A1585" t="str">
            <v>6,01,18</v>
          </cell>
          <cell r="B1585" t="str">
            <v>Caja rectangular de 100x50 mm</v>
          </cell>
          <cell r="C1585" t="str">
            <v>und</v>
          </cell>
          <cell r="E1585">
            <v>1</v>
          </cell>
          <cell r="F1585">
            <v>0.78</v>
          </cell>
          <cell r="G1585">
            <v>0.78</v>
          </cell>
        </row>
        <row r="1586">
          <cell r="A1586" t="str">
            <v>6,01,18</v>
          </cell>
          <cell r="B1586" t="str">
            <v>Abrazadera de 20 mm</v>
          </cell>
          <cell r="C1586" t="str">
            <v>und</v>
          </cell>
          <cell r="E1586">
            <v>1</v>
          </cell>
          <cell r="F1586">
            <v>0.14000000000000001</v>
          </cell>
          <cell r="G1586">
            <v>0.14000000000000001</v>
          </cell>
        </row>
        <row r="1587">
          <cell r="A1587" t="str">
            <v>6,01,18</v>
          </cell>
          <cell r="B1587" t="str">
            <v>Tarugo plastico verde de 1/4</v>
          </cell>
          <cell r="C1587" t="str">
            <v>und</v>
          </cell>
          <cell r="E1587">
            <v>1</v>
          </cell>
          <cell r="F1587">
            <v>0.115</v>
          </cell>
          <cell r="G1587">
            <v>0.12</v>
          </cell>
        </row>
        <row r="1588">
          <cell r="A1588" t="str">
            <v>6,01,18</v>
          </cell>
          <cell r="B1588" t="str">
            <v>Tornillo autoroscante de 8x1"</v>
          </cell>
          <cell r="C1588" t="str">
            <v>und</v>
          </cell>
          <cell r="E1588">
            <v>1</v>
          </cell>
          <cell r="F1588">
            <v>4.2000000000000003E-2</v>
          </cell>
          <cell r="G1588">
            <v>0.04</v>
          </cell>
        </row>
        <row r="1589">
          <cell r="A1589" t="str">
            <v>6,01,18</v>
          </cell>
          <cell r="B1589" t="str">
            <v>Pegamento de 1/4 de galón</v>
          </cell>
          <cell r="C1589" t="str">
            <v>und</v>
          </cell>
          <cell r="E1589">
            <v>0.01</v>
          </cell>
          <cell r="F1589">
            <v>6.3959999999999999</v>
          </cell>
          <cell r="G1589">
            <v>0.06</v>
          </cell>
        </row>
        <row r="1590">
          <cell r="A1590" t="str">
            <v>6,01,18</v>
          </cell>
          <cell r="B1590" t="str">
            <v>Mano de obra</v>
          </cell>
          <cell r="G1590">
            <v>6.88</v>
          </cell>
        </row>
        <row r="1591">
          <cell r="A1591" t="str">
            <v>6,01,18</v>
          </cell>
          <cell r="B1591" t="str">
            <v>Operario</v>
          </cell>
          <cell r="C1591" t="str">
            <v>HH</v>
          </cell>
          <cell r="D1591">
            <v>1</v>
          </cell>
          <cell r="E1591">
            <v>1.3333333333333333</v>
          </cell>
          <cell r="F1591">
            <v>2.84</v>
          </cell>
          <cell r="G1591">
            <v>3.79</v>
          </cell>
          <cell r="H1591">
            <v>6</v>
          </cell>
        </row>
        <row r="1592">
          <cell r="A1592" t="str">
            <v>6,01,18</v>
          </cell>
          <cell r="B1592" t="str">
            <v>Peón</v>
          </cell>
          <cell r="C1592" t="str">
            <v>HH</v>
          </cell>
          <cell r="D1592">
            <v>1</v>
          </cell>
          <cell r="E1592">
            <v>1.3333333333333333</v>
          </cell>
          <cell r="F1592">
            <v>2.3199999999999998</v>
          </cell>
          <cell r="G1592">
            <v>3.09</v>
          </cell>
          <cell r="H1592">
            <v>6</v>
          </cell>
        </row>
        <row r="1593">
          <cell r="A1593" t="str">
            <v>6,01,18</v>
          </cell>
          <cell r="B1593" t="str">
            <v>Equipos</v>
          </cell>
          <cell r="G1593">
            <v>1.59</v>
          </cell>
        </row>
        <row r="1594">
          <cell r="A1594" t="str">
            <v>6,01,18</v>
          </cell>
          <cell r="B1594" t="str">
            <v>Escalera</v>
          </cell>
          <cell r="C1594" t="str">
            <v>DIA</v>
          </cell>
          <cell r="D1594">
            <v>1</v>
          </cell>
          <cell r="E1594">
            <v>0.16666666666666666</v>
          </cell>
          <cell r="F1594">
            <v>1</v>
          </cell>
          <cell r="G1594">
            <v>0.17</v>
          </cell>
        </row>
        <row r="1595">
          <cell r="A1595" t="str">
            <v>6,01,18</v>
          </cell>
          <cell r="B1595" t="str">
            <v>Taladro Hilti</v>
          </cell>
          <cell r="C1595" t="str">
            <v>DIA</v>
          </cell>
          <cell r="D1595">
            <v>1</v>
          </cell>
          <cell r="E1595">
            <v>0.16666666666666666</v>
          </cell>
          <cell r="F1595">
            <v>6.5</v>
          </cell>
          <cell r="G1595">
            <v>1.08</v>
          </cell>
        </row>
        <row r="1596">
          <cell r="A1596" t="str">
            <v>6,01,18</v>
          </cell>
          <cell r="B1596" t="str">
            <v>Desgaste de herramientas</v>
          </cell>
          <cell r="C1596" t="str">
            <v>%MO</v>
          </cell>
          <cell r="E1596">
            <v>0.05</v>
          </cell>
          <cell r="F1596">
            <v>6.88</v>
          </cell>
          <cell r="G1596">
            <v>0.34</v>
          </cell>
        </row>
        <row r="1597">
          <cell r="A1597" t="str">
            <v>6,01,19</v>
          </cell>
          <cell r="B1597" t="str">
            <v>Instalación de placas porta Jack categoria 6 en caja especial</v>
          </cell>
          <cell r="F1597" t="str">
            <v>( und )</v>
          </cell>
          <cell r="G1597">
            <v>37.03</v>
          </cell>
        </row>
        <row r="1598">
          <cell r="A1598" t="str">
            <v>6,01,19</v>
          </cell>
          <cell r="C1598" t="str">
            <v>und.</v>
          </cell>
          <cell r="D1598" t="str">
            <v>cuad.</v>
          </cell>
          <cell r="E1598" t="str">
            <v>cant.</v>
          </cell>
          <cell r="F1598" t="str">
            <v>prec. $</v>
          </cell>
          <cell r="G1598" t="str">
            <v>parcial $</v>
          </cell>
        </row>
        <row r="1599">
          <cell r="A1599" t="str">
            <v>6,01,19</v>
          </cell>
          <cell r="B1599" t="str">
            <v>Materiales</v>
          </cell>
          <cell r="G1599">
            <v>32.69</v>
          </cell>
        </row>
        <row r="1600">
          <cell r="A1600" t="str">
            <v>6,01,19</v>
          </cell>
          <cell r="B1600" t="str">
            <v>Placa de F°G°  especial para caja de piso</v>
          </cell>
          <cell r="C1600" t="str">
            <v>und</v>
          </cell>
          <cell r="E1600">
            <v>1</v>
          </cell>
          <cell r="F1600">
            <v>25</v>
          </cell>
          <cell r="G1600">
            <v>25</v>
          </cell>
        </row>
        <row r="1601">
          <cell r="A1601" t="str">
            <v>6,01,19</v>
          </cell>
          <cell r="B1601" t="str">
            <v>Placa porta Jack categoria 6 Panduit</v>
          </cell>
          <cell r="C1601" t="str">
            <v>und</v>
          </cell>
          <cell r="E1601">
            <v>1</v>
          </cell>
          <cell r="F1601">
            <v>7.6923076923076925</v>
          </cell>
          <cell r="G1601">
            <v>7.69</v>
          </cell>
        </row>
        <row r="1602">
          <cell r="A1602" t="str">
            <v>6,01,19</v>
          </cell>
          <cell r="B1602" t="str">
            <v>Mano de obra</v>
          </cell>
          <cell r="G1602">
            <v>4.13</v>
          </cell>
        </row>
        <row r="1603">
          <cell r="A1603" t="str">
            <v>6,01,19</v>
          </cell>
          <cell r="B1603" t="str">
            <v>Operario</v>
          </cell>
          <cell r="C1603" t="str">
            <v>HH</v>
          </cell>
          <cell r="D1603">
            <v>1</v>
          </cell>
          <cell r="E1603">
            <v>0.8</v>
          </cell>
          <cell r="F1603">
            <v>2.84</v>
          </cell>
          <cell r="G1603">
            <v>2.27</v>
          </cell>
          <cell r="H1603">
            <v>10</v>
          </cell>
        </row>
        <row r="1604">
          <cell r="A1604" t="str">
            <v>6,01,19</v>
          </cell>
          <cell r="B1604" t="str">
            <v>Peón</v>
          </cell>
          <cell r="C1604" t="str">
            <v>HH</v>
          </cell>
          <cell r="D1604">
            <v>1</v>
          </cell>
          <cell r="E1604">
            <v>0.8</v>
          </cell>
          <cell r="F1604">
            <v>2.3199999999999998</v>
          </cell>
          <cell r="G1604">
            <v>1.86</v>
          </cell>
          <cell r="H1604">
            <v>10</v>
          </cell>
        </row>
        <row r="1605">
          <cell r="A1605" t="str">
            <v>6,01,19</v>
          </cell>
          <cell r="B1605" t="str">
            <v>Equipos</v>
          </cell>
          <cell r="G1605">
            <v>0.21</v>
          </cell>
        </row>
        <row r="1606">
          <cell r="A1606" t="str">
            <v>6,01,19</v>
          </cell>
          <cell r="B1606" t="str">
            <v>Desgaste de herramientas</v>
          </cell>
          <cell r="C1606" t="str">
            <v>%MO</v>
          </cell>
          <cell r="E1606">
            <v>0.05</v>
          </cell>
          <cell r="F1606">
            <v>4.13</v>
          </cell>
          <cell r="G1606">
            <v>0.21</v>
          </cell>
        </row>
        <row r="1607">
          <cell r="A1607" t="str">
            <v>6,01,20</v>
          </cell>
          <cell r="B1607" t="str">
            <v>Salida de centro de luz en deposito</v>
          </cell>
          <cell r="F1607" t="str">
            <v>( pto )</v>
          </cell>
          <cell r="G1607">
            <v>40.42</v>
          </cell>
        </row>
        <row r="1608">
          <cell r="A1608" t="str">
            <v>6,01,20</v>
          </cell>
          <cell r="C1608" t="str">
            <v>und.</v>
          </cell>
          <cell r="D1608" t="str">
            <v>cuad.</v>
          </cell>
          <cell r="E1608" t="str">
            <v>cant.</v>
          </cell>
          <cell r="F1608" t="str">
            <v>prec. $</v>
          </cell>
          <cell r="G1608" t="str">
            <v>parcial $</v>
          </cell>
        </row>
        <row r="1609">
          <cell r="A1609" t="str">
            <v>6,01,20</v>
          </cell>
          <cell r="B1609" t="str">
            <v>Materiales</v>
          </cell>
          <cell r="G1609">
            <v>34.230000000000004</v>
          </cell>
        </row>
        <row r="1610">
          <cell r="A1610" t="str">
            <v>6,01,20</v>
          </cell>
          <cell r="B1610" t="str">
            <v>Tubería PVC SAP de 20 mm</v>
          </cell>
          <cell r="C1610" t="str">
            <v>ml</v>
          </cell>
          <cell r="E1610">
            <v>14.25</v>
          </cell>
          <cell r="F1610">
            <v>0.41</v>
          </cell>
          <cell r="G1610">
            <v>5.84</v>
          </cell>
        </row>
        <row r="1611">
          <cell r="A1611" t="str">
            <v>6,01,20</v>
          </cell>
          <cell r="B1611" t="str">
            <v>Curva PVC SAP de 20 mm</v>
          </cell>
          <cell r="C1611" t="str">
            <v>und</v>
          </cell>
          <cell r="E1611">
            <v>3</v>
          </cell>
          <cell r="F1611">
            <v>0.59</v>
          </cell>
          <cell r="G1611">
            <v>1.77</v>
          </cell>
        </row>
        <row r="1612">
          <cell r="A1612" t="str">
            <v>6,01,20</v>
          </cell>
          <cell r="B1612" t="str">
            <v>Unión PVC SAP de 20 mm</v>
          </cell>
          <cell r="C1612" t="str">
            <v>und</v>
          </cell>
          <cell r="E1612">
            <v>4</v>
          </cell>
          <cell r="F1612">
            <v>0.25</v>
          </cell>
          <cell r="G1612">
            <v>1</v>
          </cell>
        </row>
        <row r="1613">
          <cell r="A1613" t="str">
            <v>6,01,20</v>
          </cell>
          <cell r="B1613" t="str">
            <v>Conexión PVC SAP de 20 mm</v>
          </cell>
          <cell r="C1613" t="str">
            <v>und</v>
          </cell>
          <cell r="E1613">
            <v>4</v>
          </cell>
          <cell r="F1613">
            <v>0.17399999999999999</v>
          </cell>
          <cell r="G1613">
            <v>0.7</v>
          </cell>
        </row>
        <row r="1614">
          <cell r="A1614" t="str">
            <v>6,01,20</v>
          </cell>
          <cell r="B1614" t="str">
            <v>Caja octogonal de 100x50 mm</v>
          </cell>
          <cell r="C1614" t="str">
            <v>und</v>
          </cell>
          <cell r="E1614">
            <v>1</v>
          </cell>
          <cell r="F1614">
            <v>0.85</v>
          </cell>
          <cell r="G1614">
            <v>0.85</v>
          </cell>
        </row>
        <row r="1615">
          <cell r="A1615" t="str">
            <v>6,01,20</v>
          </cell>
          <cell r="B1615" t="str">
            <v>Caja rectangular de 100x50 mm</v>
          </cell>
          <cell r="C1615" t="str">
            <v>und</v>
          </cell>
          <cell r="E1615">
            <v>1</v>
          </cell>
          <cell r="F1615">
            <v>0.78</v>
          </cell>
          <cell r="G1615">
            <v>0.78</v>
          </cell>
        </row>
        <row r="1616">
          <cell r="A1616" t="str">
            <v>6,01,20</v>
          </cell>
          <cell r="B1616" t="str">
            <v>Cable de 4mm2 THW</v>
          </cell>
          <cell r="C1616" t="str">
            <v>ml</v>
          </cell>
          <cell r="E1616">
            <v>65</v>
          </cell>
          <cell r="F1616">
            <v>0.32</v>
          </cell>
          <cell r="G1616">
            <v>20.8</v>
          </cell>
        </row>
        <row r="1617">
          <cell r="A1617" t="str">
            <v>6,01,20</v>
          </cell>
          <cell r="B1617" t="str">
            <v>Cinta aislante de 3/4" x 20 m.</v>
          </cell>
          <cell r="C1617" t="str">
            <v>und</v>
          </cell>
          <cell r="E1617">
            <v>0.06</v>
          </cell>
          <cell r="F1617">
            <v>2.5</v>
          </cell>
          <cell r="G1617">
            <v>0.15</v>
          </cell>
        </row>
        <row r="1618">
          <cell r="A1618" t="str">
            <v>6,01,20</v>
          </cell>
          <cell r="B1618" t="str">
            <v>Cinta autovulcanizante de 3/4" x 20 m. 3M</v>
          </cell>
          <cell r="C1618" t="str">
            <v>und</v>
          </cell>
          <cell r="E1618">
            <v>0.04</v>
          </cell>
          <cell r="F1618">
            <v>6.27</v>
          </cell>
          <cell r="G1618">
            <v>0.25</v>
          </cell>
        </row>
        <row r="1619">
          <cell r="A1619" t="str">
            <v>6,01,20</v>
          </cell>
          <cell r="B1619" t="str">
            <v>Abrazadera de F°G° 20 mm</v>
          </cell>
          <cell r="C1619" t="str">
            <v>und</v>
          </cell>
          <cell r="E1619">
            <v>7</v>
          </cell>
          <cell r="F1619">
            <v>0.13300000000000001</v>
          </cell>
          <cell r="G1619">
            <v>0.93</v>
          </cell>
        </row>
        <row r="1620">
          <cell r="A1620" t="str">
            <v>6,01,20</v>
          </cell>
          <cell r="B1620" t="str">
            <v>Tarugo plastico verde de 1/4</v>
          </cell>
          <cell r="C1620" t="str">
            <v>und</v>
          </cell>
          <cell r="E1620">
            <v>7</v>
          </cell>
          <cell r="F1620">
            <v>0.115</v>
          </cell>
          <cell r="G1620">
            <v>0.81</v>
          </cell>
        </row>
        <row r="1621">
          <cell r="A1621" t="str">
            <v>6,01,20</v>
          </cell>
          <cell r="B1621" t="str">
            <v>Tornillo autoroscante de 8x1"</v>
          </cell>
          <cell r="C1621" t="str">
            <v>und</v>
          </cell>
          <cell r="E1621">
            <v>7</v>
          </cell>
          <cell r="F1621">
            <v>4.2000000000000003E-2</v>
          </cell>
          <cell r="G1621">
            <v>0.28999999999999998</v>
          </cell>
        </row>
        <row r="1622">
          <cell r="A1622" t="str">
            <v>6,01,20</v>
          </cell>
          <cell r="B1622" t="str">
            <v>Pegamento de 1/4 de galón</v>
          </cell>
          <cell r="C1622" t="str">
            <v>und</v>
          </cell>
          <cell r="E1622">
            <v>0.01</v>
          </cell>
          <cell r="F1622">
            <v>6.3959999999999999</v>
          </cell>
          <cell r="G1622">
            <v>0.06</v>
          </cell>
        </row>
        <row r="1623">
          <cell r="A1623" t="str">
            <v>6,01,20</v>
          </cell>
          <cell r="B1623" t="str">
            <v>Mano de obra</v>
          </cell>
          <cell r="G1623">
            <v>5.16</v>
          </cell>
        </row>
        <row r="1624">
          <cell r="A1624" t="str">
            <v>6,01,20</v>
          </cell>
          <cell r="B1624" t="str">
            <v>Operario</v>
          </cell>
          <cell r="C1624" t="str">
            <v>HH</v>
          </cell>
          <cell r="D1624">
            <v>1</v>
          </cell>
          <cell r="E1624">
            <v>1</v>
          </cell>
          <cell r="F1624">
            <v>2.84</v>
          </cell>
          <cell r="G1624">
            <v>2.84</v>
          </cell>
          <cell r="H1624">
            <v>8</v>
          </cell>
        </row>
        <row r="1625">
          <cell r="A1625" t="str">
            <v>6,01,20</v>
          </cell>
          <cell r="B1625" t="str">
            <v>Peón</v>
          </cell>
          <cell r="C1625" t="str">
            <v>HH</v>
          </cell>
          <cell r="D1625">
            <v>1</v>
          </cell>
          <cell r="E1625">
            <v>1</v>
          </cell>
          <cell r="F1625">
            <v>2.3199999999999998</v>
          </cell>
          <cell r="G1625">
            <v>2.3199999999999998</v>
          </cell>
          <cell r="H1625">
            <v>8</v>
          </cell>
        </row>
        <row r="1626">
          <cell r="A1626" t="str">
            <v>6,01,20</v>
          </cell>
          <cell r="B1626" t="str">
            <v>Equipos y/o herramientas</v>
          </cell>
          <cell r="G1626">
            <v>1.03</v>
          </cell>
        </row>
        <row r="1627">
          <cell r="A1627" t="str">
            <v>6,01,20</v>
          </cell>
          <cell r="B1627" t="str">
            <v>Cuerpo de andamio de 2 m</v>
          </cell>
          <cell r="C1627" t="str">
            <v>DIA</v>
          </cell>
          <cell r="D1627">
            <v>1</v>
          </cell>
          <cell r="E1627">
            <v>0.125</v>
          </cell>
          <cell r="F1627">
            <v>0.65</v>
          </cell>
          <cell r="G1627">
            <v>0.08</v>
          </cell>
        </row>
        <row r="1628">
          <cell r="A1628" t="str">
            <v>6,01,20</v>
          </cell>
          <cell r="B1628" t="str">
            <v>Taladro Hilti</v>
          </cell>
          <cell r="C1628" t="str">
            <v>DIA</v>
          </cell>
          <cell r="D1628">
            <v>1</v>
          </cell>
          <cell r="E1628">
            <v>0.125</v>
          </cell>
          <cell r="F1628">
            <v>6.5</v>
          </cell>
          <cell r="G1628">
            <v>0.81</v>
          </cell>
        </row>
        <row r="1629">
          <cell r="A1629" t="str">
            <v>6,01,20</v>
          </cell>
          <cell r="B1629" t="str">
            <v>Desgaste de herramientas</v>
          </cell>
          <cell r="C1629" t="str">
            <v>%MO</v>
          </cell>
          <cell r="E1629">
            <v>0.05</v>
          </cell>
          <cell r="F1629">
            <v>2.84</v>
          </cell>
          <cell r="G1629">
            <v>0.14000000000000001</v>
          </cell>
        </row>
        <row r="1630">
          <cell r="A1630" t="str">
            <v>6,01,21</v>
          </cell>
          <cell r="B1630" t="str">
            <v>Salida de data en techo</v>
          </cell>
          <cell r="F1630" t="str">
            <v>( pto )</v>
          </cell>
          <cell r="G1630">
            <v>19.36</v>
          </cell>
        </row>
        <row r="1631">
          <cell r="A1631" t="str">
            <v>6,01,21</v>
          </cell>
          <cell r="C1631" t="str">
            <v>und.</v>
          </cell>
          <cell r="D1631" t="str">
            <v>cuad.</v>
          </cell>
          <cell r="E1631" t="str">
            <v>cant.</v>
          </cell>
          <cell r="F1631" t="str">
            <v>prec. $</v>
          </cell>
          <cell r="G1631" t="str">
            <v>parcial $</v>
          </cell>
        </row>
        <row r="1632">
          <cell r="A1632" t="str">
            <v>6,01,21</v>
          </cell>
          <cell r="B1632" t="str">
            <v>Materiales</v>
          </cell>
          <cell r="G1632">
            <v>11.1</v>
          </cell>
        </row>
        <row r="1633">
          <cell r="A1633" t="str">
            <v>6,01,21</v>
          </cell>
          <cell r="B1633" t="str">
            <v>Tubería PVC SAP de 20 mm</v>
          </cell>
          <cell r="C1633" t="str">
            <v>ml</v>
          </cell>
          <cell r="E1633">
            <v>10</v>
          </cell>
          <cell r="F1633">
            <v>0.41</v>
          </cell>
          <cell r="G1633">
            <v>4.0999999999999996</v>
          </cell>
        </row>
        <row r="1634">
          <cell r="A1634" t="str">
            <v>6,01,21</v>
          </cell>
          <cell r="B1634" t="str">
            <v>Curva PVC SAP de 20 mm</v>
          </cell>
          <cell r="C1634" t="str">
            <v>und</v>
          </cell>
          <cell r="E1634">
            <v>1</v>
          </cell>
          <cell r="F1634">
            <v>0.59</v>
          </cell>
          <cell r="G1634">
            <v>0.59</v>
          </cell>
        </row>
        <row r="1635">
          <cell r="A1635" t="str">
            <v>6,01,21</v>
          </cell>
          <cell r="B1635" t="str">
            <v>Unión PVC SAP de 20 mm</v>
          </cell>
          <cell r="C1635" t="str">
            <v>und</v>
          </cell>
          <cell r="E1635">
            <v>2</v>
          </cell>
          <cell r="F1635">
            <v>0.25</v>
          </cell>
          <cell r="G1635">
            <v>0.5</v>
          </cell>
        </row>
        <row r="1636">
          <cell r="A1636" t="str">
            <v>6,01,21</v>
          </cell>
          <cell r="B1636" t="str">
            <v>Conexión PVC SAP de 20 mm</v>
          </cell>
          <cell r="C1636" t="str">
            <v>und</v>
          </cell>
          <cell r="E1636">
            <v>2</v>
          </cell>
          <cell r="F1636">
            <v>0.17399999999999999</v>
          </cell>
          <cell r="G1636">
            <v>0.35</v>
          </cell>
        </row>
        <row r="1637">
          <cell r="A1637" t="str">
            <v>6,01,21</v>
          </cell>
          <cell r="B1637" t="str">
            <v xml:space="preserve">Caja F°G° 100x100x50mm </v>
          </cell>
          <cell r="C1637" t="str">
            <v>und</v>
          </cell>
          <cell r="E1637">
            <v>2</v>
          </cell>
          <cell r="F1637">
            <v>1.72</v>
          </cell>
          <cell r="G1637">
            <v>3.44</v>
          </cell>
        </row>
        <row r="1638">
          <cell r="A1638" t="str">
            <v>6,01,21</v>
          </cell>
          <cell r="B1638" t="str">
            <v>Abrazadera de F°G° 20 mm</v>
          </cell>
          <cell r="C1638" t="str">
            <v>und</v>
          </cell>
          <cell r="E1638">
            <v>8</v>
          </cell>
          <cell r="F1638">
            <v>0.13300000000000001</v>
          </cell>
          <cell r="G1638">
            <v>1.06</v>
          </cell>
        </row>
        <row r="1639">
          <cell r="A1639" t="str">
            <v>6,01,21</v>
          </cell>
          <cell r="B1639" t="str">
            <v>Tarugo plastico verde de 1/4</v>
          </cell>
          <cell r="C1639" t="str">
            <v>und</v>
          </cell>
          <cell r="E1639">
            <v>5</v>
          </cell>
          <cell r="F1639">
            <v>0.115</v>
          </cell>
          <cell r="G1639">
            <v>0.57999999999999996</v>
          </cell>
        </row>
        <row r="1640">
          <cell r="A1640" t="str">
            <v>6,01,21</v>
          </cell>
          <cell r="B1640" t="str">
            <v>Tornillo autoroscante de 8x1"</v>
          </cell>
          <cell r="C1640" t="str">
            <v>und</v>
          </cell>
          <cell r="E1640">
            <v>10</v>
          </cell>
          <cell r="F1640">
            <v>4.2000000000000003E-2</v>
          </cell>
          <cell r="G1640">
            <v>0.42</v>
          </cell>
        </row>
        <row r="1641">
          <cell r="A1641" t="str">
            <v>6,01,21</v>
          </cell>
          <cell r="B1641" t="str">
            <v>Pegamento de 1/4 de galón</v>
          </cell>
          <cell r="C1641" t="str">
            <v>und</v>
          </cell>
          <cell r="E1641">
            <v>0.01</v>
          </cell>
          <cell r="F1641">
            <v>6.3959999999999999</v>
          </cell>
          <cell r="G1641">
            <v>0.06</v>
          </cell>
        </row>
        <row r="1642">
          <cell r="A1642" t="str">
            <v>6,01,21</v>
          </cell>
          <cell r="B1642" t="str">
            <v>Mano de obra</v>
          </cell>
          <cell r="G1642">
            <v>6.88</v>
          </cell>
        </row>
        <row r="1643">
          <cell r="A1643" t="str">
            <v>6,01,21</v>
          </cell>
          <cell r="B1643" t="str">
            <v>Operario</v>
          </cell>
          <cell r="C1643" t="str">
            <v>HH</v>
          </cell>
          <cell r="D1643">
            <v>1</v>
          </cell>
          <cell r="E1643">
            <v>1.3333333333333333</v>
          </cell>
          <cell r="F1643">
            <v>2.84</v>
          </cell>
          <cell r="G1643">
            <v>3.79</v>
          </cell>
          <cell r="H1643">
            <v>6</v>
          </cell>
        </row>
        <row r="1644">
          <cell r="A1644" t="str">
            <v>6,01,21</v>
          </cell>
          <cell r="B1644" t="str">
            <v>Peón</v>
          </cell>
          <cell r="C1644" t="str">
            <v>HH</v>
          </cell>
          <cell r="D1644">
            <v>1</v>
          </cell>
          <cell r="E1644">
            <v>1.3333333333333333</v>
          </cell>
          <cell r="F1644">
            <v>2.3199999999999998</v>
          </cell>
          <cell r="G1644">
            <v>3.09</v>
          </cell>
          <cell r="H1644">
            <v>6</v>
          </cell>
        </row>
        <row r="1645">
          <cell r="A1645" t="str">
            <v>6,01,21</v>
          </cell>
          <cell r="B1645" t="str">
            <v>Equipos y/o herramientas</v>
          </cell>
          <cell r="G1645">
            <v>1.3800000000000001</v>
          </cell>
        </row>
        <row r="1646">
          <cell r="A1646" t="str">
            <v>6,01,21</v>
          </cell>
          <cell r="B1646" t="str">
            <v>Cuerpo de andamio de 2 m</v>
          </cell>
          <cell r="C1646" t="str">
            <v>DIA</v>
          </cell>
          <cell r="D1646">
            <v>1</v>
          </cell>
          <cell r="E1646">
            <v>0.16666666666666666</v>
          </cell>
          <cell r="F1646">
            <v>0.65</v>
          </cell>
          <cell r="G1646">
            <v>0.11</v>
          </cell>
        </row>
        <row r="1647">
          <cell r="A1647" t="str">
            <v>6,01,21</v>
          </cell>
          <cell r="B1647" t="str">
            <v>Taladro Hilti</v>
          </cell>
          <cell r="C1647" t="str">
            <v>DIA</v>
          </cell>
          <cell r="D1647">
            <v>1</v>
          </cell>
          <cell r="E1647">
            <v>0.16666666666666666</v>
          </cell>
          <cell r="F1647">
            <v>6.5</v>
          </cell>
          <cell r="G1647">
            <v>1.08</v>
          </cell>
        </row>
        <row r="1648">
          <cell r="A1648" t="str">
            <v>6,01,21</v>
          </cell>
          <cell r="B1648" t="str">
            <v>Desgaste de herramientas</v>
          </cell>
          <cell r="C1648" t="str">
            <v>%MO</v>
          </cell>
          <cell r="E1648">
            <v>0.05</v>
          </cell>
          <cell r="F1648">
            <v>3.79</v>
          </cell>
          <cell r="G1648">
            <v>0.19</v>
          </cell>
        </row>
        <row r="1649">
          <cell r="A1649" t="str">
            <v>6,01,22</v>
          </cell>
          <cell r="B1649" t="str">
            <v xml:space="preserve">Desmontaje de cable existente de energia en las bandejas pota cables </v>
          </cell>
          <cell r="F1649" t="str">
            <v>( glb )</v>
          </cell>
          <cell r="G1649">
            <v>173.38</v>
          </cell>
        </row>
        <row r="1650">
          <cell r="A1650" t="str">
            <v>6,01,22</v>
          </cell>
          <cell r="C1650" t="str">
            <v>und.</v>
          </cell>
          <cell r="D1650" t="str">
            <v>cuad.</v>
          </cell>
          <cell r="E1650" t="str">
            <v>cant.</v>
          </cell>
          <cell r="F1650" t="str">
            <v>prec. $</v>
          </cell>
          <cell r="G1650" t="str">
            <v>parcial $</v>
          </cell>
        </row>
        <row r="1651">
          <cell r="A1651" t="str">
            <v>6,01,22</v>
          </cell>
          <cell r="B1651" t="str">
            <v>Materiales</v>
          </cell>
          <cell r="G1651">
            <v>0</v>
          </cell>
        </row>
        <row r="1652">
          <cell r="A1652" t="str">
            <v>6,01,22</v>
          </cell>
        </row>
        <row r="1653">
          <cell r="A1653" t="str">
            <v>6,01,22</v>
          </cell>
          <cell r="B1653" t="str">
            <v>Mano de obra</v>
          </cell>
          <cell r="G1653">
            <v>165.12</v>
          </cell>
        </row>
        <row r="1654">
          <cell r="A1654" t="str">
            <v>6,01,22</v>
          </cell>
          <cell r="B1654" t="str">
            <v>Operario</v>
          </cell>
          <cell r="C1654" t="str">
            <v>HH</v>
          </cell>
          <cell r="D1654">
            <v>4</v>
          </cell>
          <cell r="E1654">
            <v>8</v>
          </cell>
          <cell r="F1654">
            <v>2.84</v>
          </cell>
          <cell r="G1654">
            <v>90.88</v>
          </cell>
          <cell r="H1654">
            <v>1</v>
          </cell>
        </row>
        <row r="1655">
          <cell r="A1655" t="str">
            <v>6,01,22</v>
          </cell>
          <cell r="B1655" t="str">
            <v>Peón</v>
          </cell>
          <cell r="C1655" t="str">
            <v>HH</v>
          </cell>
          <cell r="D1655">
            <v>4</v>
          </cell>
          <cell r="E1655">
            <v>8</v>
          </cell>
          <cell r="F1655">
            <v>2.3199999999999998</v>
          </cell>
          <cell r="G1655">
            <v>74.239999999999995</v>
          </cell>
          <cell r="H1655">
            <v>1</v>
          </cell>
        </row>
        <row r="1656">
          <cell r="A1656" t="str">
            <v>6,01,22</v>
          </cell>
          <cell r="B1656" t="str">
            <v>Equipos y/o herramientas</v>
          </cell>
          <cell r="G1656">
            <v>8.26</v>
          </cell>
        </row>
        <row r="1657">
          <cell r="A1657" t="str">
            <v>6,01,22</v>
          </cell>
          <cell r="B1657" t="str">
            <v>Desgaste de herramientas</v>
          </cell>
          <cell r="C1657" t="str">
            <v>%MO</v>
          </cell>
          <cell r="E1657">
            <v>0.05</v>
          </cell>
          <cell r="F1657">
            <v>165.12</v>
          </cell>
          <cell r="G1657">
            <v>8.26</v>
          </cell>
        </row>
        <row r="1658">
          <cell r="A1658" t="str">
            <v>6,01,23</v>
          </cell>
          <cell r="B1658" t="str">
            <v>Trazo y replanteo de Instalaciones eléctricas</v>
          </cell>
          <cell r="F1658" t="str">
            <v>( glb )</v>
          </cell>
          <cell r="G1658">
            <v>43.34</v>
          </cell>
        </row>
        <row r="1659">
          <cell r="A1659" t="str">
            <v>6,01,23</v>
          </cell>
          <cell r="C1659" t="str">
            <v>und.</v>
          </cell>
          <cell r="D1659" t="str">
            <v>cuad.</v>
          </cell>
          <cell r="E1659" t="str">
            <v>cant.</v>
          </cell>
          <cell r="F1659" t="str">
            <v>prec. $</v>
          </cell>
          <cell r="G1659" t="str">
            <v>parcial $</v>
          </cell>
        </row>
        <row r="1660">
          <cell r="A1660" t="str">
            <v>6,01,23</v>
          </cell>
          <cell r="B1660" t="str">
            <v>Materiales</v>
          </cell>
          <cell r="G1660">
            <v>0</v>
          </cell>
        </row>
        <row r="1661">
          <cell r="A1661" t="str">
            <v>6,01,23</v>
          </cell>
        </row>
        <row r="1662">
          <cell r="A1662" t="str">
            <v>6,01,23</v>
          </cell>
          <cell r="B1662" t="str">
            <v>Mano de obra</v>
          </cell>
          <cell r="G1662">
            <v>41.28</v>
          </cell>
        </row>
        <row r="1663">
          <cell r="A1663" t="str">
            <v>6,01,23</v>
          </cell>
          <cell r="B1663" t="str">
            <v>Operario</v>
          </cell>
          <cell r="C1663" t="str">
            <v>HH</v>
          </cell>
          <cell r="D1663">
            <v>1</v>
          </cell>
          <cell r="E1663">
            <v>8</v>
          </cell>
          <cell r="F1663">
            <v>2.84</v>
          </cell>
          <cell r="G1663">
            <v>22.72</v>
          </cell>
          <cell r="H1663">
            <v>1</v>
          </cell>
        </row>
        <row r="1664">
          <cell r="A1664" t="str">
            <v>6,01,23</v>
          </cell>
          <cell r="B1664" t="str">
            <v>Peón</v>
          </cell>
          <cell r="C1664" t="str">
            <v>HH</v>
          </cell>
          <cell r="D1664">
            <v>1</v>
          </cell>
          <cell r="E1664">
            <v>8</v>
          </cell>
          <cell r="F1664">
            <v>2.3199999999999998</v>
          </cell>
          <cell r="G1664">
            <v>18.559999999999999</v>
          </cell>
          <cell r="H1664">
            <v>1</v>
          </cell>
        </row>
        <row r="1665">
          <cell r="A1665" t="str">
            <v>6,01,23</v>
          </cell>
          <cell r="B1665" t="str">
            <v>Equipos y/o herramientas</v>
          </cell>
          <cell r="G1665">
            <v>2.06</v>
          </cell>
        </row>
        <row r="1666">
          <cell r="A1666" t="str">
            <v>6,01,23</v>
          </cell>
          <cell r="B1666" t="str">
            <v>Desgaste de herramientas</v>
          </cell>
          <cell r="C1666" t="str">
            <v>%MO</v>
          </cell>
          <cell r="E1666">
            <v>0.05</v>
          </cell>
          <cell r="F1666">
            <v>41.28</v>
          </cell>
          <cell r="G1666">
            <v>2.06</v>
          </cell>
        </row>
        <row r="1667">
          <cell r="A1667" t="str">
            <v>6,01,24</v>
          </cell>
          <cell r="B1667" t="str">
            <v xml:space="preserve">Pruebas eléctricas </v>
          </cell>
          <cell r="F1667" t="str">
            <v>( glb )</v>
          </cell>
          <cell r="G1667">
            <v>260.06</v>
          </cell>
        </row>
        <row r="1668">
          <cell r="A1668" t="str">
            <v>6,01,24</v>
          </cell>
          <cell r="C1668" t="str">
            <v>und.</v>
          </cell>
          <cell r="D1668" t="str">
            <v>cuad.</v>
          </cell>
          <cell r="E1668" t="str">
            <v>cant.</v>
          </cell>
          <cell r="F1668" t="str">
            <v>prec. $</v>
          </cell>
          <cell r="G1668" t="str">
            <v>parcial $</v>
          </cell>
        </row>
        <row r="1669">
          <cell r="A1669" t="str">
            <v>6,01,24</v>
          </cell>
          <cell r="B1669" t="str">
            <v>Materiales</v>
          </cell>
          <cell r="G1669">
            <v>0</v>
          </cell>
        </row>
        <row r="1670">
          <cell r="A1670" t="str">
            <v>6,01,24</v>
          </cell>
        </row>
        <row r="1671">
          <cell r="A1671" t="str">
            <v>6,01,24</v>
          </cell>
          <cell r="B1671" t="str">
            <v>Mano de obra</v>
          </cell>
          <cell r="G1671">
            <v>247.68</v>
          </cell>
        </row>
        <row r="1672">
          <cell r="A1672" t="str">
            <v>6,01,24</v>
          </cell>
          <cell r="B1672" t="str">
            <v>Operario</v>
          </cell>
          <cell r="C1672" t="str">
            <v>HH</v>
          </cell>
          <cell r="D1672">
            <v>2</v>
          </cell>
          <cell r="E1672">
            <v>24</v>
          </cell>
          <cell r="F1672">
            <v>2.84</v>
          </cell>
          <cell r="G1672">
            <v>136.32</v>
          </cell>
          <cell r="H1672">
            <v>0.33333333333333331</v>
          </cell>
        </row>
        <row r="1673">
          <cell r="A1673" t="str">
            <v>6,01,24</v>
          </cell>
          <cell r="B1673" t="str">
            <v>Peón</v>
          </cell>
          <cell r="C1673" t="str">
            <v>HH</v>
          </cell>
          <cell r="D1673">
            <v>2</v>
          </cell>
          <cell r="E1673">
            <v>24</v>
          </cell>
          <cell r="F1673">
            <v>2.3199999999999998</v>
          </cell>
          <cell r="G1673">
            <v>111.36</v>
          </cell>
          <cell r="H1673">
            <v>0.33333333333333331</v>
          </cell>
        </row>
        <row r="1674">
          <cell r="A1674" t="str">
            <v>6,01,24</v>
          </cell>
          <cell r="B1674" t="str">
            <v>Equipos y/o herramientas</v>
          </cell>
          <cell r="G1674">
            <v>12.38</v>
          </cell>
        </row>
        <row r="1675">
          <cell r="A1675" t="str">
            <v>6,01,24</v>
          </cell>
          <cell r="B1675" t="str">
            <v>Desgaste de herramientas</v>
          </cell>
          <cell r="C1675" t="str">
            <v>%MO</v>
          </cell>
          <cell r="E1675">
            <v>0.05</v>
          </cell>
          <cell r="F1675">
            <v>247.68</v>
          </cell>
          <cell r="G1675">
            <v>12.38</v>
          </cell>
        </row>
        <row r="1676">
          <cell r="A1676" t="str">
            <v>6,01,25</v>
          </cell>
          <cell r="B1676" t="str">
            <v>Desmontaje de tableros existentes</v>
          </cell>
          <cell r="F1676" t="str">
            <v>( glb )</v>
          </cell>
          <cell r="G1676">
            <v>43.34</v>
          </cell>
        </row>
        <row r="1677">
          <cell r="A1677" t="str">
            <v>6,01,25</v>
          </cell>
          <cell r="C1677" t="str">
            <v>und.</v>
          </cell>
          <cell r="D1677" t="str">
            <v>cuad.</v>
          </cell>
          <cell r="E1677" t="str">
            <v>cant.</v>
          </cell>
          <cell r="F1677" t="str">
            <v>prec. $</v>
          </cell>
          <cell r="G1677" t="str">
            <v>parcial $</v>
          </cell>
        </row>
        <row r="1678">
          <cell r="A1678" t="str">
            <v>6,01,25</v>
          </cell>
          <cell r="B1678" t="str">
            <v>Materiales</v>
          </cell>
          <cell r="G1678">
            <v>0</v>
          </cell>
        </row>
        <row r="1679">
          <cell r="A1679" t="str">
            <v>6,01,25</v>
          </cell>
          <cell r="G1679">
            <v>0</v>
          </cell>
        </row>
        <row r="1680">
          <cell r="A1680" t="str">
            <v>6,01,25</v>
          </cell>
          <cell r="B1680" t="str">
            <v>Mano de obra</v>
          </cell>
          <cell r="G1680">
            <v>41.28</v>
          </cell>
        </row>
        <row r="1681">
          <cell r="A1681" t="str">
            <v>6,01,25</v>
          </cell>
          <cell r="B1681" t="str">
            <v>Operario</v>
          </cell>
          <cell r="C1681" t="str">
            <v>HH</v>
          </cell>
          <cell r="D1681">
            <v>1</v>
          </cell>
          <cell r="E1681">
            <v>8</v>
          </cell>
          <cell r="F1681">
            <v>2.84</v>
          </cell>
          <cell r="G1681">
            <v>22.72</v>
          </cell>
          <cell r="H1681">
            <v>1</v>
          </cell>
        </row>
        <row r="1682">
          <cell r="A1682" t="str">
            <v>6,01,25</v>
          </cell>
          <cell r="B1682" t="str">
            <v>Peón</v>
          </cell>
          <cell r="C1682" t="str">
            <v>HH</v>
          </cell>
          <cell r="D1682">
            <v>1</v>
          </cell>
          <cell r="E1682">
            <v>8</v>
          </cell>
          <cell r="F1682">
            <v>2.3199999999999998</v>
          </cell>
          <cell r="G1682">
            <v>18.559999999999999</v>
          </cell>
          <cell r="H1682">
            <v>1</v>
          </cell>
        </row>
        <row r="1683">
          <cell r="A1683" t="str">
            <v>6,01,25</v>
          </cell>
          <cell r="B1683" t="str">
            <v>Equipos y/o herramientas</v>
          </cell>
          <cell r="G1683">
            <v>2.06</v>
          </cell>
        </row>
        <row r="1684">
          <cell r="A1684" t="str">
            <v>6,01,25</v>
          </cell>
          <cell r="B1684" t="str">
            <v>Desgaste de herramientas</v>
          </cell>
          <cell r="C1684" t="str">
            <v>%MO</v>
          </cell>
          <cell r="E1684">
            <v>0.05</v>
          </cell>
          <cell r="F1684">
            <v>41.28</v>
          </cell>
          <cell r="G1684">
            <v>2.06</v>
          </cell>
        </row>
        <row r="1685">
          <cell r="A1685" t="str">
            <v>6,01,25</v>
          </cell>
        </row>
        <row r="1686">
          <cell r="A1686" t="str">
            <v>6,01,25</v>
          </cell>
        </row>
        <row r="1687">
          <cell r="A1687" t="str">
            <v>6,01,26</v>
          </cell>
          <cell r="B1687" t="str">
            <v>Troquelado de tapas ciegas</v>
          </cell>
          <cell r="F1687" t="str">
            <v>( pto )</v>
          </cell>
          <cell r="G1687">
            <v>13.57</v>
          </cell>
        </row>
        <row r="1688">
          <cell r="A1688" t="str">
            <v>6,01,26</v>
          </cell>
          <cell r="C1688" t="str">
            <v>und.</v>
          </cell>
          <cell r="D1688" t="str">
            <v>cuad.</v>
          </cell>
          <cell r="E1688" t="str">
            <v>cant.</v>
          </cell>
          <cell r="F1688" t="str">
            <v>prec. $</v>
          </cell>
          <cell r="G1688" t="str">
            <v>parcial $</v>
          </cell>
        </row>
        <row r="1689">
          <cell r="A1689" t="str">
            <v>6,01,26</v>
          </cell>
          <cell r="B1689" t="str">
            <v>Materiales</v>
          </cell>
          <cell r="G1689">
            <v>10.25</v>
          </cell>
        </row>
        <row r="1690">
          <cell r="A1690" t="str">
            <v>6,01,26</v>
          </cell>
          <cell r="B1690" t="str">
            <v>Saca No KO tipo copa de 25mm</v>
          </cell>
          <cell r="C1690" t="str">
            <v>und</v>
          </cell>
          <cell r="E1690">
            <v>1</v>
          </cell>
          <cell r="F1690">
            <v>10.25</v>
          </cell>
          <cell r="G1690">
            <v>10.25</v>
          </cell>
        </row>
        <row r="1691">
          <cell r="A1691" t="str">
            <v>6,01,26</v>
          </cell>
          <cell r="B1691" t="str">
            <v>Mano de obra</v>
          </cell>
          <cell r="G1691">
            <v>2.75</v>
          </cell>
        </row>
        <row r="1692">
          <cell r="A1692" t="str">
            <v>6,01,26</v>
          </cell>
          <cell r="B1692" t="str">
            <v>Operario</v>
          </cell>
          <cell r="C1692" t="str">
            <v>HH</v>
          </cell>
          <cell r="D1692">
            <v>1</v>
          </cell>
          <cell r="E1692">
            <v>0.53333333333333333</v>
          </cell>
          <cell r="F1692">
            <v>2.84</v>
          </cell>
          <cell r="G1692">
            <v>1.51</v>
          </cell>
          <cell r="H1692">
            <v>15</v>
          </cell>
        </row>
        <row r="1693">
          <cell r="A1693" t="str">
            <v>6,01,26</v>
          </cell>
          <cell r="B1693" t="str">
            <v>Peón</v>
          </cell>
          <cell r="C1693" t="str">
            <v>HH</v>
          </cell>
          <cell r="D1693">
            <v>1</v>
          </cell>
          <cell r="E1693">
            <v>0.53333333333333333</v>
          </cell>
          <cell r="F1693">
            <v>2.3199999999999998</v>
          </cell>
          <cell r="G1693">
            <v>1.24</v>
          </cell>
          <cell r="H1693">
            <v>15</v>
          </cell>
        </row>
        <row r="1694">
          <cell r="A1694" t="str">
            <v>6,01,26</v>
          </cell>
          <cell r="B1694" t="str">
            <v>Equipos</v>
          </cell>
          <cell r="G1694">
            <v>0.57000000000000006</v>
          </cell>
        </row>
        <row r="1695">
          <cell r="A1695" t="str">
            <v>6,01,26</v>
          </cell>
          <cell r="B1695" t="str">
            <v>Taladro Hilti</v>
          </cell>
          <cell r="C1695" t="str">
            <v>DIA</v>
          </cell>
          <cell r="D1695">
            <v>1</v>
          </cell>
          <cell r="E1695">
            <v>6.6666666666666666E-2</v>
          </cell>
          <cell r="F1695">
            <v>6.5</v>
          </cell>
          <cell r="G1695">
            <v>0.43</v>
          </cell>
        </row>
        <row r="1696">
          <cell r="A1696" t="str">
            <v>6,01,26</v>
          </cell>
          <cell r="B1696" t="str">
            <v>Desgaste de herramientas</v>
          </cell>
          <cell r="C1696" t="str">
            <v>%MO</v>
          </cell>
          <cell r="E1696">
            <v>0.05</v>
          </cell>
          <cell r="F1696">
            <v>2.75</v>
          </cell>
          <cell r="G1696">
            <v>0.14000000000000001</v>
          </cell>
        </row>
        <row r="1697">
          <cell r="A1697" t="str">
            <v>6,01,27</v>
          </cell>
          <cell r="B1697" t="str">
            <v>Montaje y desmontaje de fluorescentes en la cupula de ingreso para mostreo</v>
          </cell>
          <cell r="F1697" t="str">
            <v>ML</v>
          </cell>
          <cell r="G1697">
            <v>11.99</v>
          </cell>
        </row>
        <row r="1698">
          <cell r="A1698" t="str">
            <v>6,01,27</v>
          </cell>
          <cell r="C1698" t="str">
            <v>und.</v>
          </cell>
          <cell r="D1698" t="str">
            <v>cuad.</v>
          </cell>
          <cell r="E1698" t="str">
            <v>cant.</v>
          </cell>
          <cell r="F1698" t="str">
            <v>prec. $</v>
          </cell>
          <cell r="G1698" t="str">
            <v>parcial $</v>
          </cell>
        </row>
        <row r="1699">
          <cell r="A1699" t="str">
            <v>6,01,27</v>
          </cell>
          <cell r="B1699" t="str">
            <v>Materiales</v>
          </cell>
          <cell r="G1699">
            <v>0.23</v>
          </cell>
        </row>
        <row r="1700">
          <cell r="A1700" t="str">
            <v>6,01,27</v>
          </cell>
          <cell r="B1700" t="str">
            <v>Cinta aislante de 3/4" x 20 m.</v>
          </cell>
          <cell r="C1700" t="str">
            <v>und</v>
          </cell>
          <cell r="E1700">
            <v>0.04</v>
          </cell>
          <cell r="F1700">
            <v>2.5</v>
          </cell>
          <cell r="G1700">
            <v>0.1</v>
          </cell>
        </row>
        <row r="1701">
          <cell r="A1701" t="str">
            <v>6,01,27</v>
          </cell>
          <cell r="B1701" t="str">
            <v>Cinta autovulcanizante de 3/4" x 20 m. 3M</v>
          </cell>
          <cell r="C1701" t="str">
            <v>und</v>
          </cell>
          <cell r="E1701">
            <v>0.02</v>
          </cell>
          <cell r="F1701">
            <v>6.27</v>
          </cell>
          <cell r="G1701">
            <v>0.13</v>
          </cell>
        </row>
        <row r="1702">
          <cell r="A1702" t="str">
            <v>6,01,27</v>
          </cell>
          <cell r="B1702" t="str">
            <v>Mano de obra</v>
          </cell>
          <cell r="G1702">
            <v>10.32</v>
          </cell>
        </row>
        <row r="1703">
          <cell r="A1703" t="str">
            <v>6,01,27</v>
          </cell>
          <cell r="B1703" t="str">
            <v>Operario</v>
          </cell>
          <cell r="C1703" t="str">
            <v>HH</v>
          </cell>
          <cell r="D1703">
            <v>1</v>
          </cell>
          <cell r="E1703">
            <v>2</v>
          </cell>
          <cell r="F1703">
            <v>2.84</v>
          </cell>
          <cell r="G1703">
            <v>5.68</v>
          </cell>
          <cell r="H1703">
            <v>4</v>
          </cell>
        </row>
        <row r="1704">
          <cell r="A1704" t="str">
            <v>6,01,27</v>
          </cell>
          <cell r="B1704" t="str">
            <v>Peón</v>
          </cell>
          <cell r="C1704" t="str">
            <v>HH</v>
          </cell>
          <cell r="D1704">
            <v>1</v>
          </cell>
          <cell r="E1704">
            <v>2</v>
          </cell>
          <cell r="F1704">
            <v>2.3199999999999998</v>
          </cell>
          <cell r="G1704">
            <v>4.6399999999999997</v>
          </cell>
          <cell r="H1704">
            <v>4</v>
          </cell>
        </row>
        <row r="1705">
          <cell r="A1705" t="str">
            <v>6,01,27</v>
          </cell>
          <cell r="B1705" t="str">
            <v>Equipos y/o herramientas</v>
          </cell>
          <cell r="G1705">
            <v>1.44</v>
          </cell>
        </row>
        <row r="1706">
          <cell r="A1706" t="str">
            <v>6,01,27</v>
          </cell>
          <cell r="B1706" t="str">
            <v>Cuerpo de andamio de 2 m</v>
          </cell>
          <cell r="C1706" t="str">
            <v>DIA</v>
          </cell>
          <cell r="D1706">
            <v>1</v>
          </cell>
          <cell r="E1706">
            <v>0.25</v>
          </cell>
          <cell r="F1706">
            <v>0.65</v>
          </cell>
          <cell r="G1706">
            <v>0.16</v>
          </cell>
        </row>
        <row r="1707">
          <cell r="A1707" t="str">
            <v>6,01,27</v>
          </cell>
          <cell r="B1707" t="str">
            <v>Escalera</v>
          </cell>
          <cell r="C1707" t="str">
            <v>DIA</v>
          </cell>
          <cell r="D1707">
            <v>1</v>
          </cell>
          <cell r="E1707">
            <v>0.25</v>
          </cell>
          <cell r="F1707">
            <v>1</v>
          </cell>
          <cell r="G1707">
            <v>0.25</v>
          </cell>
        </row>
        <row r="1708">
          <cell r="A1708" t="str">
            <v>6,01,27</v>
          </cell>
          <cell r="B1708" t="str">
            <v>Desgaste de herramientas</v>
          </cell>
          <cell r="C1708" t="str">
            <v>%MO</v>
          </cell>
          <cell r="E1708">
            <v>0.1</v>
          </cell>
          <cell r="F1708">
            <v>10.32</v>
          </cell>
          <cell r="G1708">
            <v>1.03</v>
          </cell>
        </row>
        <row r="1709">
          <cell r="A1709" t="str">
            <v>6,01,28</v>
          </cell>
          <cell r="B1709" t="str">
            <v>Modificacion de cabledo y reubicación de pulsador de encendido y apagado de alumbrado de pazadizos</v>
          </cell>
          <cell r="F1709" t="str">
            <v>ML</v>
          </cell>
          <cell r="G1709">
            <v>35.520000000000003</v>
          </cell>
        </row>
        <row r="1710">
          <cell r="A1710" t="str">
            <v>6,01,28</v>
          </cell>
          <cell r="C1710" t="str">
            <v>und.</v>
          </cell>
          <cell r="D1710" t="str">
            <v>cuad.</v>
          </cell>
          <cell r="E1710" t="str">
            <v>cant.</v>
          </cell>
          <cell r="F1710" t="str">
            <v>prec. $</v>
          </cell>
          <cell r="G1710" t="str">
            <v>parcial $</v>
          </cell>
        </row>
        <row r="1711">
          <cell r="A1711" t="str">
            <v>6,01,28</v>
          </cell>
          <cell r="B1711" t="str">
            <v>Materiales</v>
          </cell>
          <cell r="G1711">
            <v>13.35</v>
          </cell>
        </row>
        <row r="1712">
          <cell r="A1712" t="str">
            <v>6,01,28</v>
          </cell>
          <cell r="B1712" t="str">
            <v>Cable de 4mm2 THW</v>
          </cell>
          <cell r="C1712" t="str">
            <v>ml</v>
          </cell>
          <cell r="E1712">
            <v>41</v>
          </cell>
          <cell r="F1712">
            <v>0.32</v>
          </cell>
          <cell r="G1712">
            <v>13.12</v>
          </cell>
        </row>
        <row r="1713">
          <cell r="A1713" t="str">
            <v>6,01,28</v>
          </cell>
          <cell r="B1713" t="str">
            <v>Cinta aislante de 3/4" x 20 m.</v>
          </cell>
          <cell r="C1713" t="str">
            <v>und</v>
          </cell>
          <cell r="E1713">
            <v>0.04</v>
          </cell>
          <cell r="F1713">
            <v>2.5</v>
          </cell>
          <cell r="G1713">
            <v>0.1</v>
          </cell>
        </row>
        <row r="1714">
          <cell r="A1714" t="str">
            <v>6,01,28</v>
          </cell>
          <cell r="B1714" t="str">
            <v>Cinta autovulcanizante de 3/4" x 20 m. 3M</v>
          </cell>
          <cell r="C1714" t="str">
            <v>und</v>
          </cell>
          <cell r="E1714">
            <v>0.02</v>
          </cell>
          <cell r="F1714">
            <v>6.27</v>
          </cell>
          <cell r="G1714">
            <v>0.13</v>
          </cell>
        </row>
        <row r="1715">
          <cell r="A1715" t="str">
            <v>6,01,28</v>
          </cell>
          <cell r="B1715" t="str">
            <v>Mano de obra</v>
          </cell>
          <cell r="G1715">
            <v>20.64</v>
          </cell>
        </row>
        <row r="1716">
          <cell r="A1716" t="str">
            <v>6,01,28</v>
          </cell>
          <cell r="B1716" t="str">
            <v>Operario</v>
          </cell>
          <cell r="C1716" t="str">
            <v>HH</v>
          </cell>
          <cell r="D1716">
            <v>1</v>
          </cell>
          <cell r="E1716">
            <v>4</v>
          </cell>
          <cell r="F1716">
            <v>2.84</v>
          </cell>
          <cell r="G1716">
            <v>11.36</v>
          </cell>
          <cell r="H1716">
            <v>2</v>
          </cell>
        </row>
        <row r="1717">
          <cell r="A1717" t="str">
            <v>6,01,28</v>
          </cell>
          <cell r="B1717" t="str">
            <v>Peón</v>
          </cell>
          <cell r="C1717" t="str">
            <v>HH</v>
          </cell>
          <cell r="D1717">
            <v>1</v>
          </cell>
          <cell r="E1717">
            <v>4</v>
          </cell>
          <cell r="F1717">
            <v>2.3199999999999998</v>
          </cell>
          <cell r="G1717">
            <v>9.2799999999999994</v>
          </cell>
          <cell r="H1717">
            <v>2</v>
          </cell>
        </row>
        <row r="1718">
          <cell r="A1718" t="str">
            <v>6,01,28</v>
          </cell>
          <cell r="B1718" t="str">
            <v>Equipos y/o herramientas</v>
          </cell>
          <cell r="G1718">
            <v>1.53</v>
          </cell>
        </row>
        <row r="1719">
          <cell r="A1719" t="str">
            <v>6,01,28</v>
          </cell>
          <cell r="B1719" t="str">
            <v>Escalera</v>
          </cell>
          <cell r="C1719" t="str">
            <v>DIA</v>
          </cell>
          <cell r="D1719">
            <v>1</v>
          </cell>
          <cell r="E1719">
            <v>0.5</v>
          </cell>
          <cell r="F1719">
            <v>1</v>
          </cell>
          <cell r="G1719">
            <v>0.5</v>
          </cell>
        </row>
        <row r="1720">
          <cell r="A1720" t="str">
            <v>6,01,28</v>
          </cell>
          <cell r="B1720" t="str">
            <v>Desgaste de herramientas</v>
          </cell>
          <cell r="C1720" t="str">
            <v>%MO</v>
          </cell>
          <cell r="E1720">
            <v>0.05</v>
          </cell>
          <cell r="F1720">
            <v>20.64</v>
          </cell>
          <cell r="G1720">
            <v>1.03</v>
          </cell>
        </row>
        <row r="1721">
          <cell r="A1721" t="str">
            <v>6,01,29</v>
          </cell>
          <cell r="B1721" t="str">
            <v>Modificacion de encendido de fluorecentes de la cupula de ingreso</v>
          </cell>
          <cell r="F1721" t="str">
            <v>ML</v>
          </cell>
          <cell r="G1721">
            <v>38.119999999999997</v>
          </cell>
        </row>
        <row r="1722">
          <cell r="A1722" t="str">
            <v>6,01,29</v>
          </cell>
          <cell r="C1722" t="str">
            <v>und.</v>
          </cell>
          <cell r="D1722" t="str">
            <v>cuad.</v>
          </cell>
          <cell r="E1722" t="str">
            <v>cant.</v>
          </cell>
          <cell r="F1722" t="str">
            <v>prec. $</v>
          </cell>
          <cell r="G1722" t="str">
            <v>parcial $</v>
          </cell>
        </row>
        <row r="1723">
          <cell r="A1723" t="str">
            <v>6,01,29</v>
          </cell>
          <cell r="B1723" t="str">
            <v>Materiales</v>
          </cell>
          <cell r="G1723">
            <v>8.5500000000000007</v>
          </cell>
        </row>
        <row r="1724">
          <cell r="A1724" t="str">
            <v>6,01,29</v>
          </cell>
          <cell r="B1724" t="str">
            <v>Cable de 4mm2 THW</v>
          </cell>
          <cell r="C1724" t="str">
            <v>ml</v>
          </cell>
          <cell r="E1724">
            <v>26</v>
          </cell>
          <cell r="F1724">
            <v>0.32</v>
          </cell>
          <cell r="G1724">
            <v>8.32</v>
          </cell>
        </row>
        <row r="1725">
          <cell r="A1725" t="str">
            <v>6,01,29</v>
          </cell>
          <cell r="B1725" t="str">
            <v>Cinta aislante de 3/4" x 20 m.</v>
          </cell>
          <cell r="C1725" t="str">
            <v>und</v>
          </cell>
          <cell r="E1725">
            <v>0.04</v>
          </cell>
          <cell r="F1725">
            <v>2.5</v>
          </cell>
          <cell r="G1725">
            <v>0.1</v>
          </cell>
        </row>
        <row r="1726">
          <cell r="A1726" t="str">
            <v>6,01,29</v>
          </cell>
          <cell r="B1726" t="str">
            <v>Cinta autovulcanizante de 3/4" x 20 m. 3M</v>
          </cell>
          <cell r="C1726" t="str">
            <v>und</v>
          </cell>
          <cell r="E1726">
            <v>0.02</v>
          </cell>
          <cell r="F1726">
            <v>6.27</v>
          </cell>
          <cell r="G1726">
            <v>0.13</v>
          </cell>
        </row>
        <row r="1727">
          <cell r="A1727" t="str">
            <v>6,01,29</v>
          </cell>
          <cell r="B1727" t="str">
            <v>Mano de obra</v>
          </cell>
          <cell r="G1727">
            <v>27.52</v>
          </cell>
        </row>
        <row r="1728">
          <cell r="A1728" t="str">
            <v>6,01,29</v>
          </cell>
          <cell r="B1728" t="str">
            <v>Operario</v>
          </cell>
          <cell r="C1728" t="str">
            <v>HH</v>
          </cell>
          <cell r="D1728">
            <v>1</v>
          </cell>
          <cell r="E1728">
            <v>5.333333333333333</v>
          </cell>
          <cell r="F1728">
            <v>2.84</v>
          </cell>
          <cell r="G1728">
            <v>15.15</v>
          </cell>
          <cell r="H1728">
            <v>1.5</v>
          </cell>
        </row>
        <row r="1729">
          <cell r="A1729" t="str">
            <v>6,01,29</v>
          </cell>
          <cell r="B1729" t="str">
            <v>Peón</v>
          </cell>
          <cell r="C1729" t="str">
            <v>HH</v>
          </cell>
          <cell r="D1729">
            <v>1</v>
          </cell>
          <cell r="E1729">
            <v>5.333333333333333</v>
          </cell>
          <cell r="F1729">
            <v>2.3199999999999998</v>
          </cell>
          <cell r="G1729">
            <v>12.37</v>
          </cell>
          <cell r="H1729">
            <v>1.5</v>
          </cell>
        </row>
        <row r="1730">
          <cell r="A1730" t="str">
            <v>6,01,29</v>
          </cell>
          <cell r="B1730" t="str">
            <v>Equipos y/o herramientas</v>
          </cell>
          <cell r="G1730">
            <v>2.0499999999999998</v>
          </cell>
        </row>
        <row r="1731">
          <cell r="A1731" t="str">
            <v>6,01,29</v>
          </cell>
          <cell r="B1731" t="str">
            <v>Escalera</v>
          </cell>
          <cell r="C1731" t="str">
            <v>DIA</v>
          </cell>
          <cell r="D1731">
            <v>1</v>
          </cell>
          <cell r="E1731">
            <v>0.66666666666666663</v>
          </cell>
          <cell r="F1731">
            <v>1</v>
          </cell>
          <cell r="G1731">
            <v>0.67</v>
          </cell>
        </row>
        <row r="1732">
          <cell r="A1732" t="str">
            <v>6,01,29</v>
          </cell>
          <cell r="B1732" t="str">
            <v>Desgaste de herramientas</v>
          </cell>
          <cell r="C1732" t="str">
            <v>%MO</v>
          </cell>
          <cell r="E1732">
            <v>0.05</v>
          </cell>
          <cell r="F1732">
            <v>27.52</v>
          </cell>
          <cell r="G1732">
            <v>1.38</v>
          </cell>
        </row>
        <row r="1733">
          <cell r="A1733" t="str">
            <v>6,01,30</v>
          </cell>
          <cell r="B1733" t="str">
            <v>Suministro e Instalación de artefactos  en deposito</v>
          </cell>
          <cell r="F1733" t="str">
            <v>ML</v>
          </cell>
          <cell r="G1733">
            <v>59.680000000000007</v>
          </cell>
        </row>
        <row r="1734">
          <cell r="A1734" t="str">
            <v>6,01,30</v>
          </cell>
          <cell r="C1734" t="str">
            <v>und.</v>
          </cell>
          <cell r="D1734" t="str">
            <v>cuad.</v>
          </cell>
          <cell r="E1734" t="str">
            <v>cant.</v>
          </cell>
          <cell r="F1734" t="str">
            <v>prec. $</v>
          </cell>
          <cell r="G1734" t="str">
            <v>parcial $</v>
          </cell>
        </row>
        <row r="1735">
          <cell r="A1735" t="str">
            <v>6,01,30</v>
          </cell>
          <cell r="B1735" t="str">
            <v>Materiales</v>
          </cell>
          <cell r="G1735">
            <v>54.13</v>
          </cell>
        </row>
        <row r="1736">
          <cell r="A1736" t="str">
            <v>6,01,30</v>
          </cell>
          <cell r="B1736" t="str">
            <v>Artefacto RSP 2x18 w</v>
          </cell>
          <cell r="C1736" t="str">
            <v>und</v>
          </cell>
          <cell r="E1736">
            <v>1</v>
          </cell>
          <cell r="F1736">
            <v>53.900000000000006</v>
          </cell>
          <cell r="G1736">
            <v>53.9</v>
          </cell>
        </row>
        <row r="1737">
          <cell r="A1737" t="str">
            <v>6,01,30</v>
          </cell>
          <cell r="B1737" t="str">
            <v>Cinta aislante de 3/4" x 20 m.</v>
          </cell>
          <cell r="C1737" t="str">
            <v>und</v>
          </cell>
          <cell r="E1737">
            <v>0.04</v>
          </cell>
          <cell r="F1737">
            <v>2.5</v>
          </cell>
          <cell r="G1737">
            <v>0.1</v>
          </cell>
        </row>
        <row r="1738">
          <cell r="A1738" t="str">
            <v>6,01,30</v>
          </cell>
          <cell r="B1738" t="str">
            <v>Cinta autovulcanizante de 3/4" x 20 m. 3M</v>
          </cell>
          <cell r="C1738" t="str">
            <v>und</v>
          </cell>
          <cell r="E1738">
            <v>0.02</v>
          </cell>
          <cell r="F1738">
            <v>6.27</v>
          </cell>
          <cell r="G1738">
            <v>0.13</v>
          </cell>
        </row>
        <row r="1739">
          <cell r="A1739" t="str">
            <v>6,01,30</v>
          </cell>
          <cell r="B1739" t="str">
            <v>Mano de obra</v>
          </cell>
          <cell r="G1739">
            <v>5.16</v>
          </cell>
        </row>
        <row r="1740">
          <cell r="A1740" t="str">
            <v>6,01,30</v>
          </cell>
          <cell r="B1740" t="str">
            <v>Operario</v>
          </cell>
          <cell r="C1740" t="str">
            <v>HH</v>
          </cell>
          <cell r="D1740">
            <v>1</v>
          </cell>
          <cell r="E1740">
            <v>1</v>
          </cell>
          <cell r="F1740">
            <v>2.84</v>
          </cell>
          <cell r="G1740">
            <v>2.84</v>
          </cell>
          <cell r="H1740">
            <v>8</v>
          </cell>
        </row>
        <row r="1741">
          <cell r="A1741" t="str">
            <v>6,01,30</v>
          </cell>
          <cell r="B1741" t="str">
            <v>Peón</v>
          </cell>
          <cell r="C1741" t="str">
            <v>HH</v>
          </cell>
          <cell r="D1741">
            <v>1</v>
          </cell>
          <cell r="E1741">
            <v>1</v>
          </cell>
          <cell r="F1741">
            <v>2.3199999999999998</v>
          </cell>
          <cell r="G1741">
            <v>2.3199999999999998</v>
          </cell>
          <cell r="H1741">
            <v>8</v>
          </cell>
        </row>
        <row r="1742">
          <cell r="A1742" t="str">
            <v>6,01,30</v>
          </cell>
          <cell r="B1742" t="str">
            <v>Equipos y/o herramientas</v>
          </cell>
          <cell r="G1742">
            <v>0.39</v>
          </cell>
        </row>
        <row r="1743">
          <cell r="A1743" t="str">
            <v>6,01,30</v>
          </cell>
          <cell r="B1743" t="str">
            <v>Escalera</v>
          </cell>
          <cell r="C1743" t="str">
            <v>DIA</v>
          </cell>
          <cell r="D1743">
            <v>1</v>
          </cell>
          <cell r="E1743">
            <v>0.125</v>
          </cell>
          <cell r="F1743">
            <v>1</v>
          </cell>
          <cell r="G1743">
            <v>0.13</v>
          </cell>
        </row>
        <row r="1744">
          <cell r="A1744" t="str">
            <v>6,01,30</v>
          </cell>
          <cell r="B1744" t="str">
            <v>Desgaste de herramientas</v>
          </cell>
          <cell r="C1744" t="str">
            <v>%MO</v>
          </cell>
          <cell r="E1744">
            <v>0.05</v>
          </cell>
          <cell r="F1744">
            <v>5.16</v>
          </cell>
          <cell r="G1744">
            <v>0.26</v>
          </cell>
        </row>
        <row r="1745">
          <cell r="A1745" t="str">
            <v>6,01,31</v>
          </cell>
          <cell r="B1745" t="str">
            <v>Reubicacion y modificacion de salida de tomacorriente existente en deposito</v>
          </cell>
          <cell r="F1745" t="str">
            <v>ML</v>
          </cell>
          <cell r="G1745">
            <v>34.010000000000005</v>
          </cell>
        </row>
        <row r="1746">
          <cell r="A1746" t="str">
            <v>6,01,31</v>
          </cell>
          <cell r="C1746" t="str">
            <v>und.</v>
          </cell>
          <cell r="D1746" t="str">
            <v>cuad.</v>
          </cell>
          <cell r="E1746" t="str">
            <v>cant.</v>
          </cell>
          <cell r="F1746" t="str">
            <v>prec. $</v>
          </cell>
          <cell r="G1746" t="str">
            <v>parcial $</v>
          </cell>
        </row>
        <row r="1747">
          <cell r="A1747" t="str">
            <v>6,01,31</v>
          </cell>
          <cell r="B1747" t="str">
            <v>Materiales</v>
          </cell>
          <cell r="G1747">
            <v>19.560000000000002</v>
          </cell>
        </row>
        <row r="1748">
          <cell r="A1748" t="str">
            <v>6,01,31</v>
          </cell>
          <cell r="B1748" t="str">
            <v>Tubería PVC SAP de 20 mm</v>
          </cell>
          <cell r="C1748" t="str">
            <v>ml</v>
          </cell>
          <cell r="E1748">
            <v>1</v>
          </cell>
          <cell r="F1748">
            <v>0.41</v>
          </cell>
          <cell r="G1748">
            <v>0.41</v>
          </cell>
        </row>
        <row r="1749">
          <cell r="A1749" t="str">
            <v>6,01,31</v>
          </cell>
          <cell r="B1749" t="str">
            <v>Curva PVC SAP de 20 mm</v>
          </cell>
          <cell r="C1749" t="str">
            <v>und</v>
          </cell>
          <cell r="E1749">
            <v>1</v>
          </cell>
          <cell r="F1749">
            <v>0.57999999999999996</v>
          </cell>
          <cell r="G1749">
            <v>0.57999999999999996</v>
          </cell>
        </row>
        <row r="1750">
          <cell r="A1750" t="str">
            <v>6,01,31</v>
          </cell>
          <cell r="B1750" t="str">
            <v>Unión PVC SAP de 20 mm</v>
          </cell>
          <cell r="C1750" t="str">
            <v>und</v>
          </cell>
          <cell r="E1750">
            <v>2</v>
          </cell>
          <cell r="F1750">
            <v>0.246</v>
          </cell>
          <cell r="G1750">
            <v>0.49</v>
          </cell>
        </row>
        <row r="1751">
          <cell r="A1751" t="str">
            <v>6,01,31</v>
          </cell>
          <cell r="B1751" t="str">
            <v>Conexión PVC SAP de 20 mm</v>
          </cell>
          <cell r="C1751" t="str">
            <v>und</v>
          </cell>
          <cell r="E1751">
            <v>1</v>
          </cell>
          <cell r="F1751">
            <v>0.17399999999999999</v>
          </cell>
          <cell r="G1751">
            <v>0.17</v>
          </cell>
        </row>
        <row r="1752">
          <cell r="A1752" t="str">
            <v>6,01,31</v>
          </cell>
          <cell r="B1752" t="str">
            <v>Cable de 4mm2 THW</v>
          </cell>
          <cell r="C1752" t="str">
            <v>ml</v>
          </cell>
          <cell r="E1752">
            <v>45</v>
          </cell>
          <cell r="F1752">
            <v>0.32</v>
          </cell>
          <cell r="G1752">
            <v>14.4</v>
          </cell>
        </row>
        <row r="1753">
          <cell r="A1753" t="str">
            <v>6,01,31</v>
          </cell>
          <cell r="B1753" t="str">
            <v>Caja rectangular de 100x50 mm</v>
          </cell>
          <cell r="C1753" t="str">
            <v>und</v>
          </cell>
          <cell r="E1753">
            <v>1</v>
          </cell>
          <cell r="F1753">
            <v>0.78</v>
          </cell>
          <cell r="G1753">
            <v>0.78</v>
          </cell>
        </row>
        <row r="1754">
          <cell r="A1754" t="str">
            <v>6,01,31</v>
          </cell>
          <cell r="B1754" t="str">
            <v>Cinta aislante de 3/4" x 20 m.</v>
          </cell>
          <cell r="C1754" t="str">
            <v>und</v>
          </cell>
          <cell r="E1754">
            <v>0.04</v>
          </cell>
          <cell r="F1754">
            <v>2.5</v>
          </cell>
          <cell r="G1754">
            <v>0.1</v>
          </cell>
        </row>
        <row r="1755">
          <cell r="A1755" t="str">
            <v>6,01,31</v>
          </cell>
          <cell r="B1755" t="str">
            <v>Cinta autovulcanizante de 3/4" x 20 m. 3M</v>
          </cell>
          <cell r="C1755" t="str">
            <v>und</v>
          </cell>
          <cell r="E1755">
            <v>0.02</v>
          </cell>
          <cell r="F1755">
            <v>6.27</v>
          </cell>
          <cell r="G1755">
            <v>0.13</v>
          </cell>
        </row>
        <row r="1756">
          <cell r="A1756" t="str">
            <v>6,01,31</v>
          </cell>
          <cell r="B1756" t="str">
            <v>Materiales de resane</v>
          </cell>
          <cell r="C1756" t="str">
            <v>GLB</v>
          </cell>
          <cell r="E1756">
            <v>1</v>
          </cell>
          <cell r="F1756">
            <v>2.5</v>
          </cell>
          <cell r="G1756">
            <v>2.5</v>
          </cell>
        </row>
        <row r="1757">
          <cell r="A1757" t="str">
            <v>6,01,31</v>
          </cell>
          <cell r="B1757" t="str">
            <v>Mano de obra</v>
          </cell>
          <cell r="G1757">
            <v>13.760000000000002</v>
          </cell>
        </row>
        <row r="1758">
          <cell r="A1758" t="str">
            <v>6,01,31</v>
          </cell>
          <cell r="B1758" t="str">
            <v>Operario</v>
          </cell>
          <cell r="C1758" t="str">
            <v>HH</v>
          </cell>
          <cell r="D1758">
            <v>1</v>
          </cell>
          <cell r="E1758">
            <v>2.6666666666666665</v>
          </cell>
          <cell r="F1758">
            <v>2.84</v>
          </cell>
          <cell r="G1758">
            <v>7.57</v>
          </cell>
          <cell r="H1758">
            <v>3</v>
          </cell>
        </row>
        <row r="1759">
          <cell r="A1759" t="str">
            <v>6,01,31</v>
          </cell>
          <cell r="B1759" t="str">
            <v>Peón</v>
          </cell>
          <cell r="C1759" t="str">
            <v>HH</v>
          </cell>
          <cell r="D1759">
            <v>1</v>
          </cell>
          <cell r="E1759">
            <v>2.6666666666666665</v>
          </cell>
          <cell r="F1759">
            <v>2.3199999999999998</v>
          </cell>
          <cell r="G1759">
            <v>6.19</v>
          </cell>
          <cell r="H1759">
            <v>3</v>
          </cell>
        </row>
        <row r="1760">
          <cell r="A1760" t="str">
            <v>6,01,31</v>
          </cell>
          <cell r="B1760" t="str">
            <v>Equipos y/o herramientas</v>
          </cell>
          <cell r="G1760">
            <v>0.69</v>
          </cell>
        </row>
        <row r="1761">
          <cell r="A1761" t="str">
            <v>6,01,31</v>
          </cell>
          <cell r="B1761" t="str">
            <v>Desgaste de herramientas</v>
          </cell>
          <cell r="C1761" t="str">
            <v>%MO</v>
          </cell>
          <cell r="E1761">
            <v>0.05</v>
          </cell>
          <cell r="F1761">
            <v>13.760000000000002</v>
          </cell>
          <cell r="G1761">
            <v>0.69</v>
          </cell>
        </row>
        <row r="1762">
          <cell r="A1762" t="str">
            <v>6,01,32</v>
          </cell>
          <cell r="B1762" t="str">
            <v>Salida de data para acces point dentro de F.C.R.</v>
          </cell>
          <cell r="F1762" t="str">
            <v>( pto )</v>
          </cell>
          <cell r="G1762">
            <v>24.520000000000003</v>
          </cell>
        </row>
        <row r="1763">
          <cell r="A1763" t="str">
            <v>6,01,32</v>
          </cell>
          <cell r="C1763" t="str">
            <v>und.</v>
          </cell>
          <cell r="D1763" t="str">
            <v>cuad.</v>
          </cell>
          <cell r="E1763" t="str">
            <v>cant.</v>
          </cell>
          <cell r="F1763" t="str">
            <v>prec. $</v>
          </cell>
          <cell r="G1763" t="str">
            <v>parcial $</v>
          </cell>
        </row>
        <row r="1764">
          <cell r="A1764" t="str">
            <v>6,01,32</v>
          </cell>
          <cell r="B1764" t="str">
            <v>Materiales</v>
          </cell>
          <cell r="G1764">
            <v>7.5699999999999994</v>
          </cell>
        </row>
        <row r="1765">
          <cell r="A1765" t="str">
            <v>6,01,32</v>
          </cell>
          <cell r="B1765" t="str">
            <v>Tubería PVC SAP de 25 mm</v>
          </cell>
          <cell r="C1765" t="str">
            <v>ml</v>
          </cell>
          <cell r="E1765">
            <v>3.1</v>
          </cell>
          <cell r="F1765">
            <v>0.52</v>
          </cell>
          <cell r="G1765">
            <v>1.61</v>
          </cell>
        </row>
        <row r="1766">
          <cell r="A1766" t="str">
            <v>6,01,32</v>
          </cell>
          <cell r="B1766" t="str">
            <v>Curva PVC SAP de 25 mm</v>
          </cell>
          <cell r="C1766" t="str">
            <v>und</v>
          </cell>
          <cell r="E1766">
            <v>1</v>
          </cell>
          <cell r="F1766">
            <v>0.89</v>
          </cell>
          <cell r="G1766">
            <v>0.89</v>
          </cell>
        </row>
        <row r="1767">
          <cell r="A1767" t="str">
            <v>6,01,32</v>
          </cell>
          <cell r="B1767" t="str">
            <v>Unión PVC SAP de 25 mm</v>
          </cell>
          <cell r="C1767" t="str">
            <v>und</v>
          </cell>
          <cell r="E1767">
            <v>2</v>
          </cell>
          <cell r="F1767">
            <v>0.34</v>
          </cell>
          <cell r="G1767">
            <v>0.68</v>
          </cell>
        </row>
        <row r="1768">
          <cell r="A1768" t="str">
            <v>6,01,32</v>
          </cell>
          <cell r="B1768" t="str">
            <v>Conexión PVC SAP de 25 mm</v>
          </cell>
          <cell r="C1768" t="str">
            <v>und</v>
          </cell>
          <cell r="E1768">
            <v>2</v>
          </cell>
          <cell r="F1768">
            <v>0.2</v>
          </cell>
          <cell r="G1768">
            <v>0.4</v>
          </cell>
        </row>
        <row r="1769">
          <cell r="A1769" t="str">
            <v>6,01,32</v>
          </cell>
          <cell r="B1769" t="str">
            <v xml:space="preserve">Caja F°G° 100x100x50mm </v>
          </cell>
          <cell r="C1769" t="str">
            <v>und</v>
          </cell>
          <cell r="E1769">
            <v>1</v>
          </cell>
          <cell r="F1769">
            <v>1.72</v>
          </cell>
          <cell r="G1769">
            <v>1.72</v>
          </cell>
        </row>
        <row r="1770">
          <cell r="A1770" t="str">
            <v>6,01,32</v>
          </cell>
          <cell r="B1770" t="str">
            <v xml:space="preserve">Tapa ciega de F°G° de 100x100mm </v>
          </cell>
          <cell r="C1770" t="str">
            <v>und</v>
          </cell>
          <cell r="E1770">
            <v>1</v>
          </cell>
          <cell r="F1770">
            <v>0.57999999999999996</v>
          </cell>
          <cell r="G1770">
            <v>0.57999999999999996</v>
          </cell>
        </row>
        <row r="1771">
          <cell r="A1771" t="str">
            <v>6,01,32</v>
          </cell>
          <cell r="B1771" t="str">
            <v>Abrazadera de 25 mm</v>
          </cell>
          <cell r="C1771" t="str">
            <v>und</v>
          </cell>
          <cell r="E1771">
            <v>3.4444444444444446</v>
          </cell>
          <cell r="F1771">
            <v>0.2</v>
          </cell>
          <cell r="G1771">
            <v>0.69</v>
          </cell>
        </row>
        <row r="1772">
          <cell r="A1772" t="str">
            <v>6,01,32</v>
          </cell>
          <cell r="B1772" t="str">
            <v>Tarugo plastico verde de 1/4</v>
          </cell>
          <cell r="C1772" t="str">
            <v>und</v>
          </cell>
          <cell r="E1772">
            <v>6</v>
          </cell>
          <cell r="F1772">
            <v>0.115</v>
          </cell>
          <cell r="G1772">
            <v>0.69</v>
          </cell>
        </row>
        <row r="1773">
          <cell r="A1773" t="str">
            <v>6,01,32</v>
          </cell>
          <cell r="B1773" t="str">
            <v>Tornillo autoroscante de 8x1"</v>
          </cell>
          <cell r="C1773" t="str">
            <v>und</v>
          </cell>
          <cell r="E1773">
            <v>4</v>
          </cell>
          <cell r="F1773">
            <v>4.2000000000000003E-2</v>
          </cell>
          <cell r="G1773">
            <v>0.17</v>
          </cell>
        </row>
        <row r="1774">
          <cell r="A1774" t="str">
            <v>6,01,32</v>
          </cell>
          <cell r="B1774" t="str">
            <v>Tornillo autoroscante de 8x1/2 "</v>
          </cell>
          <cell r="C1774" t="str">
            <v>und</v>
          </cell>
          <cell r="E1774">
            <v>2</v>
          </cell>
          <cell r="F1774">
            <v>4.2000000000000003E-2</v>
          </cell>
          <cell r="G1774">
            <v>0.08</v>
          </cell>
        </row>
        <row r="1775">
          <cell r="A1775" t="str">
            <v>6,01,32</v>
          </cell>
          <cell r="B1775" t="str">
            <v>Pegamento de 1/4 de galón</v>
          </cell>
          <cell r="C1775" t="str">
            <v>und</v>
          </cell>
          <cell r="E1775">
            <v>0.01</v>
          </cell>
          <cell r="F1775">
            <v>6.3959999999999999</v>
          </cell>
          <cell r="G1775">
            <v>0.06</v>
          </cell>
        </row>
        <row r="1776">
          <cell r="A1776" t="str">
            <v>6,01,32</v>
          </cell>
          <cell r="B1776" t="str">
            <v>Mano de obra</v>
          </cell>
          <cell r="G1776">
            <v>13.760000000000002</v>
          </cell>
        </row>
        <row r="1777">
          <cell r="A1777" t="str">
            <v>6,01,32</v>
          </cell>
          <cell r="B1777" t="str">
            <v>Operario</v>
          </cell>
          <cell r="C1777" t="str">
            <v>HH</v>
          </cell>
          <cell r="D1777">
            <v>1</v>
          </cell>
          <cell r="E1777">
            <v>2.6666666666666665</v>
          </cell>
          <cell r="F1777">
            <v>2.84</v>
          </cell>
          <cell r="G1777">
            <v>7.57</v>
          </cell>
          <cell r="H1777">
            <v>3</v>
          </cell>
        </row>
        <row r="1778">
          <cell r="A1778" t="str">
            <v>6,01,32</v>
          </cell>
          <cell r="B1778" t="str">
            <v>Peón</v>
          </cell>
          <cell r="C1778" t="str">
            <v>HH</v>
          </cell>
          <cell r="D1778">
            <v>1</v>
          </cell>
          <cell r="E1778">
            <v>2.6666666666666665</v>
          </cell>
          <cell r="F1778">
            <v>2.3199999999999998</v>
          </cell>
          <cell r="G1778">
            <v>6.19</v>
          </cell>
          <cell r="H1778">
            <v>3</v>
          </cell>
        </row>
        <row r="1779">
          <cell r="A1779" t="str">
            <v>6,01,32</v>
          </cell>
          <cell r="B1779" t="str">
            <v>Equipos</v>
          </cell>
          <cell r="G1779">
            <v>3.19</v>
          </cell>
        </row>
        <row r="1780">
          <cell r="A1780" t="str">
            <v>6,01,32</v>
          </cell>
          <cell r="B1780" t="str">
            <v>Escalera</v>
          </cell>
          <cell r="C1780" t="str">
            <v>DIA</v>
          </cell>
          <cell r="D1780">
            <v>1</v>
          </cell>
          <cell r="E1780">
            <v>0.33333333333333331</v>
          </cell>
          <cell r="F1780">
            <v>1</v>
          </cell>
          <cell r="G1780">
            <v>0.33</v>
          </cell>
        </row>
        <row r="1781">
          <cell r="A1781" t="str">
            <v>6,01,32</v>
          </cell>
          <cell r="B1781" t="str">
            <v>Taladro Hilti</v>
          </cell>
          <cell r="C1781" t="str">
            <v>DIA</v>
          </cell>
          <cell r="D1781">
            <v>1</v>
          </cell>
          <cell r="E1781">
            <v>0.33333333333333331</v>
          </cell>
          <cell r="F1781">
            <v>6.5</v>
          </cell>
          <cell r="G1781">
            <v>2.17</v>
          </cell>
        </row>
        <row r="1782">
          <cell r="A1782" t="str">
            <v>6,01,32</v>
          </cell>
          <cell r="B1782" t="str">
            <v>Desgaste de herramientas</v>
          </cell>
          <cell r="C1782" t="str">
            <v>%MO</v>
          </cell>
          <cell r="E1782">
            <v>0.05</v>
          </cell>
          <cell r="F1782">
            <v>13.760000000000002</v>
          </cell>
          <cell r="G1782">
            <v>0.69</v>
          </cell>
        </row>
        <row r="1783">
          <cell r="A1783" t="str">
            <v>6,01,33</v>
          </cell>
          <cell r="B1783" t="str">
            <v>Salida de tomacorriente estabilizado  para acces point dentro de F.C.R.</v>
          </cell>
          <cell r="F1783" t="str">
            <v>( pto )</v>
          </cell>
          <cell r="G1783">
            <v>22.630000000000003</v>
          </cell>
        </row>
        <row r="1784">
          <cell r="A1784" t="str">
            <v>6,01,33</v>
          </cell>
          <cell r="C1784" t="str">
            <v>und.</v>
          </cell>
          <cell r="D1784" t="str">
            <v>cuad.</v>
          </cell>
          <cell r="E1784" t="str">
            <v>cant.</v>
          </cell>
          <cell r="F1784" t="str">
            <v>prec. $</v>
          </cell>
          <cell r="G1784" t="str">
            <v>parcial $</v>
          </cell>
        </row>
        <row r="1785">
          <cell r="A1785" t="str">
            <v>6,01,33</v>
          </cell>
          <cell r="B1785" t="str">
            <v>Materiales</v>
          </cell>
          <cell r="G1785">
            <v>5.6799999999999988</v>
          </cell>
        </row>
        <row r="1786">
          <cell r="A1786" t="str">
            <v>6,01,33</v>
          </cell>
          <cell r="B1786" t="str">
            <v>Tubería PVC SAP de 20 mm</v>
          </cell>
          <cell r="C1786" t="str">
            <v>ml</v>
          </cell>
          <cell r="E1786">
            <v>3.1</v>
          </cell>
          <cell r="F1786">
            <v>0.41</v>
          </cell>
          <cell r="G1786">
            <v>1.27</v>
          </cell>
        </row>
        <row r="1787">
          <cell r="A1787" t="str">
            <v>6,01,33</v>
          </cell>
          <cell r="B1787" t="str">
            <v>Curva PVC SAP de 20 mm</v>
          </cell>
          <cell r="C1787" t="str">
            <v>und</v>
          </cell>
          <cell r="E1787">
            <v>1</v>
          </cell>
          <cell r="F1787">
            <v>0.57999999999999996</v>
          </cell>
          <cell r="G1787">
            <v>0.57999999999999996</v>
          </cell>
        </row>
        <row r="1788">
          <cell r="A1788" t="str">
            <v>6,01,33</v>
          </cell>
          <cell r="B1788" t="str">
            <v>Unión PVC SAP de 20 mm</v>
          </cell>
          <cell r="C1788" t="str">
            <v>und</v>
          </cell>
          <cell r="E1788">
            <v>2</v>
          </cell>
          <cell r="F1788">
            <v>0.246</v>
          </cell>
          <cell r="G1788">
            <v>0.49</v>
          </cell>
        </row>
        <row r="1789">
          <cell r="A1789" t="str">
            <v>6,01,33</v>
          </cell>
          <cell r="B1789" t="str">
            <v>Conexión PVC SAP de 20 mm</v>
          </cell>
          <cell r="C1789" t="str">
            <v>und</v>
          </cell>
          <cell r="E1789">
            <v>2</v>
          </cell>
          <cell r="F1789">
            <v>0.17399999999999999</v>
          </cell>
          <cell r="G1789">
            <v>0.35</v>
          </cell>
        </row>
        <row r="1790">
          <cell r="A1790" t="str">
            <v>6,01,33</v>
          </cell>
          <cell r="B1790" t="str">
            <v>Caja rectangular de 100x50 mm</v>
          </cell>
          <cell r="C1790" t="str">
            <v>und</v>
          </cell>
          <cell r="E1790">
            <v>1</v>
          </cell>
          <cell r="F1790">
            <v>0.78</v>
          </cell>
          <cell r="G1790">
            <v>0.78</v>
          </cell>
        </row>
        <row r="1791">
          <cell r="A1791" t="str">
            <v>6,01,33</v>
          </cell>
          <cell r="B1791" t="str">
            <v xml:space="preserve">Tapa ciega de F°G° de 100x50mm </v>
          </cell>
          <cell r="C1791" t="str">
            <v>und</v>
          </cell>
          <cell r="E1791">
            <v>1</v>
          </cell>
          <cell r="F1791">
            <v>0.57999999999999996</v>
          </cell>
          <cell r="G1791">
            <v>0.57999999999999996</v>
          </cell>
        </row>
        <row r="1792">
          <cell r="A1792" t="str">
            <v>6,01,33</v>
          </cell>
          <cell r="B1792" t="str">
            <v>Cinta aislante de 3/4" x 20 m.</v>
          </cell>
          <cell r="C1792" t="str">
            <v>und</v>
          </cell>
          <cell r="E1792">
            <v>0.04</v>
          </cell>
          <cell r="F1792">
            <v>2.5</v>
          </cell>
          <cell r="G1792">
            <v>0.1</v>
          </cell>
        </row>
        <row r="1793">
          <cell r="A1793" t="str">
            <v>6,01,33</v>
          </cell>
          <cell r="B1793" t="str">
            <v>Cinta autovulcanizante de 3/4" x 20 m. 3M</v>
          </cell>
          <cell r="C1793" t="str">
            <v>und</v>
          </cell>
          <cell r="E1793">
            <v>0.02</v>
          </cell>
          <cell r="F1793">
            <v>6.27</v>
          </cell>
          <cell r="G1793">
            <v>0.13</v>
          </cell>
        </row>
        <row r="1794">
          <cell r="A1794" t="str">
            <v>6,01,33</v>
          </cell>
          <cell r="B1794" t="str">
            <v>Abrazadera de 25 mm</v>
          </cell>
          <cell r="C1794" t="str">
            <v>und</v>
          </cell>
          <cell r="E1794">
            <v>3.4444444444444446</v>
          </cell>
          <cell r="F1794">
            <v>0.2</v>
          </cell>
          <cell r="G1794">
            <v>0.69</v>
          </cell>
        </row>
        <row r="1795">
          <cell r="A1795" t="str">
            <v>6,01,33</v>
          </cell>
          <cell r="B1795" t="str">
            <v>Tarugo plastico verde de 1/4</v>
          </cell>
          <cell r="C1795" t="str">
            <v>und</v>
          </cell>
          <cell r="E1795">
            <v>3.4444444444444446</v>
          </cell>
          <cell r="F1795">
            <v>0.115</v>
          </cell>
          <cell r="G1795">
            <v>0.4</v>
          </cell>
        </row>
        <row r="1796">
          <cell r="A1796" t="str">
            <v>6,01,33</v>
          </cell>
          <cell r="B1796" t="str">
            <v>Tornillo autoroscante de 8x1"</v>
          </cell>
          <cell r="C1796" t="str">
            <v>und</v>
          </cell>
          <cell r="E1796">
            <v>4</v>
          </cell>
          <cell r="F1796">
            <v>4.2000000000000003E-2</v>
          </cell>
          <cell r="G1796">
            <v>0.17</v>
          </cell>
        </row>
        <row r="1797">
          <cell r="A1797" t="str">
            <v>6,01,33</v>
          </cell>
          <cell r="B1797" t="str">
            <v>Tornillo autoroscante de 8x1/2 "</v>
          </cell>
          <cell r="C1797" t="str">
            <v>und</v>
          </cell>
          <cell r="E1797">
            <v>2</v>
          </cell>
          <cell r="F1797">
            <v>4.2000000000000003E-2</v>
          </cell>
          <cell r="G1797">
            <v>0.08</v>
          </cell>
        </row>
        <row r="1798">
          <cell r="A1798" t="str">
            <v>6,01,33</v>
          </cell>
          <cell r="B1798" t="str">
            <v>Pegamento de 1/4 de galón</v>
          </cell>
          <cell r="C1798" t="str">
            <v>und</v>
          </cell>
          <cell r="E1798">
            <v>0.01</v>
          </cell>
          <cell r="F1798">
            <v>6.3959999999999999</v>
          </cell>
          <cell r="G1798">
            <v>0.06</v>
          </cell>
        </row>
        <row r="1799">
          <cell r="A1799" t="str">
            <v>6,01,33</v>
          </cell>
          <cell r="B1799" t="str">
            <v>Mano de obra</v>
          </cell>
          <cell r="G1799">
            <v>13.760000000000002</v>
          </cell>
        </row>
        <row r="1800">
          <cell r="A1800" t="str">
            <v>6,01,33</v>
          </cell>
          <cell r="B1800" t="str">
            <v>Operario</v>
          </cell>
          <cell r="C1800" t="str">
            <v>HH</v>
          </cell>
          <cell r="D1800">
            <v>1</v>
          </cell>
          <cell r="E1800">
            <v>2.6666666666666665</v>
          </cell>
          <cell r="F1800">
            <v>2.84</v>
          </cell>
          <cell r="G1800">
            <v>7.57</v>
          </cell>
          <cell r="H1800">
            <v>3</v>
          </cell>
        </row>
        <row r="1801">
          <cell r="A1801" t="str">
            <v>6,01,33</v>
          </cell>
          <cell r="B1801" t="str">
            <v>Peón</v>
          </cell>
          <cell r="C1801" t="str">
            <v>HH</v>
          </cell>
          <cell r="D1801">
            <v>1</v>
          </cell>
          <cell r="E1801">
            <v>2.6666666666666665</v>
          </cell>
          <cell r="F1801">
            <v>2.3199999999999998</v>
          </cell>
          <cell r="G1801">
            <v>6.19</v>
          </cell>
          <cell r="H1801">
            <v>3</v>
          </cell>
        </row>
        <row r="1802">
          <cell r="A1802" t="str">
            <v>6,01,33</v>
          </cell>
          <cell r="B1802" t="str">
            <v>Equipos</v>
          </cell>
          <cell r="G1802">
            <v>3.19</v>
          </cell>
        </row>
        <row r="1803">
          <cell r="A1803" t="str">
            <v>6,01,33</v>
          </cell>
          <cell r="B1803" t="str">
            <v>Escalera</v>
          </cell>
          <cell r="C1803" t="str">
            <v>DIA</v>
          </cell>
          <cell r="D1803">
            <v>1</v>
          </cell>
          <cell r="E1803">
            <v>0.33333333333333331</v>
          </cell>
          <cell r="F1803">
            <v>1</v>
          </cell>
          <cell r="G1803">
            <v>0.33</v>
          </cell>
        </row>
        <row r="1804">
          <cell r="A1804" t="str">
            <v>6,01,33</v>
          </cell>
          <cell r="B1804" t="str">
            <v>Taladro Hilti</v>
          </cell>
          <cell r="C1804" t="str">
            <v>DIA</v>
          </cell>
          <cell r="D1804">
            <v>1</v>
          </cell>
          <cell r="E1804">
            <v>0.33333333333333331</v>
          </cell>
          <cell r="F1804">
            <v>6.5</v>
          </cell>
          <cell r="G1804">
            <v>2.17</v>
          </cell>
        </row>
        <row r="1805">
          <cell r="A1805" t="str">
            <v>6,01,33</v>
          </cell>
          <cell r="B1805" t="str">
            <v>Desgaste de herramientas</v>
          </cell>
          <cell r="C1805" t="str">
            <v>%MO</v>
          </cell>
          <cell r="E1805">
            <v>0.05</v>
          </cell>
          <cell r="F1805">
            <v>13.760000000000002</v>
          </cell>
          <cell r="G1805">
            <v>0.69</v>
          </cell>
        </row>
        <row r="1806">
          <cell r="A1806" t="str">
            <v>6,01,34</v>
          </cell>
          <cell r="B1806" t="str">
            <v xml:space="preserve">Remocion de tableros de oficina </v>
          </cell>
          <cell r="F1806" t="str">
            <v>ML</v>
          </cell>
          <cell r="G1806">
            <v>37.65</v>
          </cell>
        </row>
        <row r="1807">
          <cell r="A1807" t="str">
            <v>6,01,34</v>
          </cell>
          <cell r="C1807" t="str">
            <v>und.</v>
          </cell>
          <cell r="D1807" t="str">
            <v>cuad.</v>
          </cell>
          <cell r="E1807" t="str">
            <v>cant.</v>
          </cell>
          <cell r="F1807" t="str">
            <v>prec. $</v>
          </cell>
          <cell r="G1807" t="str">
            <v>parcial $</v>
          </cell>
        </row>
        <row r="1808">
          <cell r="A1808" t="str">
            <v>6,01,34</v>
          </cell>
          <cell r="B1808" t="str">
            <v>Materiales</v>
          </cell>
        </row>
        <row r="1809">
          <cell r="A1809" t="str">
            <v>6,01,34</v>
          </cell>
          <cell r="B1809" t="str">
            <v>Mano de obra</v>
          </cell>
          <cell r="G1809">
            <v>33.03</v>
          </cell>
        </row>
        <row r="1810">
          <cell r="A1810" t="str">
            <v>6,01,34</v>
          </cell>
          <cell r="B1810" t="str">
            <v>Operario</v>
          </cell>
          <cell r="C1810" t="str">
            <v>HH</v>
          </cell>
          <cell r="D1810">
            <v>1</v>
          </cell>
          <cell r="E1810">
            <v>6.4</v>
          </cell>
          <cell r="F1810">
            <v>2.84</v>
          </cell>
          <cell r="G1810">
            <v>18.18</v>
          </cell>
          <cell r="H1810">
            <v>1.25</v>
          </cell>
        </row>
        <row r="1811">
          <cell r="A1811" t="str">
            <v>6,01,34</v>
          </cell>
          <cell r="B1811" t="str">
            <v>Peón</v>
          </cell>
          <cell r="C1811" t="str">
            <v>HH</v>
          </cell>
          <cell r="D1811">
            <v>1</v>
          </cell>
          <cell r="E1811">
            <v>6.4</v>
          </cell>
          <cell r="F1811">
            <v>2.3199999999999998</v>
          </cell>
          <cell r="G1811">
            <v>14.85</v>
          </cell>
          <cell r="H1811">
            <v>1.25</v>
          </cell>
        </row>
        <row r="1812">
          <cell r="A1812" t="str">
            <v>6,01,34</v>
          </cell>
          <cell r="B1812" t="str">
            <v>Equipos y/o herramientas</v>
          </cell>
          <cell r="G1812">
            <v>4.62</v>
          </cell>
        </row>
        <row r="1813">
          <cell r="A1813" t="str">
            <v>6,01,34</v>
          </cell>
          <cell r="B1813" t="str">
            <v>Cuerpo de andamio de 2 m</v>
          </cell>
          <cell r="C1813" t="str">
            <v>DIA</v>
          </cell>
          <cell r="D1813">
            <v>1</v>
          </cell>
          <cell r="E1813">
            <v>0.8</v>
          </cell>
          <cell r="F1813">
            <v>0.65</v>
          </cell>
          <cell r="G1813">
            <v>0.52</v>
          </cell>
        </row>
        <row r="1814">
          <cell r="A1814" t="str">
            <v>6,01,34</v>
          </cell>
          <cell r="B1814" t="str">
            <v>Escalera</v>
          </cell>
          <cell r="C1814" t="str">
            <v>DIA</v>
          </cell>
          <cell r="D1814">
            <v>1</v>
          </cell>
          <cell r="E1814">
            <v>0.8</v>
          </cell>
          <cell r="F1814">
            <v>1</v>
          </cell>
          <cell r="G1814">
            <v>0.8</v>
          </cell>
        </row>
        <row r="1815">
          <cell r="A1815" t="str">
            <v>6,01,34</v>
          </cell>
          <cell r="B1815" t="str">
            <v>Desgaste de herramientas</v>
          </cell>
          <cell r="C1815" t="str">
            <v>%MO</v>
          </cell>
          <cell r="E1815">
            <v>0.1</v>
          </cell>
          <cell r="F1815">
            <v>33.03</v>
          </cell>
          <cell r="G1815">
            <v>3.3</v>
          </cell>
        </row>
        <row r="1816">
          <cell r="A1816" t="str">
            <v>6,01,35</v>
          </cell>
          <cell r="B1816" t="str">
            <v>Modificacion de interruptor de encendido en biblioteca</v>
          </cell>
          <cell r="F1816" t="str">
            <v>ML</v>
          </cell>
          <cell r="G1816">
            <v>36.369999999999997</v>
          </cell>
        </row>
        <row r="1817">
          <cell r="A1817" t="str">
            <v>6,01,35</v>
          </cell>
          <cell r="C1817" t="str">
            <v>und.</v>
          </cell>
          <cell r="D1817" t="str">
            <v>cuad.</v>
          </cell>
          <cell r="E1817" t="str">
            <v>cant.</v>
          </cell>
          <cell r="F1817" t="str">
            <v>prec. $</v>
          </cell>
          <cell r="G1817" t="str">
            <v>parcial $</v>
          </cell>
        </row>
        <row r="1818">
          <cell r="A1818" t="str">
            <v>6,01,35</v>
          </cell>
          <cell r="B1818" t="str">
            <v>Materiales</v>
          </cell>
          <cell r="G1818">
            <v>5</v>
          </cell>
        </row>
        <row r="1819">
          <cell r="A1819" t="str">
            <v>6,01,35</v>
          </cell>
          <cell r="B1819" t="str">
            <v>Reposicion de drywall</v>
          </cell>
          <cell r="C1819" t="str">
            <v>GLB</v>
          </cell>
          <cell r="E1819">
            <v>1</v>
          </cell>
          <cell r="F1819">
            <v>3.5</v>
          </cell>
          <cell r="G1819">
            <v>3.5</v>
          </cell>
        </row>
        <row r="1820">
          <cell r="A1820" t="str">
            <v>6,01,35</v>
          </cell>
          <cell r="B1820" t="str">
            <v>Acavado de superficie</v>
          </cell>
          <cell r="C1820" t="str">
            <v>GLB</v>
          </cell>
          <cell r="E1820">
            <v>1</v>
          </cell>
          <cell r="F1820">
            <v>1.5</v>
          </cell>
          <cell r="G1820">
            <v>1.5</v>
          </cell>
        </row>
        <row r="1821">
          <cell r="A1821" t="str">
            <v>6,01,35</v>
          </cell>
          <cell r="B1821" t="str">
            <v>Mano de obra</v>
          </cell>
          <cell r="G1821">
            <v>27.52</v>
          </cell>
        </row>
        <row r="1822">
          <cell r="A1822" t="str">
            <v>6,01,35</v>
          </cell>
          <cell r="B1822" t="str">
            <v>Operario</v>
          </cell>
          <cell r="C1822" t="str">
            <v>HH</v>
          </cell>
          <cell r="D1822">
            <v>1</v>
          </cell>
          <cell r="E1822">
            <v>5.333333333333333</v>
          </cell>
          <cell r="F1822">
            <v>2.84</v>
          </cell>
          <cell r="G1822">
            <v>15.15</v>
          </cell>
          <cell r="H1822">
            <v>1.5</v>
          </cell>
        </row>
        <row r="1823">
          <cell r="A1823" t="str">
            <v>6,01,35</v>
          </cell>
          <cell r="B1823" t="str">
            <v>Peón</v>
          </cell>
          <cell r="C1823" t="str">
            <v>HH</v>
          </cell>
          <cell r="D1823">
            <v>1</v>
          </cell>
          <cell r="E1823">
            <v>5.333333333333333</v>
          </cell>
          <cell r="F1823">
            <v>2.3199999999999998</v>
          </cell>
          <cell r="G1823">
            <v>12.37</v>
          </cell>
          <cell r="H1823">
            <v>1.5</v>
          </cell>
        </row>
        <row r="1824">
          <cell r="A1824" t="str">
            <v>6,01,35</v>
          </cell>
          <cell r="B1824" t="str">
            <v>Equipos y/o herramientas</v>
          </cell>
          <cell r="G1824">
            <v>3.85</v>
          </cell>
        </row>
        <row r="1825">
          <cell r="A1825" t="str">
            <v>6,01,35</v>
          </cell>
          <cell r="B1825" t="str">
            <v>Cuerpo de andamio de 2 m</v>
          </cell>
          <cell r="C1825" t="str">
            <v>DIA</v>
          </cell>
          <cell r="D1825">
            <v>1</v>
          </cell>
          <cell r="E1825">
            <v>0.66666666666666663</v>
          </cell>
          <cell r="F1825">
            <v>0.65</v>
          </cell>
          <cell r="G1825">
            <v>0.43</v>
          </cell>
        </row>
        <row r="1826">
          <cell r="A1826" t="str">
            <v>6,01,35</v>
          </cell>
          <cell r="B1826" t="str">
            <v>Escalera</v>
          </cell>
          <cell r="C1826" t="str">
            <v>DIA</v>
          </cell>
          <cell r="D1826">
            <v>1</v>
          </cell>
          <cell r="E1826">
            <v>0.66666666666666663</v>
          </cell>
          <cell r="F1826">
            <v>1</v>
          </cell>
          <cell r="G1826">
            <v>0.67</v>
          </cell>
        </row>
        <row r="1827">
          <cell r="A1827" t="str">
            <v>6,01,35</v>
          </cell>
          <cell r="B1827" t="str">
            <v>Desgaste de herramientas</v>
          </cell>
          <cell r="C1827" t="str">
            <v>%MO</v>
          </cell>
          <cell r="E1827">
            <v>0.1</v>
          </cell>
          <cell r="F1827">
            <v>27.52</v>
          </cell>
          <cell r="G1827">
            <v>2.75</v>
          </cell>
        </row>
        <row r="1828">
          <cell r="A1828" t="str">
            <v>6,01,36</v>
          </cell>
          <cell r="B1828" t="str">
            <v>Suministro e instalacion de braquete especial de 2x36W-TL</v>
          </cell>
          <cell r="F1828" t="str">
            <v>UND</v>
          </cell>
          <cell r="G1828">
            <v>27.65</v>
          </cell>
        </row>
        <row r="1829">
          <cell r="A1829" t="str">
            <v>6,01,36</v>
          </cell>
          <cell r="C1829" t="str">
            <v>und.</v>
          </cell>
          <cell r="D1829" t="str">
            <v>cuad.</v>
          </cell>
          <cell r="E1829" t="str">
            <v>cant.</v>
          </cell>
          <cell r="F1829" t="str">
            <v>prec. $</v>
          </cell>
          <cell r="G1829" t="str">
            <v>parcial $</v>
          </cell>
        </row>
        <row r="1830">
          <cell r="A1830" t="str">
            <v>6,01,36</v>
          </cell>
          <cell r="B1830" t="str">
            <v>Materiales</v>
          </cell>
          <cell r="G1830">
            <v>22.56</v>
          </cell>
        </row>
        <row r="1831">
          <cell r="A1831" t="str">
            <v>6,01,36</v>
          </cell>
          <cell r="B1831" t="str">
            <v>Braquete especial de 2x36W-TL</v>
          </cell>
          <cell r="C1831" t="str">
            <v>und</v>
          </cell>
          <cell r="E1831">
            <v>1</v>
          </cell>
          <cell r="F1831">
            <v>20</v>
          </cell>
          <cell r="G1831">
            <v>20</v>
          </cell>
        </row>
        <row r="1832">
          <cell r="A1832" t="str">
            <v>6,01,36</v>
          </cell>
          <cell r="B1832" t="str">
            <v>Tuberia flexible de PVC de 15 mm</v>
          </cell>
          <cell r="C1832" t="str">
            <v>ml</v>
          </cell>
          <cell r="E1832">
            <v>1</v>
          </cell>
          <cell r="F1832">
            <v>0.63</v>
          </cell>
          <cell r="G1832">
            <v>0.63</v>
          </cell>
        </row>
        <row r="1833">
          <cell r="A1833" t="str">
            <v>6,01,36</v>
          </cell>
          <cell r="B1833" t="str">
            <v>Cable NLT de 3x14 AWG</v>
          </cell>
          <cell r="C1833" t="str">
            <v>ml</v>
          </cell>
          <cell r="E1833">
            <v>1.5</v>
          </cell>
          <cell r="F1833">
            <v>1.02</v>
          </cell>
          <cell r="G1833">
            <v>1.53</v>
          </cell>
        </row>
        <row r="1834">
          <cell r="A1834" t="str">
            <v>6,01,36</v>
          </cell>
          <cell r="B1834" t="str">
            <v>Cinta aislante de 3/4" x 20 m.</v>
          </cell>
          <cell r="C1834" t="str">
            <v>und</v>
          </cell>
          <cell r="E1834">
            <v>0.06</v>
          </cell>
          <cell r="F1834">
            <v>2.5</v>
          </cell>
          <cell r="G1834">
            <v>0.15</v>
          </cell>
        </row>
        <row r="1835">
          <cell r="A1835" t="str">
            <v>6,01,36</v>
          </cell>
          <cell r="B1835" t="str">
            <v>Cinta autovulcanizante de 3/4" x 20 m. 3M</v>
          </cell>
          <cell r="C1835" t="str">
            <v>und</v>
          </cell>
          <cell r="E1835">
            <v>0.04</v>
          </cell>
          <cell r="F1835">
            <v>6.27</v>
          </cell>
          <cell r="G1835">
            <v>0.25</v>
          </cell>
        </row>
        <row r="1836">
          <cell r="A1836" t="str">
            <v>6,01,36</v>
          </cell>
          <cell r="B1836" t="str">
            <v>Mano de obra</v>
          </cell>
          <cell r="G1836">
            <v>4.13</v>
          </cell>
        </row>
        <row r="1837">
          <cell r="A1837" t="str">
            <v>6,01,36</v>
          </cell>
          <cell r="B1837" t="str">
            <v>Operario</v>
          </cell>
          <cell r="C1837" t="str">
            <v>HH</v>
          </cell>
          <cell r="D1837">
            <v>1</v>
          </cell>
          <cell r="E1837">
            <v>0.8</v>
          </cell>
          <cell r="F1837">
            <v>2.84</v>
          </cell>
          <cell r="G1837">
            <v>2.27</v>
          </cell>
          <cell r="H1837">
            <v>10</v>
          </cell>
        </row>
        <row r="1838">
          <cell r="A1838" t="str">
            <v>6,01,36</v>
          </cell>
          <cell r="B1838" t="str">
            <v>Peón</v>
          </cell>
          <cell r="C1838" t="str">
            <v>HH</v>
          </cell>
          <cell r="D1838">
            <v>1</v>
          </cell>
          <cell r="E1838">
            <v>0.8</v>
          </cell>
          <cell r="F1838">
            <v>2.3199999999999998</v>
          </cell>
          <cell r="G1838">
            <v>1.86</v>
          </cell>
          <cell r="H1838">
            <v>10</v>
          </cell>
        </row>
        <row r="1839">
          <cell r="A1839" t="str">
            <v>6,01,36</v>
          </cell>
          <cell r="B1839" t="str">
            <v>Equipos</v>
          </cell>
          <cell r="G1839">
            <v>0.96</v>
          </cell>
        </row>
        <row r="1840">
          <cell r="A1840" t="str">
            <v>6,01,36</v>
          </cell>
          <cell r="B1840" t="str">
            <v>Escalera</v>
          </cell>
          <cell r="C1840" t="str">
            <v>DIA</v>
          </cell>
          <cell r="D1840">
            <v>1</v>
          </cell>
          <cell r="E1840">
            <v>0.1</v>
          </cell>
          <cell r="F1840">
            <v>1</v>
          </cell>
          <cell r="G1840">
            <v>0.1</v>
          </cell>
        </row>
        <row r="1841">
          <cell r="A1841" t="str">
            <v>6,01,36</v>
          </cell>
          <cell r="B1841" t="str">
            <v>Pistolade disparo Hilti</v>
          </cell>
          <cell r="C1841" t="str">
            <v>DIA</v>
          </cell>
          <cell r="D1841">
            <v>1</v>
          </cell>
          <cell r="E1841">
            <v>0.1</v>
          </cell>
          <cell r="F1841">
            <v>6.5</v>
          </cell>
          <cell r="G1841">
            <v>0.65</v>
          </cell>
        </row>
        <row r="1842">
          <cell r="A1842" t="str">
            <v>6,01,36</v>
          </cell>
          <cell r="B1842" t="str">
            <v>Desgaste de herramientas</v>
          </cell>
          <cell r="C1842" t="str">
            <v>%MO</v>
          </cell>
          <cell r="E1842">
            <v>0.05</v>
          </cell>
          <cell r="F1842">
            <v>4.13</v>
          </cell>
          <cell r="G1842">
            <v>0.21</v>
          </cell>
        </row>
        <row r="1843">
          <cell r="A1843" t="str">
            <v>6,01,37</v>
          </cell>
          <cell r="B1843" t="str">
            <v>Reubicación de artefactos en sala Branstoming</v>
          </cell>
          <cell r="F1843" t="str">
            <v>UND</v>
          </cell>
          <cell r="G1843">
            <v>4.47</v>
          </cell>
        </row>
        <row r="1844">
          <cell r="A1844" t="str">
            <v>6,01,37</v>
          </cell>
          <cell r="C1844" t="str">
            <v>und.</v>
          </cell>
          <cell r="D1844" t="str">
            <v>cuad.</v>
          </cell>
          <cell r="E1844" t="str">
            <v>cant.</v>
          </cell>
          <cell r="F1844" t="str">
            <v>prec. $</v>
          </cell>
          <cell r="G1844" t="str">
            <v>parcial $</v>
          </cell>
        </row>
        <row r="1845">
          <cell r="A1845" t="str">
            <v>6,01,37</v>
          </cell>
          <cell r="B1845" t="str">
            <v>Materiales</v>
          </cell>
          <cell r="G1845">
            <v>1.08</v>
          </cell>
        </row>
        <row r="1846">
          <cell r="A1846" t="str">
            <v>6,01,37</v>
          </cell>
          <cell r="B1846" t="str">
            <v>Clavo hilti X-DW 27 MX + fulminante</v>
          </cell>
          <cell r="C1846" t="str">
            <v>und</v>
          </cell>
          <cell r="E1846">
            <v>4</v>
          </cell>
          <cell r="F1846">
            <v>0.27</v>
          </cell>
          <cell r="G1846">
            <v>1.08</v>
          </cell>
        </row>
        <row r="1847">
          <cell r="A1847" t="str">
            <v>6,01,37</v>
          </cell>
          <cell r="B1847" t="str">
            <v>Mano de obra</v>
          </cell>
          <cell r="G1847">
            <v>2.75</v>
          </cell>
        </row>
        <row r="1848">
          <cell r="A1848" t="str">
            <v>6,01,37</v>
          </cell>
          <cell r="B1848" t="str">
            <v>Operario</v>
          </cell>
          <cell r="C1848" t="str">
            <v>HH</v>
          </cell>
          <cell r="D1848">
            <v>1</v>
          </cell>
          <cell r="E1848">
            <v>0.53333333333333333</v>
          </cell>
          <cell r="F1848">
            <v>2.84</v>
          </cell>
          <cell r="G1848">
            <v>1.51</v>
          </cell>
          <cell r="H1848">
            <v>15</v>
          </cell>
        </row>
        <row r="1849">
          <cell r="A1849" t="str">
            <v>6,01,37</v>
          </cell>
          <cell r="B1849" t="str">
            <v>Peón</v>
          </cell>
          <cell r="C1849" t="str">
            <v>HH</v>
          </cell>
          <cell r="D1849">
            <v>1</v>
          </cell>
          <cell r="E1849">
            <v>0.53333333333333333</v>
          </cell>
          <cell r="F1849">
            <v>2.3199999999999998</v>
          </cell>
          <cell r="G1849">
            <v>1.24</v>
          </cell>
          <cell r="H1849">
            <v>15</v>
          </cell>
        </row>
        <row r="1850">
          <cell r="A1850" t="str">
            <v>6,01,37</v>
          </cell>
          <cell r="B1850" t="str">
            <v>Equipos</v>
          </cell>
          <cell r="G1850">
            <v>0.64</v>
          </cell>
        </row>
        <row r="1851">
          <cell r="A1851" t="str">
            <v>6,01,37</v>
          </cell>
          <cell r="B1851" t="str">
            <v>Escalera</v>
          </cell>
          <cell r="C1851" t="str">
            <v>DIA</v>
          </cell>
          <cell r="D1851">
            <v>1</v>
          </cell>
          <cell r="E1851">
            <v>6.6666666666666666E-2</v>
          </cell>
          <cell r="F1851">
            <v>1</v>
          </cell>
          <cell r="G1851">
            <v>7.0000000000000007E-2</v>
          </cell>
        </row>
        <row r="1852">
          <cell r="A1852" t="str">
            <v>6,01,37</v>
          </cell>
          <cell r="B1852" t="str">
            <v>Pistolade disparo Hilti</v>
          </cell>
          <cell r="C1852" t="str">
            <v>DIA</v>
          </cell>
          <cell r="D1852">
            <v>1</v>
          </cell>
          <cell r="E1852">
            <v>6.6666666666666666E-2</v>
          </cell>
          <cell r="F1852">
            <v>6.5</v>
          </cell>
          <cell r="G1852">
            <v>0.43</v>
          </cell>
        </row>
        <row r="1853">
          <cell r="A1853" t="str">
            <v>6,01,37</v>
          </cell>
          <cell r="B1853" t="str">
            <v>Desgaste de herramientas</v>
          </cell>
          <cell r="C1853" t="str">
            <v>%MO</v>
          </cell>
          <cell r="E1853">
            <v>0.05</v>
          </cell>
          <cell r="F1853">
            <v>2.75</v>
          </cell>
          <cell r="G1853">
            <v>0.14000000000000001</v>
          </cell>
        </row>
        <row r="1854">
          <cell r="A1854" t="str">
            <v>6,01,38</v>
          </cell>
          <cell r="B1854" t="str">
            <v>Cambio de soporte de placas electricas</v>
          </cell>
          <cell r="F1854" t="str">
            <v>UND</v>
          </cell>
          <cell r="G1854">
            <v>7.39</v>
          </cell>
        </row>
        <row r="1855">
          <cell r="A1855" t="str">
            <v>6,01,38</v>
          </cell>
          <cell r="C1855" t="str">
            <v>und.</v>
          </cell>
          <cell r="D1855" t="str">
            <v>cuad.</v>
          </cell>
          <cell r="E1855" t="str">
            <v>cant.</v>
          </cell>
          <cell r="F1855" t="str">
            <v>prec. $</v>
          </cell>
          <cell r="G1855" t="str">
            <v>parcial $</v>
          </cell>
        </row>
        <row r="1856">
          <cell r="A1856" t="str">
            <v>6,01,38</v>
          </cell>
          <cell r="B1856" t="str">
            <v>Materiales</v>
          </cell>
          <cell r="G1856">
            <v>0</v>
          </cell>
        </row>
        <row r="1857">
          <cell r="A1857" t="str">
            <v>6,01,38</v>
          </cell>
          <cell r="G1857">
            <v>0</v>
          </cell>
        </row>
        <row r="1858">
          <cell r="A1858" t="str">
            <v>6,01,38</v>
          </cell>
          <cell r="B1858" t="str">
            <v>Mano de obra</v>
          </cell>
          <cell r="G1858">
            <v>6.88</v>
          </cell>
        </row>
        <row r="1859">
          <cell r="A1859" t="str">
            <v>6,01,38</v>
          </cell>
          <cell r="B1859" t="str">
            <v>Operario</v>
          </cell>
          <cell r="C1859" t="str">
            <v>HH</v>
          </cell>
          <cell r="D1859">
            <v>1</v>
          </cell>
          <cell r="E1859">
            <v>1.3333333333333333</v>
          </cell>
          <cell r="F1859">
            <v>2.84</v>
          </cell>
          <cell r="G1859">
            <v>3.79</v>
          </cell>
          <cell r="H1859">
            <v>6</v>
          </cell>
        </row>
        <row r="1860">
          <cell r="A1860" t="str">
            <v>6,01,38</v>
          </cell>
          <cell r="B1860" t="str">
            <v>Peón</v>
          </cell>
          <cell r="C1860" t="str">
            <v>HH</v>
          </cell>
          <cell r="D1860">
            <v>1</v>
          </cell>
          <cell r="E1860">
            <v>1.3333333333333333</v>
          </cell>
          <cell r="F1860">
            <v>2.3199999999999998</v>
          </cell>
          <cell r="G1860">
            <v>3.09</v>
          </cell>
          <cell r="H1860">
            <v>6</v>
          </cell>
        </row>
        <row r="1861">
          <cell r="A1861" t="str">
            <v>6,01,38</v>
          </cell>
          <cell r="B1861" t="str">
            <v>Equipos</v>
          </cell>
          <cell r="G1861">
            <v>0.51</v>
          </cell>
        </row>
        <row r="1862">
          <cell r="A1862" t="str">
            <v>6,01,38</v>
          </cell>
          <cell r="B1862" t="str">
            <v>Escalera</v>
          </cell>
          <cell r="C1862" t="str">
            <v>DIA</v>
          </cell>
          <cell r="D1862">
            <v>1</v>
          </cell>
          <cell r="E1862">
            <v>0.16666666666666666</v>
          </cell>
          <cell r="F1862">
            <v>1</v>
          </cell>
          <cell r="G1862">
            <v>0.17</v>
          </cell>
        </row>
        <row r="1863">
          <cell r="A1863" t="str">
            <v>6,01,38</v>
          </cell>
          <cell r="B1863" t="str">
            <v>Desgaste de herramientas</v>
          </cell>
          <cell r="C1863" t="str">
            <v>%MO</v>
          </cell>
          <cell r="E1863">
            <v>0.05</v>
          </cell>
          <cell r="F1863">
            <v>6.88</v>
          </cell>
          <cell r="G1863">
            <v>0.34</v>
          </cell>
        </row>
        <row r="1864">
          <cell r="A1864" t="str">
            <v>6,01,39</v>
          </cell>
          <cell r="B1864" t="str">
            <v>Suministro e instalacion de placas metalicas para caja especial chata</v>
          </cell>
          <cell r="F1864" t="str">
            <v>UND</v>
          </cell>
          <cell r="G1864">
            <v>18.39</v>
          </cell>
        </row>
        <row r="1865">
          <cell r="A1865" t="str">
            <v>6,01,39</v>
          </cell>
          <cell r="C1865" t="str">
            <v>und.</v>
          </cell>
          <cell r="D1865" t="str">
            <v>cuad.</v>
          </cell>
          <cell r="E1865" t="str">
            <v>cant.</v>
          </cell>
          <cell r="F1865" t="str">
            <v>prec. $</v>
          </cell>
          <cell r="G1865" t="str">
            <v>parcial $</v>
          </cell>
        </row>
        <row r="1866">
          <cell r="A1866" t="str">
            <v>6,01,39</v>
          </cell>
          <cell r="B1866" t="str">
            <v>Materiales</v>
          </cell>
          <cell r="G1866">
            <v>15.5</v>
          </cell>
        </row>
        <row r="1867">
          <cell r="A1867" t="str">
            <v>6,01,39</v>
          </cell>
          <cell r="B1867" t="str">
            <v>Insertos metalico panduit para caja alta</v>
          </cell>
          <cell r="C1867" t="str">
            <v>und</v>
          </cell>
          <cell r="E1867">
            <v>1</v>
          </cell>
          <cell r="F1867">
            <v>15.5</v>
          </cell>
          <cell r="G1867">
            <v>15.5</v>
          </cell>
        </row>
        <row r="1868">
          <cell r="A1868" t="str">
            <v>6,01,39</v>
          </cell>
          <cell r="B1868" t="str">
            <v>Mano de obra</v>
          </cell>
          <cell r="G1868">
            <v>2.75</v>
          </cell>
        </row>
        <row r="1869">
          <cell r="A1869" t="str">
            <v>6,01,39</v>
          </cell>
          <cell r="B1869" t="str">
            <v>Operario</v>
          </cell>
          <cell r="C1869" t="str">
            <v>HH</v>
          </cell>
          <cell r="D1869">
            <v>1</v>
          </cell>
          <cell r="E1869">
            <v>0.53333333333333333</v>
          </cell>
          <cell r="F1869">
            <v>2.84</v>
          </cell>
          <cell r="G1869">
            <v>1.51</v>
          </cell>
          <cell r="H1869">
            <v>15</v>
          </cell>
        </row>
        <row r="1870">
          <cell r="A1870" t="str">
            <v>6,01,39</v>
          </cell>
          <cell r="B1870" t="str">
            <v>Peón</v>
          </cell>
          <cell r="C1870" t="str">
            <v>HH</v>
          </cell>
          <cell r="D1870">
            <v>1</v>
          </cell>
          <cell r="E1870">
            <v>0.53333333333333333</v>
          </cell>
          <cell r="F1870">
            <v>2.3199999999999998</v>
          </cell>
          <cell r="G1870">
            <v>1.24</v>
          </cell>
          <cell r="H1870">
            <v>15</v>
          </cell>
        </row>
        <row r="1871">
          <cell r="A1871" t="str">
            <v>6,01,39</v>
          </cell>
          <cell r="B1871" t="str">
            <v>Equipos</v>
          </cell>
          <cell r="G1871">
            <v>0.14000000000000001</v>
          </cell>
        </row>
        <row r="1872">
          <cell r="A1872" t="str">
            <v>6,01,39</v>
          </cell>
          <cell r="B1872" t="str">
            <v>Desgaste de herramientas</v>
          </cell>
          <cell r="C1872" t="str">
            <v>%MO</v>
          </cell>
          <cell r="E1872">
            <v>0.05</v>
          </cell>
          <cell r="F1872">
            <v>2.75</v>
          </cell>
          <cell r="G1872">
            <v>0.14000000000000001</v>
          </cell>
        </row>
        <row r="1873">
          <cell r="A1873" t="str">
            <v>6,01,40</v>
          </cell>
          <cell r="B1873" t="str">
            <v>Suministro e instalacion de placas metalicas para caja especial alta</v>
          </cell>
          <cell r="F1873" t="str">
            <v>UND</v>
          </cell>
          <cell r="G1873">
            <v>32.89</v>
          </cell>
        </row>
        <row r="1874">
          <cell r="A1874" t="str">
            <v>6,01,40</v>
          </cell>
          <cell r="C1874" t="str">
            <v>und.</v>
          </cell>
          <cell r="D1874" t="str">
            <v>cuad.</v>
          </cell>
          <cell r="E1874" t="str">
            <v>cant.</v>
          </cell>
          <cell r="F1874" t="str">
            <v>prec. $</v>
          </cell>
          <cell r="G1874" t="str">
            <v>parcial $</v>
          </cell>
        </row>
        <row r="1875">
          <cell r="A1875" t="str">
            <v>6,01,40</v>
          </cell>
          <cell r="B1875" t="str">
            <v>Materiales</v>
          </cell>
          <cell r="G1875">
            <v>30</v>
          </cell>
        </row>
        <row r="1876">
          <cell r="A1876" t="str">
            <v>6,01,40</v>
          </cell>
          <cell r="B1876" t="str">
            <v>Insertos metalico panduit para caja chata</v>
          </cell>
          <cell r="C1876" t="str">
            <v>und</v>
          </cell>
          <cell r="E1876">
            <v>1</v>
          </cell>
          <cell r="F1876">
            <v>30</v>
          </cell>
          <cell r="G1876">
            <v>30</v>
          </cell>
        </row>
        <row r="1877">
          <cell r="A1877" t="str">
            <v>6,01,40</v>
          </cell>
          <cell r="B1877" t="str">
            <v>Mano de obra</v>
          </cell>
          <cell r="G1877">
            <v>2.75</v>
          </cell>
        </row>
        <row r="1878">
          <cell r="A1878" t="str">
            <v>6,01,40</v>
          </cell>
          <cell r="B1878" t="str">
            <v>Operario</v>
          </cell>
          <cell r="C1878" t="str">
            <v>HH</v>
          </cell>
          <cell r="D1878">
            <v>1</v>
          </cell>
          <cell r="E1878">
            <v>0.53333333333333333</v>
          </cell>
          <cell r="F1878">
            <v>2.84</v>
          </cell>
          <cell r="G1878">
            <v>1.51</v>
          </cell>
          <cell r="H1878">
            <v>15</v>
          </cell>
        </row>
        <row r="1879">
          <cell r="A1879" t="str">
            <v>6,01,40</v>
          </cell>
          <cell r="B1879" t="str">
            <v>Peón</v>
          </cell>
          <cell r="C1879" t="str">
            <v>HH</v>
          </cell>
          <cell r="D1879">
            <v>1</v>
          </cell>
          <cell r="E1879">
            <v>0.53333333333333333</v>
          </cell>
          <cell r="F1879">
            <v>2.3199999999999998</v>
          </cell>
          <cell r="G1879">
            <v>1.24</v>
          </cell>
          <cell r="H1879">
            <v>15</v>
          </cell>
        </row>
        <row r="1880">
          <cell r="A1880" t="str">
            <v>6,01,40</v>
          </cell>
          <cell r="B1880" t="str">
            <v>Equipos</v>
          </cell>
          <cell r="G1880">
            <v>0.14000000000000001</v>
          </cell>
        </row>
        <row r="1881">
          <cell r="A1881" t="str">
            <v>6,01,40</v>
          </cell>
          <cell r="B1881" t="str">
            <v>Desgaste de herramientas</v>
          </cell>
          <cell r="C1881" t="str">
            <v>%MO</v>
          </cell>
          <cell r="E1881">
            <v>0.05</v>
          </cell>
          <cell r="F1881">
            <v>2.75</v>
          </cell>
          <cell r="G1881">
            <v>0.14000000000000001</v>
          </cell>
        </row>
        <row r="1882">
          <cell r="A1882" t="str">
            <v>6,01,43</v>
          </cell>
          <cell r="B1882" t="str">
            <v>Desmontaje y montage de aparatos de iluminacion en pasadizo y S.S. H.H. Existentes</v>
          </cell>
          <cell r="F1882" t="str">
            <v>UND</v>
          </cell>
          <cell r="G1882">
            <v>12.51</v>
          </cell>
        </row>
        <row r="1883">
          <cell r="A1883" t="str">
            <v>6,01,43</v>
          </cell>
          <cell r="C1883" t="str">
            <v>und.</v>
          </cell>
          <cell r="D1883" t="str">
            <v>cuad.</v>
          </cell>
          <cell r="E1883" t="str">
            <v>cant.</v>
          </cell>
          <cell r="F1883" t="str">
            <v>prec. $</v>
          </cell>
          <cell r="G1883" t="str">
            <v>parcial $</v>
          </cell>
        </row>
        <row r="1884">
          <cell r="A1884" t="str">
            <v>6,01,43</v>
          </cell>
          <cell r="B1884" t="str">
            <v>Materiales</v>
          </cell>
          <cell r="G1884">
            <v>4.6000000000000005</v>
          </cell>
        </row>
        <row r="1885">
          <cell r="A1885" t="str">
            <v>6,01,43</v>
          </cell>
          <cell r="B1885" t="str">
            <v>Clavo hilti X-DW 27 MX + fulminante</v>
          </cell>
          <cell r="C1885" t="str">
            <v>und</v>
          </cell>
          <cell r="E1885">
            <v>4</v>
          </cell>
          <cell r="F1885">
            <v>0.27</v>
          </cell>
          <cell r="G1885">
            <v>1.08</v>
          </cell>
        </row>
        <row r="1886">
          <cell r="A1886" t="str">
            <v>6,01,43</v>
          </cell>
          <cell r="B1886" t="str">
            <v>Alambre galvanizado N° 16 AWG</v>
          </cell>
          <cell r="C1886" t="str">
            <v>ml</v>
          </cell>
          <cell r="E1886">
            <v>2.4</v>
          </cell>
          <cell r="F1886">
            <v>0.13</v>
          </cell>
          <cell r="G1886">
            <v>0.31</v>
          </cell>
        </row>
        <row r="1887">
          <cell r="A1887" t="str">
            <v>6,01,43</v>
          </cell>
          <cell r="B1887" t="str">
            <v>Tapa ciega Octogonal de F°G°</v>
          </cell>
          <cell r="C1887" t="str">
            <v>und</v>
          </cell>
          <cell r="E1887">
            <v>1</v>
          </cell>
          <cell r="F1887">
            <v>0.45</v>
          </cell>
          <cell r="G1887">
            <v>0.45</v>
          </cell>
        </row>
        <row r="1888">
          <cell r="A1888" t="str">
            <v>6,01,43</v>
          </cell>
          <cell r="B1888" t="str">
            <v>Tuberia flexible de PVC de 15 mm</v>
          </cell>
          <cell r="C1888" t="str">
            <v>ml</v>
          </cell>
          <cell r="E1888">
            <v>1</v>
          </cell>
          <cell r="F1888">
            <v>0.63</v>
          </cell>
          <cell r="G1888">
            <v>0.63</v>
          </cell>
        </row>
        <row r="1889">
          <cell r="A1889" t="str">
            <v>6,01,43</v>
          </cell>
          <cell r="B1889" t="str">
            <v>Conector de PVC para tuberia flexible de 15mm</v>
          </cell>
          <cell r="C1889" t="str">
            <v>und</v>
          </cell>
          <cell r="E1889">
            <v>1</v>
          </cell>
          <cell r="F1889">
            <v>0.98</v>
          </cell>
          <cell r="G1889">
            <v>0.98</v>
          </cell>
        </row>
        <row r="1890">
          <cell r="A1890" t="str">
            <v>6,01,43</v>
          </cell>
          <cell r="B1890" t="str">
            <v>Cable de 2.5 THW</v>
          </cell>
          <cell r="C1890" t="str">
            <v>ml</v>
          </cell>
          <cell r="E1890">
            <v>3.6</v>
          </cell>
          <cell r="F1890">
            <v>0.20799999999999999</v>
          </cell>
          <cell r="G1890">
            <v>0.75</v>
          </cell>
        </row>
        <row r="1891">
          <cell r="A1891" t="str">
            <v>6,01,43</v>
          </cell>
          <cell r="B1891" t="str">
            <v>Cinta aislante de 3/4" x 20 m.</v>
          </cell>
          <cell r="C1891" t="str">
            <v>und</v>
          </cell>
          <cell r="E1891">
            <v>0.06</v>
          </cell>
          <cell r="F1891">
            <v>2.5</v>
          </cell>
          <cell r="G1891">
            <v>0.15</v>
          </cell>
        </row>
        <row r="1892">
          <cell r="A1892" t="str">
            <v>6,01,43</v>
          </cell>
          <cell r="B1892" t="str">
            <v>Cinta autovulcanizante de 3/4" x 20 m. 3M</v>
          </cell>
          <cell r="C1892" t="str">
            <v>und</v>
          </cell>
          <cell r="E1892">
            <v>0.04</v>
          </cell>
          <cell r="F1892">
            <v>6.27</v>
          </cell>
          <cell r="G1892">
            <v>0.25</v>
          </cell>
        </row>
        <row r="1893">
          <cell r="A1893" t="str">
            <v>6,01,43</v>
          </cell>
          <cell r="B1893" t="str">
            <v>Mano de obra</v>
          </cell>
          <cell r="G1893">
            <v>6.88</v>
          </cell>
        </row>
        <row r="1894">
          <cell r="A1894" t="str">
            <v>6,01,43</v>
          </cell>
          <cell r="B1894" t="str">
            <v>Operario</v>
          </cell>
          <cell r="C1894" t="str">
            <v>HH</v>
          </cell>
          <cell r="D1894">
            <v>1</v>
          </cell>
          <cell r="E1894">
            <v>1.3333333333333333</v>
          </cell>
          <cell r="F1894">
            <v>2.84</v>
          </cell>
          <cell r="G1894">
            <v>3.79</v>
          </cell>
          <cell r="H1894">
            <v>6</v>
          </cell>
        </row>
        <row r="1895">
          <cell r="A1895" t="str">
            <v>6,01,43</v>
          </cell>
          <cell r="B1895" t="str">
            <v>Peón</v>
          </cell>
          <cell r="C1895" t="str">
            <v>HH</v>
          </cell>
          <cell r="D1895">
            <v>1</v>
          </cell>
          <cell r="E1895">
            <v>1.3333333333333333</v>
          </cell>
          <cell r="F1895">
            <v>2.3199999999999998</v>
          </cell>
          <cell r="G1895">
            <v>3.09</v>
          </cell>
          <cell r="H1895">
            <v>6</v>
          </cell>
        </row>
        <row r="1896">
          <cell r="A1896" t="str">
            <v>6,01,43</v>
          </cell>
          <cell r="B1896" t="str">
            <v>Equipos</v>
          </cell>
          <cell r="G1896">
            <v>1.03</v>
          </cell>
        </row>
        <row r="1897">
          <cell r="A1897" t="str">
            <v>6,01,43</v>
          </cell>
          <cell r="B1897" t="str">
            <v>Escalera</v>
          </cell>
          <cell r="C1897" t="str">
            <v>DIA</v>
          </cell>
          <cell r="D1897">
            <v>1</v>
          </cell>
          <cell r="E1897">
            <v>0.16666666666666666</v>
          </cell>
          <cell r="F1897">
            <v>1</v>
          </cell>
          <cell r="G1897">
            <v>0.17</v>
          </cell>
        </row>
        <row r="1898">
          <cell r="A1898" t="str">
            <v>6,01,43</v>
          </cell>
          <cell r="B1898" t="str">
            <v>Pistolade disparo Hilti</v>
          </cell>
          <cell r="C1898" t="str">
            <v>DIA</v>
          </cell>
          <cell r="D1898">
            <v>1</v>
          </cell>
          <cell r="E1898">
            <v>8.0333333333333326E-2</v>
          </cell>
          <cell r="F1898">
            <v>6.5</v>
          </cell>
          <cell r="G1898">
            <v>0.52</v>
          </cell>
        </row>
        <row r="1899">
          <cell r="A1899" t="str">
            <v>6,01,43</v>
          </cell>
          <cell r="B1899" t="str">
            <v>Desgaste de herramientas</v>
          </cell>
          <cell r="C1899" t="str">
            <v>%MO</v>
          </cell>
          <cell r="E1899">
            <v>0.05</v>
          </cell>
          <cell r="F1899">
            <v>6.88</v>
          </cell>
          <cell r="G1899">
            <v>0.34</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ficinas"/>
      <sheetName val="Almacenes"/>
      <sheetName val="Exteriores"/>
      <sheetName val="PresupuestoGeneral"/>
      <sheetName val="ANA"/>
    </sheetNames>
    <sheetDataSet>
      <sheetData sheetId="0" refreshError="1"/>
      <sheetData sheetId="1" refreshError="1"/>
      <sheetData sheetId="2" refreshError="1"/>
      <sheetData sheetId="3" refreshError="1"/>
      <sheetData sheetId="4" refreshError="1">
        <row r="6">
          <cell r="A6" t="str">
            <v>ITEM</v>
          </cell>
          <cell r="B6" t="str">
            <v>DESCRIPCION</v>
          </cell>
          <cell r="C6" t="str">
            <v>UND.</v>
          </cell>
          <cell r="D6" t="str">
            <v>CUAD.</v>
          </cell>
          <cell r="E6" t="str">
            <v>CANT.</v>
          </cell>
          <cell r="F6" t="str">
            <v xml:space="preserve">PREC. </v>
          </cell>
          <cell r="G6" t="str">
            <v>PAR.</v>
          </cell>
          <cell r="H6" t="str">
            <v>REND.</v>
          </cell>
          <cell r="I6" t="str">
            <v>ORD.</v>
          </cell>
        </row>
        <row r="7">
          <cell r="A7" t="str">
            <v>1,01,01</v>
          </cell>
          <cell r="B7" t="str">
            <v xml:space="preserve">Tubería de PVC SAP de 35 mm Ø </v>
          </cell>
          <cell r="F7" t="str">
            <v>( ml )</v>
          </cell>
          <cell r="G7">
            <v>11.98</v>
          </cell>
          <cell r="I7" t="str">
            <v>1,01,01</v>
          </cell>
        </row>
        <row r="8">
          <cell r="A8" t="str">
            <v>1,01,01</v>
          </cell>
          <cell r="C8" t="str">
            <v>und.</v>
          </cell>
          <cell r="D8" t="str">
            <v>cuad.</v>
          </cell>
          <cell r="E8" t="str">
            <v>cant.</v>
          </cell>
          <cell r="F8" t="str">
            <v>prec. $</v>
          </cell>
          <cell r="G8" t="str">
            <v>parcial $</v>
          </cell>
        </row>
        <row r="9">
          <cell r="A9" t="str">
            <v>1,01,01</v>
          </cell>
          <cell r="B9" t="str">
            <v>Materiales</v>
          </cell>
          <cell r="G9">
            <v>4.0999999999999996</v>
          </cell>
        </row>
        <row r="10">
          <cell r="A10" t="str">
            <v>1,01,01</v>
          </cell>
          <cell r="B10" t="str">
            <v>Tubería PVC SAP de 35 mm</v>
          </cell>
          <cell r="C10" t="str">
            <v>ml</v>
          </cell>
          <cell r="E10">
            <v>1.02</v>
          </cell>
          <cell r="F10">
            <v>0.87</v>
          </cell>
          <cell r="G10">
            <v>0.89</v>
          </cell>
        </row>
        <row r="11">
          <cell r="A11" t="str">
            <v>1,01,01</v>
          </cell>
          <cell r="B11" t="str">
            <v>Curva PVC SAP de 35 mm</v>
          </cell>
          <cell r="C11" t="str">
            <v>und</v>
          </cell>
          <cell r="E11">
            <v>0.4</v>
          </cell>
          <cell r="F11">
            <v>1.39</v>
          </cell>
          <cell r="G11">
            <v>0.56000000000000005</v>
          </cell>
        </row>
        <row r="12">
          <cell r="A12" t="str">
            <v>1,01,01</v>
          </cell>
          <cell r="B12" t="str">
            <v>Unión PVC SAP de 35 mm</v>
          </cell>
          <cell r="C12" t="str">
            <v>und</v>
          </cell>
          <cell r="E12">
            <v>0.8</v>
          </cell>
          <cell r="F12">
            <v>0.53</v>
          </cell>
          <cell r="G12">
            <v>0.42</v>
          </cell>
        </row>
        <row r="13">
          <cell r="A13" t="str">
            <v>1,01,01</v>
          </cell>
          <cell r="B13" t="str">
            <v>Conexión PVC SAP de 35 mm</v>
          </cell>
          <cell r="C13" t="str">
            <v>und</v>
          </cell>
          <cell r="E13">
            <v>0.8</v>
          </cell>
          <cell r="F13">
            <v>0.31</v>
          </cell>
          <cell r="G13">
            <v>0.25</v>
          </cell>
        </row>
        <row r="14">
          <cell r="A14" t="str">
            <v>1,01,01</v>
          </cell>
          <cell r="B14" t="str">
            <v>Pegamento PVC de 1/4 de galón</v>
          </cell>
          <cell r="C14" t="str">
            <v>und</v>
          </cell>
          <cell r="E14">
            <v>0.01</v>
          </cell>
          <cell r="F14">
            <v>6.3959999999999999</v>
          </cell>
          <cell r="G14">
            <v>0.06</v>
          </cell>
        </row>
        <row r="15">
          <cell r="A15" t="str">
            <v>1,01,01</v>
          </cell>
          <cell r="B15" t="str">
            <v>Agregado fino + agregado grueso + aglomerante</v>
          </cell>
          <cell r="C15" t="str">
            <v>GLB</v>
          </cell>
          <cell r="E15">
            <v>1</v>
          </cell>
          <cell r="F15">
            <v>1.92</v>
          </cell>
          <cell r="G15">
            <v>1.92</v>
          </cell>
        </row>
        <row r="16">
          <cell r="A16" t="str">
            <v>1,01,01</v>
          </cell>
          <cell r="B16" t="str">
            <v>Tarugo plastico verde de 1/4</v>
          </cell>
          <cell r="C16" t="str">
            <v>und</v>
          </cell>
          <cell r="F16">
            <v>0.115</v>
          </cell>
          <cell r="G16">
            <v>0</v>
          </cell>
        </row>
        <row r="17">
          <cell r="A17" t="str">
            <v>1,01,01</v>
          </cell>
          <cell r="B17" t="str">
            <v>Tornillo autoroscante de 8x1"</v>
          </cell>
          <cell r="C17" t="str">
            <v>und</v>
          </cell>
          <cell r="F17">
            <v>4.2000000000000003E-2</v>
          </cell>
          <cell r="G17">
            <v>0</v>
          </cell>
        </row>
        <row r="18">
          <cell r="A18" t="str">
            <v>1,01,01</v>
          </cell>
          <cell r="B18" t="str">
            <v>Mano de obra</v>
          </cell>
          <cell r="G18">
            <v>7.5</v>
          </cell>
        </row>
        <row r="19">
          <cell r="A19" t="str">
            <v>1,01,01</v>
          </cell>
          <cell r="B19" t="str">
            <v>Operario</v>
          </cell>
          <cell r="C19" t="str">
            <v>HH</v>
          </cell>
          <cell r="D19">
            <v>2</v>
          </cell>
          <cell r="E19">
            <v>0.72727272727272729</v>
          </cell>
          <cell r="F19">
            <v>2.84</v>
          </cell>
          <cell r="G19">
            <v>4.13</v>
          </cell>
          <cell r="H19">
            <v>11</v>
          </cell>
        </row>
        <row r="20">
          <cell r="A20" t="str">
            <v>1,01,01</v>
          </cell>
          <cell r="B20" t="str">
            <v>Peón</v>
          </cell>
          <cell r="C20" t="str">
            <v>HH</v>
          </cell>
          <cell r="D20">
            <v>2</v>
          </cell>
          <cell r="E20">
            <v>0.72727272727272729</v>
          </cell>
          <cell r="F20">
            <v>2.3199999999999998</v>
          </cell>
          <cell r="G20">
            <v>3.37</v>
          </cell>
          <cell r="H20">
            <v>11</v>
          </cell>
        </row>
        <row r="21">
          <cell r="A21" t="str">
            <v>1,01,01</v>
          </cell>
          <cell r="B21" t="str">
            <v>Equipos y/o herramientas</v>
          </cell>
          <cell r="G21">
            <v>0.38</v>
          </cell>
        </row>
        <row r="22">
          <cell r="A22" t="str">
            <v>1,01,01</v>
          </cell>
          <cell r="B22" t="str">
            <v>Escalera</v>
          </cell>
          <cell r="C22" t="str">
            <v>DIA</v>
          </cell>
          <cell r="E22">
            <v>9.0909090909090912E-2</v>
          </cell>
          <cell r="F22">
            <v>1</v>
          </cell>
          <cell r="G22">
            <v>0</v>
          </cell>
        </row>
        <row r="23">
          <cell r="A23" t="str">
            <v>1,01,01</v>
          </cell>
          <cell r="B23" t="str">
            <v>Taladro Hilti</v>
          </cell>
          <cell r="C23" t="str">
            <v>DIA</v>
          </cell>
          <cell r="E23">
            <v>9.0909090909090912E-2</v>
          </cell>
          <cell r="F23">
            <v>6.5</v>
          </cell>
          <cell r="G23">
            <v>0</v>
          </cell>
        </row>
        <row r="24">
          <cell r="A24" t="str">
            <v>1,01,01</v>
          </cell>
          <cell r="B24" t="str">
            <v>Desgaste de herramientas</v>
          </cell>
          <cell r="C24" t="str">
            <v>%MO</v>
          </cell>
          <cell r="E24">
            <v>0.05</v>
          </cell>
          <cell r="F24">
            <v>7.5</v>
          </cell>
          <cell r="G24">
            <v>0.38</v>
          </cell>
        </row>
        <row r="25">
          <cell r="A25" t="str">
            <v>1,02,01</v>
          </cell>
          <cell r="B25" t="str">
            <v>Caja F°G° 100x100x50 mm energia</v>
          </cell>
          <cell r="F25" t="str">
            <v>( und )</v>
          </cell>
          <cell r="G25">
            <v>4.58</v>
          </cell>
          <cell r="I25" t="str">
            <v>1,02,01</v>
          </cell>
        </row>
        <row r="26">
          <cell r="A26" t="str">
            <v>1,02,01</v>
          </cell>
          <cell r="C26" t="str">
            <v>und.</v>
          </cell>
          <cell r="D26" t="str">
            <v>cuad.</v>
          </cell>
          <cell r="E26" t="str">
            <v>cant.</v>
          </cell>
          <cell r="F26" t="str">
            <v>prec. $</v>
          </cell>
          <cell r="G26" t="str">
            <v>parcial $</v>
          </cell>
        </row>
        <row r="27">
          <cell r="A27" t="str">
            <v>1,02,01</v>
          </cell>
          <cell r="B27" t="str">
            <v>Materiales</v>
          </cell>
          <cell r="G27">
            <v>2.0299999999999998</v>
          </cell>
        </row>
        <row r="28">
          <cell r="A28" t="str">
            <v>1,02,01</v>
          </cell>
          <cell r="B28" t="str">
            <v>Caja cuadrada de 100x100x50 mm</v>
          </cell>
          <cell r="C28" t="str">
            <v>und</v>
          </cell>
          <cell r="E28">
            <v>1</v>
          </cell>
          <cell r="F28">
            <v>1.72</v>
          </cell>
          <cell r="G28">
            <v>1.72</v>
          </cell>
        </row>
        <row r="29">
          <cell r="A29" t="str">
            <v>1,02,01</v>
          </cell>
          <cell r="B29" t="str">
            <v>Tarugo plastico verde de 1/4</v>
          </cell>
          <cell r="C29" t="str">
            <v>und</v>
          </cell>
          <cell r="E29">
            <v>2</v>
          </cell>
          <cell r="F29">
            <v>0.115</v>
          </cell>
          <cell r="G29">
            <v>0.23</v>
          </cell>
        </row>
        <row r="30">
          <cell r="A30" t="str">
            <v>1,02,01</v>
          </cell>
          <cell r="B30" t="str">
            <v>Tornillo autoroscante de 8x1"</v>
          </cell>
          <cell r="C30" t="str">
            <v>und</v>
          </cell>
          <cell r="E30">
            <v>2</v>
          </cell>
          <cell r="F30">
            <v>4.2000000000000003E-2</v>
          </cell>
          <cell r="G30">
            <v>0.08</v>
          </cell>
        </row>
        <row r="31">
          <cell r="A31" t="str">
            <v>1,02,01</v>
          </cell>
          <cell r="B31" t="str">
            <v>Mano de obra</v>
          </cell>
          <cell r="G31">
            <v>2.0699999999999998</v>
          </cell>
        </row>
        <row r="32">
          <cell r="A32" t="str">
            <v>1,02,01</v>
          </cell>
          <cell r="B32" t="str">
            <v>Operario</v>
          </cell>
          <cell r="C32" t="str">
            <v>HH</v>
          </cell>
          <cell r="D32">
            <v>1</v>
          </cell>
          <cell r="E32">
            <v>0.4</v>
          </cell>
          <cell r="F32">
            <v>2.84</v>
          </cell>
          <cell r="G32">
            <v>1.1399999999999999</v>
          </cell>
          <cell r="H32">
            <v>20</v>
          </cell>
        </row>
        <row r="33">
          <cell r="A33" t="str">
            <v>1,02,01</v>
          </cell>
          <cell r="B33" t="str">
            <v>Peón</v>
          </cell>
          <cell r="C33" t="str">
            <v>HH</v>
          </cell>
          <cell r="D33">
            <v>1</v>
          </cell>
          <cell r="E33">
            <v>0.4</v>
          </cell>
          <cell r="F33">
            <v>2.3199999999999998</v>
          </cell>
          <cell r="G33">
            <v>0.93</v>
          </cell>
          <cell r="H33">
            <v>20</v>
          </cell>
        </row>
        <row r="34">
          <cell r="A34" t="str">
            <v>1,02,01</v>
          </cell>
          <cell r="B34" t="str">
            <v>Equipos y/o herramientas</v>
          </cell>
          <cell r="G34">
            <v>0.48</v>
          </cell>
        </row>
        <row r="35">
          <cell r="A35" t="str">
            <v>1,02,01</v>
          </cell>
          <cell r="B35" t="str">
            <v>Escalera</v>
          </cell>
          <cell r="C35" t="str">
            <v>DIA</v>
          </cell>
          <cell r="D35">
            <v>1</v>
          </cell>
          <cell r="E35">
            <v>0.05</v>
          </cell>
          <cell r="F35">
            <v>1</v>
          </cell>
          <cell r="G35">
            <v>0.05</v>
          </cell>
        </row>
        <row r="36">
          <cell r="A36" t="str">
            <v>1,02,01</v>
          </cell>
          <cell r="B36" t="str">
            <v>Taladro Hilti</v>
          </cell>
          <cell r="C36" t="str">
            <v>DIA</v>
          </cell>
          <cell r="D36">
            <v>1</v>
          </cell>
          <cell r="E36">
            <v>0.05</v>
          </cell>
          <cell r="F36">
            <v>6.5</v>
          </cell>
          <cell r="G36">
            <v>0.33</v>
          </cell>
        </row>
        <row r="37">
          <cell r="A37" t="str">
            <v>1,02,01</v>
          </cell>
          <cell r="B37" t="str">
            <v>Desgaste de herramientas</v>
          </cell>
          <cell r="C37" t="str">
            <v>%MO</v>
          </cell>
          <cell r="E37">
            <v>0.05</v>
          </cell>
          <cell r="F37">
            <v>2.0699999999999998</v>
          </cell>
          <cell r="G37">
            <v>0.1</v>
          </cell>
        </row>
        <row r="38">
          <cell r="A38" t="str">
            <v>1,02,02</v>
          </cell>
          <cell r="B38" t="str">
            <v>Caja F°G° 150x150x75 mm energia</v>
          </cell>
          <cell r="F38" t="str">
            <v>( und )</v>
          </cell>
          <cell r="G38">
            <v>9.4200000000000017</v>
          </cell>
          <cell r="I38" t="str">
            <v>1,02,02</v>
          </cell>
        </row>
        <row r="39">
          <cell r="A39" t="str">
            <v>1,02,02</v>
          </cell>
          <cell r="C39" t="str">
            <v>und.</v>
          </cell>
          <cell r="D39" t="str">
            <v>cuad.</v>
          </cell>
          <cell r="E39" t="str">
            <v>cant.</v>
          </cell>
          <cell r="F39" t="str">
            <v>prec. $</v>
          </cell>
          <cell r="G39" t="str">
            <v>parcial $</v>
          </cell>
        </row>
        <row r="40">
          <cell r="A40" t="str">
            <v>1,02,02</v>
          </cell>
          <cell r="B40" t="str">
            <v>Materiales</v>
          </cell>
          <cell r="G40">
            <v>6.03</v>
          </cell>
        </row>
        <row r="41">
          <cell r="A41" t="str">
            <v>1,02,02</v>
          </cell>
          <cell r="B41" t="str">
            <v>Caja de F°G° de 150x150 x75 mm</v>
          </cell>
          <cell r="C41" t="str">
            <v>und</v>
          </cell>
          <cell r="E41">
            <v>1</v>
          </cell>
          <cell r="F41">
            <v>5.4</v>
          </cell>
          <cell r="G41">
            <v>5.4</v>
          </cell>
        </row>
        <row r="42">
          <cell r="A42" t="str">
            <v>1,02,02</v>
          </cell>
          <cell r="B42" t="str">
            <v>Tarugo plastico verde de 1/4</v>
          </cell>
          <cell r="C42" t="str">
            <v>und</v>
          </cell>
          <cell r="E42">
            <v>4</v>
          </cell>
          <cell r="F42">
            <v>0.115</v>
          </cell>
          <cell r="G42">
            <v>0.46</v>
          </cell>
        </row>
        <row r="43">
          <cell r="A43" t="str">
            <v>1,02,02</v>
          </cell>
          <cell r="B43" t="str">
            <v>Tornillo autoroscante de 8x1"</v>
          </cell>
          <cell r="C43" t="str">
            <v>und</v>
          </cell>
          <cell r="E43">
            <v>4</v>
          </cell>
          <cell r="F43">
            <v>4.2000000000000003E-2</v>
          </cell>
          <cell r="G43">
            <v>0.17</v>
          </cell>
        </row>
        <row r="44">
          <cell r="A44" t="str">
            <v>1,02,02</v>
          </cell>
          <cell r="B44" t="str">
            <v>Mano de obra</v>
          </cell>
          <cell r="G44">
            <v>2.75</v>
          </cell>
        </row>
        <row r="45">
          <cell r="A45" t="str">
            <v>1,02,02</v>
          </cell>
          <cell r="B45" t="str">
            <v>Operario</v>
          </cell>
          <cell r="C45" t="str">
            <v>HH</v>
          </cell>
          <cell r="D45">
            <v>1</v>
          </cell>
          <cell r="E45">
            <v>0.53333333333333333</v>
          </cell>
          <cell r="F45">
            <v>2.84</v>
          </cell>
          <cell r="G45">
            <v>1.51</v>
          </cell>
          <cell r="H45">
            <v>15</v>
          </cell>
        </row>
        <row r="46">
          <cell r="A46" t="str">
            <v>1,02,02</v>
          </cell>
          <cell r="B46" t="str">
            <v>Peón</v>
          </cell>
          <cell r="C46" t="str">
            <v>HH</v>
          </cell>
          <cell r="D46">
            <v>1</v>
          </cell>
          <cell r="E46">
            <v>0.53333333333333333</v>
          </cell>
          <cell r="F46">
            <v>2.3199999999999998</v>
          </cell>
          <cell r="G46">
            <v>1.24</v>
          </cell>
          <cell r="H46">
            <v>15</v>
          </cell>
        </row>
        <row r="47">
          <cell r="A47" t="str">
            <v>1,02,02</v>
          </cell>
          <cell r="B47" t="str">
            <v>Equipos y/o herramientas</v>
          </cell>
          <cell r="G47">
            <v>0.64</v>
          </cell>
        </row>
        <row r="48">
          <cell r="A48" t="str">
            <v>1,02,02</v>
          </cell>
          <cell r="B48" t="str">
            <v>Escalera</v>
          </cell>
          <cell r="C48" t="str">
            <v>DIA</v>
          </cell>
          <cell r="D48">
            <v>1</v>
          </cell>
          <cell r="E48">
            <v>6.6666666666666666E-2</v>
          </cell>
          <cell r="F48">
            <v>1</v>
          </cell>
          <cell r="G48">
            <v>7.0000000000000007E-2</v>
          </cell>
        </row>
        <row r="49">
          <cell r="A49" t="str">
            <v>1,02,02</v>
          </cell>
          <cell r="B49" t="str">
            <v>Taladro Hilti</v>
          </cell>
          <cell r="C49" t="str">
            <v>DIA</v>
          </cell>
          <cell r="D49">
            <v>1</v>
          </cell>
          <cell r="E49">
            <v>6.6666666666666666E-2</v>
          </cell>
          <cell r="F49">
            <v>6.5</v>
          </cell>
          <cell r="G49">
            <v>0.43</v>
          </cell>
        </row>
        <row r="50">
          <cell r="A50" t="str">
            <v>1,02,02</v>
          </cell>
          <cell r="B50" t="str">
            <v>Desgaste de herramientas</v>
          </cell>
          <cell r="C50" t="str">
            <v>%MO</v>
          </cell>
          <cell r="E50">
            <v>0.05</v>
          </cell>
          <cell r="F50">
            <v>2.75</v>
          </cell>
          <cell r="G50">
            <v>0.14000000000000001</v>
          </cell>
        </row>
        <row r="51">
          <cell r="A51" t="str">
            <v>1,03,01</v>
          </cell>
          <cell r="B51" t="str">
            <v>Salida de centro de luz empotrado (canalización existente)</v>
          </cell>
          <cell r="F51" t="str">
            <v>( pto )</v>
          </cell>
          <cell r="G51">
            <v>17.299999999999997</v>
          </cell>
          <cell r="I51" t="str">
            <v>1,03,01</v>
          </cell>
        </row>
        <row r="52">
          <cell r="A52" t="str">
            <v>1,03,01</v>
          </cell>
          <cell r="C52" t="str">
            <v>und.</v>
          </cell>
          <cell r="D52" t="str">
            <v>cuad.</v>
          </cell>
          <cell r="E52" t="str">
            <v>cant.</v>
          </cell>
          <cell r="F52" t="str">
            <v>prec. $</v>
          </cell>
          <cell r="G52" t="str">
            <v>parcial $</v>
          </cell>
        </row>
        <row r="53">
          <cell r="A53" t="str">
            <v>1,03,01</v>
          </cell>
          <cell r="B53" t="str">
            <v>Materiales</v>
          </cell>
          <cell r="G53">
            <v>12.309999999999999</v>
          </cell>
        </row>
        <row r="54">
          <cell r="A54" t="str">
            <v>1,03,01</v>
          </cell>
          <cell r="B54" t="str">
            <v>Tubería PVC SAP de 20 mm</v>
          </cell>
          <cell r="C54" t="str">
            <v>ml</v>
          </cell>
          <cell r="E54">
            <v>1.2</v>
          </cell>
          <cell r="F54">
            <v>0.41</v>
          </cell>
          <cell r="G54">
            <v>0.49</v>
          </cell>
        </row>
        <row r="55">
          <cell r="A55" t="str">
            <v>1,03,01</v>
          </cell>
          <cell r="B55" t="str">
            <v>Curva PVC SAP de 20 mm</v>
          </cell>
          <cell r="C55" t="str">
            <v>und</v>
          </cell>
          <cell r="E55">
            <v>0.04</v>
          </cell>
          <cell r="F55">
            <v>0.59</v>
          </cell>
          <cell r="G55">
            <v>0.02</v>
          </cell>
        </row>
        <row r="56">
          <cell r="A56" t="str">
            <v>1,03,01</v>
          </cell>
          <cell r="B56" t="str">
            <v>Unión PVC SAP de 20 mm</v>
          </cell>
          <cell r="C56" t="str">
            <v>und</v>
          </cell>
          <cell r="E56">
            <v>0.04</v>
          </cell>
          <cell r="F56">
            <v>0.25</v>
          </cell>
          <cell r="G56">
            <v>0.01</v>
          </cell>
        </row>
        <row r="57">
          <cell r="A57" t="str">
            <v>1,03,01</v>
          </cell>
          <cell r="B57" t="str">
            <v>Conexión PVC SAP de 20 mm</v>
          </cell>
          <cell r="C57" t="str">
            <v>und</v>
          </cell>
          <cell r="E57">
            <v>0.04</v>
          </cell>
          <cell r="F57">
            <v>0.17399999999999999</v>
          </cell>
          <cell r="G57">
            <v>0.01</v>
          </cell>
        </row>
        <row r="58">
          <cell r="A58" t="str">
            <v>1,03,01</v>
          </cell>
          <cell r="B58" t="str">
            <v>Caja octogonal de 100x50 mm</v>
          </cell>
          <cell r="C58" t="str">
            <v>und</v>
          </cell>
          <cell r="E58">
            <v>0.10299999999999999</v>
          </cell>
          <cell r="F58">
            <v>0.85</v>
          </cell>
          <cell r="G58">
            <v>0.09</v>
          </cell>
        </row>
        <row r="59">
          <cell r="A59" t="str">
            <v>1,03,01</v>
          </cell>
          <cell r="B59" t="str">
            <v>Caja rectangular de 100x50 mm</v>
          </cell>
          <cell r="C59" t="str">
            <v>und</v>
          </cell>
          <cell r="E59">
            <v>0.10299999999999999</v>
          </cell>
          <cell r="F59">
            <v>0.78</v>
          </cell>
          <cell r="G59">
            <v>0.08</v>
          </cell>
        </row>
        <row r="60">
          <cell r="A60" t="str">
            <v>1,03,01</v>
          </cell>
          <cell r="B60" t="str">
            <v>Alambre de 4mm2 TW</v>
          </cell>
          <cell r="C60" t="str">
            <v>ml</v>
          </cell>
          <cell r="E60">
            <v>60</v>
          </cell>
          <cell r="F60">
            <v>0.17</v>
          </cell>
          <cell r="G60">
            <v>10.199999999999999</v>
          </cell>
        </row>
        <row r="61">
          <cell r="A61" t="str">
            <v>1,03,01</v>
          </cell>
          <cell r="B61" t="str">
            <v>Placa serie Nuva de ticino 1 cavidad</v>
          </cell>
          <cell r="C61" t="str">
            <v>ml</v>
          </cell>
          <cell r="E61">
            <v>0.10299999999999999</v>
          </cell>
          <cell r="F61">
            <v>1.47</v>
          </cell>
          <cell r="G61">
            <v>0.15</v>
          </cell>
        </row>
        <row r="62">
          <cell r="A62" t="str">
            <v>1,03,01</v>
          </cell>
          <cell r="B62" t="str">
            <v>Dado interruptor serie magic de ticino</v>
          </cell>
          <cell r="C62" t="str">
            <v>und</v>
          </cell>
          <cell r="E62">
            <v>0.10299999999999999</v>
          </cell>
          <cell r="F62">
            <v>1.167</v>
          </cell>
          <cell r="G62">
            <v>0.12</v>
          </cell>
        </row>
        <row r="63">
          <cell r="A63" t="str">
            <v>1,03,01</v>
          </cell>
          <cell r="B63" t="str">
            <v xml:space="preserve">Stobolt </v>
          </cell>
          <cell r="C63" t="str">
            <v>und</v>
          </cell>
          <cell r="E63">
            <v>0.20599999999999999</v>
          </cell>
          <cell r="F63">
            <v>0.4</v>
          </cell>
          <cell r="G63">
            <v>0.08</v>
          </cell>
        </row>
        <row r="64">
          <cell r="A64" t="str">
            <v>1,03,01</v>
          </cell>
          <cell r="B64" t="str">
            <v>Cinta aislante de 3/4" x 20 m.</v>
          </cell>
          <cell r="C64" t="str">
            <v>und</v>
          </cell>
          <cell r="E64">
            <v>0.06</v>
          </cell>
          <cell r="F64">
            <v>2.5</v>
          </cell>
          <cell r="G64">
            <v>0.15</v>
          </cell>
        </row>
        <row r="65">
          <cell r="A65" t="str">
            <v>1,03,01</v>
          </cell>
          <cell r="B65" t="str">
            <v>Cinta autovulcanizante de 3/4" x 20 m. 3M</v>
          </cell>
          <cell r="C65" t="str">
            <v>und</v>
          </cell>
          <cell r="E65">
            <v>0.04</v>
          </cell>
          <cell r="F65">
            <v>6.27</v>
          </cell>
          <cell r="G65">
            <v>0.25</v>
          </cell>
        </row>
        <row r="66">
          <cell r="A66" t="str">
            <v>1,03,01</v>
          </cell>
          <cell r="B66" t="str">
            <v>Abrazadera de F°G° 20 mm</v>
          </cell>
          <cell r="C66" t="str">
            <v>und</v>
          </cell>
          <cell r="E66">
            <v>2.0665</v>
          </cell>
          <cell r="F66">
            <v>0.13300000000000001</v>
          </cell>
          <cell r="G66">
            <v>0.27</v>
          </cell>
        </row>
        <row r="67">
          <cell r="A67" t="str">
            <v>1,03,01</v>
          </cell>
          <cell r="B67" t="str">
            <v>Tarugo plastico verde de 1/4</v>
          </cell>
          <cell r="C67" t="str">
            <v>und</v>
          </cell>
          <cell r="E67">
            <v>2.0665</v>
          </cell>
          <cell r="F67">
            <v>0.115</v>
          </cell>
          <cell r="G67">
            <v>0.24</v>
          </cell>
        </row>
        <row r="68">
          <cell r="A68" t="str">
            <v>1,03,01</v>
          </cell>
          <cell r="B68" t="str">
            <v>Tornillo autoroscante de 8x1"</v>
          </cell>
          <cell r="C68" t="str">
            <v>und</v>
          </cell>
          <cell r="E68">
            <v>2.0665</v>
          </cell>
          <cell r="F68">
            <v>4.2000000000000003E-2</v>
          </cell>
          <cell r="G68">
            <v>0.09</v>
          </cell>
        </row>
        <row r="69">
          <cell r="A69" t="str">
            <v>1,03,01</v>
          </cell>
          <cell r="B69" t="str">
            <v>Pegamento de 1/4 de galón</v>
          </cell>
          <cell r="C69" t="str">
            <v>und</v>
          </cell>
          <cell r="E69">
            <v>0.01</v>
          </cell>
          <cell r="F69">
            <v>6.3959999999999999</v>
          </cell>
          <cell r="G69">
            <v>0.06</v>
          </cell>
        </row>
        <row r="70">
          <cell r="A70" t="str">
            <v>1,03,01</v>
          </cell>
          <cell r="B70" t="str">
            <v>Mano de obra</v>
          </cell>
          <cell r="G70">
            <v>4.13</v>
          </cell>
        </row>
        <row r="71">
          <cell r="A71" t="str">
            <v>1,03,01</v>
          </cell>
          <cell r="B71" t="str">
            <v>Operario</v>
          </cell>
          <cell r="C71" t="str">
            <v>HH</v>
          </cell>
          <cell r="D71">
            <v>1</v>
          </cell>
          <cell r="E71">
            <v>0.8</v>
          </cell>
          <cell r="F71">
            <v>2.84</v>
          </cell>
          <cell r="G71">
            <v>2.27</v>
          </cell>
          <cell r="H71">
            <v>10</v>
          </cell>
        </row>
        <row r="72">
          <cell r="A72" t="str">
            <v>1,03,01</v>
          </cell>
          <cell r="B72" t="str">
            <v>Peón</v>
          </cell>
          <cell r="C72" t="str">
            <v>HH</v>
          </cell>
          <cell r="D72">
            <v>1</v>
          </cell>
          <cell r="E72">
            <v>0.8</v>
          </cell>
          <cell r="F72">
            <v>2.3199999999999998</v>
          </cell>
          <cell r="G72">
            <v>1.86</v>
          </cell>
          <cell r="H72">
            <v>10</v>
          </cell>
        </row>
        <row r="73">
          <cell r="A73" t="str">
            <v>1,03,01</v>
          </cell>
          <cell r="B73" t="str">
            <v>Equipos y/o herramientas</v>
          </cell>
          <cell r="G73">
            <v>0.86</v>
          </cell>
        </row>
        <row r="74">
          <cell r="A74" t="str">
            <v>1,03,01</v>
          </cell>
          <cell r="B74" t="str">
            <v>Cuerpo de andamio de 2 m</v>
          </cell>
          <cell r="C74" t="str">
            <v>DIA</v>
          </cell>
          <cell r="D74">
            <v>0</v>
          </cell>
          <cell r="E74">
            <v>0.1</v>
          </cell>
          <cell r="F74">
            <v>0.65</v>
          </cell>
          <cell r="G74">
            <v>0</v>
          </cell>
        </row>
        <row r="75">
          <cell r="A75" t="str">
            <v>1,03,01</v>
          </cell>
          <cell r="B75" t="str">
            <v>Taladro Hilti</v>
          </cell>
          <cell r="C75" t="str">
            <v>DIA</v>
          </cell>
          <cell r="D75">
            <v>1</v>
          </cell>
          <cell r="E75">
            <v>0.1</v>
          </cell>
          <cell r="F75">
            <v>6.5</v>
          </cell>
          <cell r="G75">
            <v>0.65</v>
          </cell>
        </row>
        <row r="76">
          <cell r="A76" t="str">
            <v>1,03,01</v>
          </cell>
          <cell r="B76" t="str">
            <v>Desgaste de herramientas</v>
          </cell>
          <cell r="C76" t="str">
            <v>%MO</v>
          </cell>
          <cell r="E76">
            <v>0.05</v>
          </cell>
          <cell r="F76">
            <v>4.13</v>
          </cell>
          <cell r="G76">
            <v>0.21</v>
          </cell>
        </row>
        <row r="77">
          <cell r="A77" t="str">
            <v>1,03,02</v>
          </cell>
          <cell r="B77" t="str">
            <v>Salida de centro de luz adosado en tijerales (canalización existente)</v>
          </cell>
          <cell r="F77" t="str">
            <v>( pto )</v>
          </cell>
          <cell r="G77">
            <v>19.600000000000001</v>
          </cell>
          <cell r="I77" t="str">
            <v>1,03,02</v>
          </cell>
        </row>
        <row r="78">
          <cell r="A78" t="str">
            <v>1,03,02</v>
          </cell>
          <cell r="C78" t="str">
            <v>und.</v>
          </cell>
          <cell r="D78" t="str">
            <v>cuad.</v>
          </cell>
          <cell r="E78" t="str">
            <v>cant.</v>
          </cell>
          <cell r="F78" t="str">
            <v>prec. $</v>
          </cell>
          <cell r="G78" t="str">
            <v>parcial $</v>
          </cell>
        </row>
        <row r="79">
          <cell r="A79" t="str">
            <v>1,03,02</v>
          </cell>
          <cell r="B79" t="str">
            <v>Materiales</v>
          </cell>
          <cell r="G79">
            <v>13.21</v>
          </cell>
        </row>
        <row r="80">
          <cell r="A80" t="str">
            <v>1,03,02</v>
          </cell>
          <cell r="B80" t="str">
            <v>Tubería PVC SAP de 20 mm</v>
          </cell>
          <cell r="C80" t="str">
            <v>ml</v>
          </cell>
          <cell r="E80">
            <v>1.2</v>
          </cell>
          <cell r="F80">
            <v>0.41</v>
          </cell>
          <cell r="G80">
            <v>0.49</v>
          </cell>
        </row>
        <row r="81">
          <cell r="A81" t="str">
            <v>1,03,02</v>
          </cell>
          <cell r="B81" t="str">
            <v>Curva PVC SAP de 20 mm</v>
          </cell>
          <cell r="C81" t="str">
            <v>und</v>
          </cell>
          <cell r="E81">
            <v>0.1</v>
          </cell>
          <cell r="F81">
            <v>0.59</v>
          </cell>
          <cell r="G81">
            <v>0.06</v>
          </cell>
        </row>
        <row r="82">
          <cell r="A82" t="str">
            <v>1,03,02</v>
          </cell>
          <cell r="B82" t="str">
            <v>Unión PVC SAP de 20 mm</v>
          </cell>
          <cell r="C82" t="str">
            <v>und</v>
          </cell>
          <cell r="E82">
            <v>0.1</v>
          </cell>
          <cell r="F82">
            <v>0.25</v>
          </cell>
          <cell r="G82">
            <v>0.03</v>
          </cell>
        </row>
        <row r="83">
          <cell r="A83" t="str">
            <v>1,03,02</v>
          </cell>
          <cell r="B83" t="str">
            <v>Conexión PVC SAP de 20 mm</v>
          </cell>
          <cell r="C83" t="str">
            <v>und</v>
          </cell>
          <cell r="E83">
            <v>0.1</v>
          </cell>
          <cell r="F83">
            <v>0.17399999999999999</v>
          </cell>
          <cell r="G83">
            <v>0.02</v>
          </cell>
        </row>
        <row r="84">
          <cell r="A84" t="str">
            <v>1,03,02</v>
          </cell>
          <cell r="B84" t="str">
            <v>Caja octogonal de 100x50 mm</v>
          </cell>
          <cell r="C84" t="str">
            <v>und</v>
          </cell>
          <cell r="E84">
            <v>0.4</v>
          </cell>
          <cell r="F84">
            <v>0.85</v>
          </cell>
          <cell r="G84">
            <v>0.34</v>
          </cell>
        </row>
        <row r="85">
          <cell r="A85" t="str">
            <v>1,03,02</v>
          </cell>
          <cell r="B85" t="str">
            <v>Caja rectangular de 100x50 mm</v>
          </cell>
          <cell r="C85" t="str">
            <v>und</v>
          </cell>
          <cell r="E85">
            <v>0.4</v>
          </cell>
          <cell r="F85">
            <v>0.78</v>
          </cell>
          <cell r="G85">
            <v>0.31</v>
          </cell>
          <cell r="I85">
            <v>50</v>
          </cell>
        </row>
        <row r="86">
          <cell r="A86" t="str">
            <v>1,03,02</v>
          </cell>
          <cell r="B86" t="str">
            <v>Cable de 4mm2 TW</v>
          </cell>
          <cell r="C86" t="str">
            <v>ml</v>
          </cell>
          <cell r="E86">
            <v>60</v>
          </cell>
          <cell r="F86">
            <v>0.17</v>
          </cell>
          <cell r="G86">
            <v>10.199999999999999</v>
          </cell>
        </row>
        <row r="87">
          <cell r="A87" t="str">
            <v>1,03,02</v>
          </cell>
          <cell r="B87" t="str">
            <v>Placa serie Nuva de ticino 1 cavidad</v>
          </cell>
          <cell r="C87" t="str">
            <v>ml</v>
          </cell>
          <cell r="E87">
            <v>0.20599999999999999</v>
          </cell>
          <cell r="F87">
            <v>1.47</v>
          </cell>
          <cell r="G87">
            <v>0.3</v>
          </cell>
          <cell r="I87">
            <v>10.299999999999999</v>
          </cell>
        </row>
        <row r="88">
          <cell r="A88" t="str">
            <v>1,03,02</v>
          </cell>
          <cell r="B88" t="str">
            <v>Dado interruptor serie magic de ticino</v>
          </cell>
          <cell r="C88" t="str">
            <v>und</v>
          </cell>
          <cell r="E88">
            <v>0.20599999999999999</v>
          </cell>
          <cell r="F88">
            <v>1.167</v>
          </cell>
          <cell r="G88">
            <v>0.24</v>
          </cell>
          <cell r="I88">
            <v>10.299999999999999</v>
          </cell>
        </row>
        <row r="89">
          <cell r="A89" t="str">
            <v>1,03,02</v>
          </cell>
          <cell r="B89" t="str">
            <v xml:space="preserve">Stobolt </v>
          </cell>
          <cell r="C89" t="str">
            <v>und</v>
          </cell>
          <cell r="E89">
            <v>0.41199999999999998</v>
          </cell>
          <cell r="F89">
            <v>0.4</v>
          </cell>
          <cell r="G89">
            <v>0.16</v>
          </cell>
          <cell r="I89">
            <v>20.599999999999998</v>
          </cell>
        </row>
        <row r="90">
          <cell r="A90" t="str">
            <v>1,03,02</v>
          </cell>
          <cell r="B90" t="str">
            <v>Cinta aislante de 3/4" x 20 m.</v>
          </cell>
          <cell r="C90" t="str">
            <v>und</v>
          </cell>
          <cell r="E90">
            <v>0.06</v>
          </cell>
          <cell r="F90">
            <v>2.5</v>
          </cell>
          <cell r="G90">
            <v>0.15</v>
          </cell>
        </row>
        <row r="91">
          <cell r="A91" t="str">
            <v>1,03,02</v>
          </cell>
          <cell r="B91" t="str">
            <v>Cinta autovulcanizante de 3/4" x 20 m. 3M</v>
          </cell>
          <cell r="C91" t="str">
            <v>und</v>
          </cell>
          <cell r="E91">
            <v>0.04</v>
          </cell>
          <cell r="F91">
            <v>6.27</v>
          </cell>
          <cell r="G91">
            <v>0.25</v>
          </cell>
        </row>
        <row r="92">
          <cell r="A92" t="str">
            <v>1,03,02</v>
          </cell>
          <cell r="B92" t="str">
            <v>Abrazadera de F°G° 20 mm</v>
          </cell>
          <cell r="C92" t="str">
            <v>und</v>
          </cell>
          <cell r="E92">
            <v>2.0665</v>
          </cell>
          <cell r="F92">
            <v>0.13300000000000001</v>
          </cell>
          <cell r="G92">
            <v>0.27</v>
          </cell>
        </row>
        <row r="93">
          <cell r="A93" t="str">
            <v>1,03,02</v>
          </cell>
          <cell r="B93" t="str">
            <v>Tarugo plastico verde de 1/4</v>
          </cell>
          <cell r="C93" t="str">
            <v>und</v>
          </cell>
          <cell r="E93">
            <v>2.0665</v>
          </cell>
          <cell r="F93">
            <v>0.115</v>
          </cell>
          <cell r="G93">
            <v>0.24</v>
          </cell>
        </row>
        <row r="94">
          <cell r="A94" t="str">
            <v>1,03,02</v>
          </cell>
          <cell r="B94" t="str">
            <v>Tornillo autoroscante de 8x1"</v>
          </cell>
          <cell r="C94" t="str">
            <v>und</v>
          </cell>
          <cell r="E94">
            <v>2.0665</v>
          </cell>
          <cell r="F94">
            <v>4.2000000000000003E-2</v>
          </cell>
          <cell r="G94">
            <v>0.09</v>
          </cell>
        </row>
        <row r="95">
          <cell r="A95" t="str">
            <v>1,03,02</v>
          </cell>
          <cell r="B95" t="str">
            <v>Pegamento de 1/4 de galón</v>
          </cell>
          <cell r="C95" t="str">
            <v>und</v>
          </cell>
          <cell r="E95">
            <v>0.01</v>
          </cell>
          <cell r="F95">
            <v>6.3959999999999999</v>
          </cell>
          <cell r="G95">
            <v>0.06</v>
          </cell>
        </row>
        <row r="96">
          <cell r="A96" t="str">
            <v>1,03,02</v>
          </cell>
          <cell r="B96" t="str">
            <v>Mano de obra</v>
          </cell>
          <cell r="G96">
            <v>5.16</v>
          </cell>
        </row>
        <row r="97">
          <cell r="A97" t="str">
            <v>1,03,02</v>
          </cell>
          <cell r="B97" t="str">
            <v>Operario</v>
          </cell>
          <cell r="C97" t="str">
            <v>HH</v>
          </cell>
          <cell r="D97">
            <v>1</v>
          </cell>
          <cell r="E97">
            <v>1</v>
          </cell>
          <cell r="F97">
            <v>2.84</v>
          </cell>
          <cell r="G97">
            <v>2.84</v>
          </cell>
          <cell r="H97">
            <v>8</v>
          </cell>
        </row>
        <row r="98">
          <cell r="A98" t="str">
            <v>1,03,02</v>
          </cell>
          <cell r="B98" t="str">
            <v>Peón</v>
          </cell>
          <cell r="C98" t="str">
            <v>HH</v>
          </cell>
          <cell r="D98">
            <v>1</v>
          </cell>
          <cell r="E98">
            <v>1</v>
          </cell>
          <cell r="F98">
            <v>2.3199999999999998</v>
          </cell>
          <cell r="G98">
            <v>2.3199999999999998</v>
          </cell>
          <cell r="H98">
            <v>8</v>
          </cell>
        </row>
        <row r="99">
          <cell r="A99" t="str">
            <v>1,03,02</v>
          </cell>
          <cell r="B99" t="str">
            <v>Equipos y/o herramientas</v>
          </cell>
          <cell r="G99">
            <v>1.23</v>
          </cell>
        </row>
        <row r="100">
          <cell r="A100" t="str">
            <v>1,03,02</v>
          </cell>
          <cell r="B100" t="str">
            <v>Cuerpo de andamio de 2 m</v>
          </cell>
          <cell r="C100" t="str">
            <v>DIA</v>
          </cell>
          <cell r="D100">
            <v>2</v>
          </cell>
          <cell r="E100">
            <v>0.125</v>
          </cell>
          <cell r="F100">
            <v>0.65</v>
          </cell>
          <cell r="G100">
            <v>0.16</v>
          </cell>
        </row>
        <row r="101">
          <cell r="A101" t="str">
            <v>1,03,02</v>
          </cell>
          <cell r="B101" t="str">
            <v>Taladro Hilti</v>
          </cell>
          <cell r="C101" t="str">
            <v>DIA</v>
          </cell>
          <cell r="D101">
            <v>1</v>
          </cell>
          <cell r="E101">
            <v>0.125</v>
          </cell>
          <cell r="F101">
            <v>6.5</v>
          </cell>
          <cell r="G101">
            <v>0.81</v>
          </cell>
        </row>
        <row r="102">
          <cell r="A102" t="str">
            <v>1,03,02</v>
          </cell>
          <cell r="B102" t="str">
            <v>Desgaste de herramientas</v>
          </cell>
          <cell r="C102" t="str">
            <v>%MO</v>
          </cell>
          <cell r="E102">
            <v>0.05</v>
          </cell>
          <cell r="F102">
            <v>5.16</v>
          </cell>
          <cell r="G102">
            <v>0.26</v>
          </cell>
        </row>
        <row r="103">
          <cell r="A103" t="str">
            <v>1,03,03</v>
          </cell>
          <cell r="B103" t="str">
            <v>Salida de tomacorriente doble implemeatada</v>
          </cell>
          <cell r="F103" t="str">
            <v>( pto )</v>
          </cell>
          <cell r="G103">
            <v>17.52</v>
          </cell>
          <cell r="I103" t="str">
            <v>1,03,03</v>
          </cell>
        </row>
        <row r="104">
          <cell r="A104" t="str">
            <v>1,03,03</v>
          </cell>
          <cell r="C104" t="str">
            <v>und.</v>
          </cell>
          <cell r="D104" t="str">
            <v>cuad.</v>
          </cell>
          <cell r="E104" t="str">
            <v>cant.</v>
          </cell>
          <cell r="F104" t="str">
            <v>prec. $</v>
          </cell>
          <cell r="G104" t="str">
            <v>parcial $</v>
          </cell>
        </row>
        <row r="105">
          <cell r="A105" t="str">
            <v>1,03,03</v>
          </cell>
          <cell r="B105" t="str">
            <v>Materiales</v>
          </cell>
          <cell r="G105">
            <v>11.16</v>
          </cell>
        </row>
        <row r="106">
          <cell r="A106" t="str">
            <v>1,03,03</v>
          </cell>
          <cell r="B106" t="str">
            <v>Tubería PVC SAP de 20 mm</v>
          </cell>
          <cell r="C106" t="str">
            <v>ml</v>
          </cell>
          <cell r="E106">
            <v>1.2</v>
          </cell>
          <cell r="F106">
            <v>0.41</v>
          </cell>
          <cell r="G106">
            <v>0.49</v>
          </cell>
        </row>
        <row r="107">
          <cell r="A107" t="str">
            <v>1,03,03</v>
          </cell>
          <cell r="B107" t="str">
            <v>Curva PVC SAP de 20 mm</v>
          </cell>
          <cell r="C107" t="str">
            <v>und</v>
          </cell>
          <cell r="E107">
            <v>0.01</v>
          </cell>
          <cell r="F107">
            <v>0.59</v>
          </cell>
          <cell r="G107">
            <v>0.01</v>
          </cell>
        </row>
        <row r="108">
          <cell r="A108" t="str">
            <v>1,03,03</v>
          </cell>
          <cell r="B108" t="str">
            <v>Unión PVC SAP de 20 mm</v>
          </cell>
          <cell r="C108" t="str">
            <v>und</v>
          </cell>
          <cell r="E108">
            <v>0.01</v>
          </cell>
          <cell r="F108">
            <v>0.25</v>
          </cell>
          <cell r="G108">
            <v>0</v>
          </cell>
        </row>
        <row r="109">
          <cell r="A109" t="str">
            <v>1,03,03</v>
          </cell>
          <cell r="B109" t="str">
            <v>Conexión PVC SAP de 20 mm</v>
          </cell>
          <cell r="C109" t="str">
            <v>und</v>
          </cell>
          <cell r="E109">
            <v>0.01</v>
          </cell>
          <cell r="F109">
            <v>0.17399999999999999</v>
          </cell>
          <cell r="G109">
            <v>0</v>
          </cell>
        </row>
        <row r="110">
          <cell r="A110" t="str">
            <v>1,03,03</v>
          </cell>
          <cell r="B110" t="str">
            <v>Caja rectangular de 100x50 mm</v>
          </cell>
          <cell r="C110" t="str">
            <v>und</v>
          </cell>
          <cell r="E110">
            <v>0.2</v>
          </cell>
          <cell r="F110">
            <v>0.78</v>
          </cell>
          <cell r="G110">
            <v>0.16</v>
          </cell>
        </row>
        <row r="111">
          <cell r="A111" t="str">
            <v>1,03,03</v>
          </cell>
          <cell r="B111" t="str">
            <v>Canaleta PVC de 32 x 12 mm</v>
          </cell>
          <cell r="C111" t="str">
            <v>ml</v>
          </cell>
          <cell r="E111">
            <v>0.7</v>
          </cell>
          <cell r="F111">
            <v>1.3</v>
          </cell>
          <cell r="G111">
            <v>0.91</v>
          </cell>
        </row>
        <row r="112">
          <cell r="A112" t="str">
            <v>1,03,03</v>
          </cell>
          <cell r="B112" t="str">
            <v>Alambre de 4mm2 TW</v>
          </cell>
          <cell r="C112" t="str">
            <v>ml</v>
          </cell>
          <cell r="E112">
            <v>30</v>
          </cell>
          <cell r="F112">
            <v>0.17</v>
          </cell>
          <cell r="G112">
            <v>5.0999999999999996</v>
          </cell>
        </row>
        <row r="113">
          <cell r="A113" t="str">
            <v>1,03,03</v>
          </cell>
          <cell r="B113" t="str">
            <v>Placa serie Nuva de ticino 2 cavidad</v>
          </cell>
          <cell r="C113" t="str">
            <v>ml</v>
          </cell>
          <cell r="E113">
            <v>1</v>
          </cell>
          <cell r="F113">
            <v>1.47</v>
          </cell>
          <cell r="G113">
            <v>1.47</v>
          </cell>
        </row>
        <row r="114">
          <cell r="A114" t="str">
            <v>1,03,03</v>
          </cell>
          <cell r="B114" t="str">
            <v>Dado tomacorriente + LT serie magic de ticino</v>
          </cell>
          <cell r="C114" t="str">
            <v>und</v>
          </cell>
          <cell r="E114">
            <v>1</v>
          </cell>
          <cell r="F114">
            <v>1.4</v>
          </cell>
          <cell r="G114">
            <v>1.4</v>
          </cell>
        </row>
        <row r="115">
          <cell r="A115" t="str">
            <v>1,03,03</v>
          </cell>
          <cell r="B115" t="str">
            <v>Stobolt 5/32"</v>
          </cell>
          <cell r="C115" t="str">
            <v>und</v>
          </cell>
          <cell r="E115">
            <v>2</v>
          </cell>
          <cell r="F115">
            <v>0.02</v>
          </cell>
          <cell r="G115">
            <v>0.04</v>
          </cell>
        </row>
        <row r="116">
          <cell r="A116" t="str">
            <v>1,03,03</v>
          </cell>
          <cell r="B116" t="str">
            <v>Cinta aislante de 3/4" x 20 m.</v>
          </cell>
          <cell r="C116" t="str">
            <v>und</v>
          </cell>
          <cell r="E116">
            <v>0.06</v>
          </cell>
          <cell r="F116">
            <v>2.5</v>
          </cell>
          <cell r="G116">
            <v>0.15</v>
          </cell>
        </row>
        <row r="117">
          <cell r="A117" t="str">
            <v>1,03,03</v>
          </cell>
          <cell r="B117" t="str">
            <v>Cinta autovulcanizante de 3/4" x 20 m. 3M</v>
          </cell>
          <cell r="C117" t="str">
            <v>und</v>
          </cell>
          <cell r="E117">
            <v>0.04</v>
          </cell>
          <cell r="F117">
            <v>6.27</v>
          </cell>
          <cell r="G117">
            <v>0.25</v>
          </cell>
        </row>
        <row r="118">
          <cell r="A118" t="str">
            <v>1,03,03</v>
          </cell>
          <cell r="B118" t="str">
            <v>Abrazadera de 20 mm</v>
          </cell>
          <cell r="C118" t="str">
            <v>und</v>
          </cell>
          <cell r="E118">
            <v>3.2432432432432434</v>
          </cell>
          <cell r="F118">
            <v>0.14000000000000001</v>
          </cell>
          <cell r="G118">
            <v>0.45</v>
          </cell>
        </row>
        <row r="119">
          <cell r="A119" t="str">
            <v>1,03,03</v>
          </cell>
          <cell r="B119" t="str">
            <v>Tarugo plastico verde de 1/4</v>
          </cell>
          <cell r="C119" t="str">
            <v>und</v>
          </cell>
          <cell r="E119">
            <v>3.2432432432432434</v>
          </cell>
          <cell r="F119">
            <v>0.115</v>
          </cell>
          <cell r="G119">
            <v>0.37</v>
          </cell>
        </row>
        <row r="120">
          <cell r="A120" t="str">
            <v>1,03,03</v>
          </cell>
          <cell r="B120" t="str">
            <v>Tornillo autoroscante de 8x1"</v>
          </cell>
          <cell r="C120" t="str">
            <v>und</v>
          </cell>
          <cell r="E120">
            <v>3.2432432432432434</v>
          </cell>
          <cell r="F120">
            <v>4.2000000000000003E-2</v>
          </cell>
          <cell r="G120">
            <v>0.14000000000000001</v>
          </cell>
        </row>
        <row r="121">
          <cell r="A121" t="str">
            <v>1,03,03</v>
          </cell>
          <cell r="B121" t="str">
            <v>Tornillo autoroscante de8x1/2"</v>
          </cell>
          <cell r="C121" t="str">
            <v>und</v>
          </cell>
          <cell r="E121">
            <v>3.7837837837837838</v>
          </cell>
          <cell r="F121">
            <v>4.2000000000000003E-2</v>
          </cell>
          <cell r="G121">
            <v>0.16</v>
          </cell>
        </row>
        <row r="122">
          <cell r="A122" t="str">
            <v>1,03,03</v>
          </cell>
          <cell r="B122" t="str">
            <v>Pegamento de 1/4 de galón</v>
          </cell>
          <cell r="C122" t="str">
            <v>und</v>
          </cell>
          <cell r="E122">
            <v>0.01</v>
          </cell>
          <cell r="F122">
            <v>6.3959999999999999</v>
          </cell>
          <cell r="G122">
            <v>0.06</v>
          </cell>
        </row>
        <row r="123">
          <cell r="A123" t="str">
            <v>1,03,03</v>
          </cell>
          <cell r="B123" t="str">
            <v>Mano de obra</v>
          </cell>
          <cell r="G123">
            <v>5.16</v>
          </cell>
        </row>
        <row r="124">
          <cell r="A124" t="str">
            <v>1,03,03</v>
          </cell>
          <cell r="B124" t="str">
            <v>Operario</v>
          </cell>
          <cell r="C124" t="str">
            <v>HH</v>
          </cell>
          <cell r="D124">
            <v>1</v>
          </cell>
          <cell r="E124">
            <v>1</v>
          </cell>
          <cell r="F124">
            <v>2.84</v>
          </cell>
          <cell r="G124">
            <v>2.84</v>
          </cell>
          <cell r="H124">
            <v>8</v>
          </cell>
        </row>
        <row r="125">
          <cell r="A125" t="str">
            <v>1,03,03</v>
          </cell>
          <cell r="B125" t="str">
            <v>Peón</v>
          </cell>
          <cell r="C125" t="str">
            <v>HH</v>
          </cell>
          <cell r="D125">
            <v>1</v>
          </cell>
          <cell r="E125">
            <v>1</v>
          </cell>
          <cell r="F125">
            <v>2.3199999999999998</v>
          </cell>
          <cell r="G125">
            <v>2.3199999999999998</v>
          </cell>
          <cell r="H125">
            <v>8</v>
          </cell>
        </row>
        <row r="126">
          <cell r="A126" t="str">
            <v>1,03,03</v>
          </cell>
          <cell r="B126" t="str">
            <v>Equipos</v>
          </cell>
          <cell r="G126">
            <v>1.2000000000000002</v>
          </cell>
        </row>
        <row r="127">
          <cell r="A127" t="str">
            <v>1,03,03</v>
          </cell>
          <cell r="B127" t="str">
            <v>Escalera</v>
          </cell>
          <cell r="C127" t="str">
            <v>DIA</v>
          </cell>
          <cell r="D127">
            <v>1</v>
          </cell>
          <cell r="E127">
            <v>0.125</v>
          </cell>
          <cell r="F127">
            <v>1</v>
          </cell>
          <cell r="G127">
            <v>0.13</v>
          </cell>
        </row>
        <row r="128">
          <cell r="A128" t="str">
            <v>1,03,03</v>
          </cell>
          <cell r="B128" t="str">
            <v>Taladro Hilti</v>
          </cell>
          <cell r="C128" t="str">
            <v>DIA</v>
          </cell>
          <cell r="D128">
            <v>1</v>
          </cell>
          <cell r="E128">
            <v>0.125</v>
          </cell>
          <cell r="F128">
            <v>6.5</v>
          </cell>
          <cell r="G128">
            <v>0.81</v>
          </cell>
        </row>
        <row r="129">
          <cell r="A129" t="str">
            <v>1,03,03</v>
          </cell>
          <cell r="B129" t="str">
            <v>Desgaste de herramientas</v>
          </cell>
          <cell r="C129" t="str">
            <v>%MO</v>
          </cell>
          <cell r="E129">
            <v>0.05</v>
          </cell>
          <cell r="F129">
            <v>5.16</v>
          </cell>
          <cell r="G129">
            <v>0.26</v>
          </cell>
        </row>
        <row r="130">
          <cell r="A130" t="str">
            <v>1,03,20</v>
          </cell>
          <cell r="B130" t="str">
            <v>Alimentador de energía de  3x16 mm2 THW +1x10 mm2 para TD</v>
          </cell>
          <cell r="F130" t="str">
            <v>( und )</v>
          </cell>
          <cell r="G130">
            <v>5.6899999999999995</v>
          </cell>
          <cell r="I130" t="str">
            <v>1,03,20</v>
          </cell>
        </row>
        <row r="131">
          <cell r="A131" t="str">
            <v>1,03,20</v>
          </cell>
          <cell r="C131" t="str">
            <v>und.</v>
          </cell>
          <cell r="D131" t="str">
            <v>cuad.</v>
          </cell>
          <cell r="E131" t="str">
            <v>cant.</v>
          </cell>
          <cell r="F131" t="str">
            <v>prec. $</v>
          </cell>
          <cell r="G131" t="str">
            <v>parcial $</v>
          </cell>
        </row>
        <row r="132">
          <cell r="A132" t="str">
            <v>1,03,20</v>
          </cell>
          <cell r="B132" t="str">
            <v>Materiales</v>
          </cell>
          <cell r="G132">
            <v>2.9299999999999997</v>
          </cell>
        </row>
        <row r="133">
          <cell r="A133" t="str">
            <v>1,03,20</v>
          </cell>
          <cell r="B133" t="str">
            <v>Tubería PVC SAP de 35 mm</v>
          </cell>
          <cell r="C133" t="str">
            <v>ml</v>
          </cell>
          <cell r="E133">
            <v>0.24570024570024571</v>
          </cell>
          <cell r="F133">
            <v>0.87</v>
          </cell>
          <cell r="G133">
            <v>0.21</v>
          </cell>
        </row>
        <row r="134">
          <cell r="A134" t="str">
            <v>1,03,20</v>
          </cell>
          <cell r="B134" t="str">
            <v>Curva PVC SAP de 35 mm</v>
          </cell>
          <cell r="C134" t="str">
            <v>und</v>
          </cell>
          <cell r="E134">
            <v>2.9484029484029485E-2</v>
          </cell>
          <cell r="F134">
            <v>1.39</v>
          </cell>
          <cell r="G134">
            <v>0.04</v>
          </cell>
        </row>
        <row r="135">
          <cell r="A135" t="str">
            <v>1,03,20</v>
          </cell>
          <cell r="B135" t="str">
            <v>Unión PVC SAP de 35 mm</v>
          </cell>
          <cell r="C135" t="str">
            <v>und</v>
          </cell>
          <cell r="E135">
            <v>5.896805896805897E-2</v>
          </cell>
          <cell r="F135">
            <v>0.53</v>
          </cell>
          <cell r="G135">
            <v>0.03</v>
          </cell>
        </row>
        <row r="136">
          <cell r="A136" t="str">
            <v>1,03,20</v>
          </cell>
          <cell r="B136" t="str">
            <v>Conexión PVC SAP de 35 mm</v>
          </cell>
          <cell r="C136" t="str">
            <v>und</v>
          </cell>
          <cell r="E136">
            <v>5.896805896805897E-2</v>
          </cell>
          <cell r="F136">
            <v>0.31</v>
          </cell>
          <cell r="G136">
            <v>0.02</v>
          </cell>
        </row>
        <row r="137">
          <cell r="A137" t="str">
            <v>1,03,20</v>
          </cell>
          <cell r="B137" t="str">
            <v>Caja F°G° 150x150x100 mm</v>
          </cell>
          <cell r="C137" t="str">
            <v>und</v>
          </cell>
          <cell r="E137">
            <v>0</v>
          </cell>
          <cell r="F137">
            <v>5.4</v>
          </cell>
          <cell r="G137">
            <v>0</v>
          </cell>
        </row>
        <row r="138">
          <cell r="A138" t="str">
            <v>1,03,20</v>
          </cell>
          <cell r="B138" t="str">
            <v>Conductor de 16 mm2 THW</v>
          </cell>
          <cell r="C138" t="str">
            <v>ml</v>
          </cell>
          <cell r="E138">
            <v>3.06</v>
          </cell>
          <cell r="F138">
            <v>0.64800000000000002</v>
          </cell>
          <cell r="G138">
            <v>1.98</v>
          </cell>
        </row>
        <row r="139">
          <cell r="A139" t="str">
            <v>1,03,20</v>
          </cell>
          <cell r="B139" t="str">
            <v>Conductor de 10 mm2 TW</v>
          </cell>
          <cell r="C139" t="str">
            <v>ml</v>
          </cell>
          <cell r="E139">
            <v>1.02</v>
          </cell>
          <cell r="F139">
            <v>0.43</v>
          </cell>
          <cell r="G139">
            <v>0.44</v>
          </cell>
        </row>
        <row r="140">
          <cell r="A140" t="str">
            <v>1,03,20</v>
          </cell>
          <cell r="B140" t="str">
            <v>Abrazadera galv. 35mm</v>
          </cell>
          <cell r="C140" t="str">
            <v>und</v>
          </cell>
          <cell r="E140">
            <v>3.6855036855036855E-2</v>
          </cell>
          <cell r="F140">
            <v>0.43</v>
          </cell>
          <cell r="G140">
            <v>0.02</v>
          </cell>
        </row>
        <row r="141">
          <cell r="A141" t="str">
            <v>1,03,20</v>
          </cell>
          <cell r="B141" t="str">
            <v>Tarugo plastico verde de 1/4</v>
          </cell>
          <cell r="C141" t="str">
            <v>und</v>
          </cell>
          <cell r="E141">
            <v>4.9140049140049137E-2</v>
          </cell>
          <cell r="F141">
            <v>0.115</v>
          </cell>
          <cell r="G141">
            <v>0.01</v>
          </cell>
        </row>
        <row r="142">
          <cell r="A142" t="str">
            <v>1,03,20</v>
          </cell>
          <cell r="B142" t="str">
            <v>Tornillo autoroscante de 8x1"</v>
          </cell>
          <cell r="C142" t="str">
            <v>und</v>
          </cell>
          <cell r="E142">
            <v>4.9140049140049137E-2</v>
          </cell>
          <cell r="F142">
            <v>4.2000000000000003E-2</v>
          </cell>
          <cell r="G142">
            <v>0</v>
          </cell>
        </row>
        <row r="143">
          <cell r="A143" t="str">
            <v>1,03,20</v>
          </cell>
          <cell r="B143" t="str">
            <v>Tornillo autoroscante de8x1/2"</v>
          </cell>
          <cell r="C143" t="str">
            <v>und</v>
          </cell>
          <cell r="E143">
            <v>4.9140049140049137E-2</v>
          </cell>
          <cell r="F143">
            <v>4.2000000000000003E-2</v>
          </cell>
          <cell r="G143">
            <v>0</v>
          </cell>
        </row>
        <row r="144">
          <cell r="A144" t="str">
            <v>1,03,20</v>
          </cell>
          <cell r="B144" t="str">
            <v>Cinta aislante de 3/4" x 20 m.</v>
          </cell>
          <cell r="C144" t="str">
            <v>und</v>
          </cell>
          <cell r="E144">
            <v>0.02</v>
          </cell>
          <cell r="F144">
            <v>2.5</v>
          </cell>
          <cell r="G144">
            <v>0.05</v>
          </cell>
        </row>
        <row r="145">
          <cell r="A145" t="str">
            <v>1,03,20</v>
          </cell>
          <cell r="B145" t="str">
            <v>Pegamento de 1/4 de galón</v>
          </cell>
          <cell r="C145" t="str">
            <v>und</v>
          </cell>
          <cell r="E145">
            <v>0.02</v>
          </cell>
          <cell r="F145">
            <v>6.3959999999999999</v>
          </cell>
          <cell r="G145">
            <v>0.13</v>
          </cell>
        </row>
        <row r="146">
          <cell r="A146" t="str">
            <v>1,03,20</v>
          </cell>
          <cell r="B146" t="str">
            <v>Mano de obra</v>
          </cell>
          <cell r="G146">
            <v>2.63</v>
          </cell>
        </row>
        <row r="147">
          <cell r="A147" t="str">
            <v>1,03,20</v>
          </cell>
          <cell r="B147" t="str">
            <v>Operario</v>
          </cell>
          <cell r="C147" t="str">
            <v>HH</v>
          </cell>
          <cell r="D147">
            <v>3</v>
          </cell>
          <cell r="E147">
            <v>0.1702127659574468</v>
          </cell>
          <cell r="F147">
            <v>2.84</v>
          </cell>
          <cell r="G147">
            <v>1.45</v>
          </cell>
          <cell r="H147">
            <v>47</v>
          </cell>
        </row>
        <row r="148">
          <cell r="A148" t="str">
            <v>1,03,20</v>
          </cell>
          <cell r="B148" t="str">
            <v>Peón</v>
          </cell>
          <cell r="C148" t="str">
            <v>HH</v>
          </cell>
          <cell r="D148">
            <v>3</v>
          </cell>
          <cell r="E148">
            <v>0.1702127659574468</v>
          </cell>
          <cell r="F148">
            <v>2.3199999999999998</v>
          </cell>
          <cell r="G148">
            <v>1.18</v>
          </cell>
          <cell r="H148">
            <v>47</v>
          </cell>
        </row>
        <row r="149">
          <cell r="A149" t="str">
            <v>1,03,20</v>
          </cell>
          <cell r="B149" t="str">
            <v>Equipos</v>
          </cell>
          <cell r="G149">
            <v>0.13</v>
          </cell>
        </row>
        <row r="150">
          <cell r="A150" t="str">
            <v>1,03,20</v>
          </cell>
          <cell r="B150" t="str">
            <v>Escalera</v>
          </cell>
          <cell r="C150" t="str">
            <v>DIA</v>
          </cell>
          <cell r="E150">
            <v>2.1276595744680851E-2</v>
          </cell>
          <cell r="F150">
            <v>1</v>
          </cell>
          <cell r="G150">
            <v>0</v>
          </cell>
        </row>
        <row r="151">
          <cell r="A151" t="str">
            <v>1,03,20</v>
          </cell>
          <cell r="B151" t="str">
            <v>Taladro Hilti</v>
          </cell>
          <cell r="C151" t="str">
            <v>DIA</v>
          </cell>
          <cell r="E151">
            <v>2.1276595744680851E-2</v>
          </cell>
          <cell r="F151">
            <v>6.5</v>
          </cell>
          <cell r="G151">
            <v>0</v>
          </cell>
        </row>
        <row r="152">
          <cell r="A152" t="str">
            <v>1,03,20</v>
          </cell>
          <cell r="B152" t="str">
            <v>Desgaste de herramientas</v>
          </cell>
          <cell r="C152" t="str">
            <v>%MO</v>
          </cell>
          <cell r="E152">
            <v>0.05</v>
          </cell>
          <cell r="F152">
            <v>2.63</v>
          </cell>
          <cell r="G152">
            <v>0.13</v>
          </cell>
        </row>
        <row r="153">
          <cell r="A153" t="str">
            <v>1,03,21</v>
          </cell>
          <cell r="B153" t="str">
            <v>Alimentador de 2x4 mm2 THW para iluminación de postes en patio</v>
          </cell>
          <cell r="F153" t="str">
            <v>( ml )</v>
          </cell>
          <cell r="G153">
            <v>1.1500000000000001</v>
          </cell>
          <cell r="I153" t="str">
            <v>1,03,21</v>
          </cell>
        </row>
        <row r="154">
          <cell r="A154" t="str">
            <v>1,03,21</v>
          </cell>
          <cell r="C154" t="str">
            <v>und.</v>
          </cell>
          <cell r="D154" t="str">
            <v>cuad.</v>
          </cell>
          <cell r="E154" t="str">
            <v>cant.</v>
          </cell>
          <cell r="F154" t="str">
            <v>prec. $</v>
          </cell>
          <cell r="G154" t="str">
            <v>parcial $</v>
          </cell>
        </row>
        <row r="155">
          <cell r="A155" t="str">
            <v>1,03,21</v>
          </cell>
          <cell r="B155" t="str">
            <v>Materiales</v>
          </cell>
          <cell r="G155">
            <v>1.05</v>
          </cell>
        </row>
        <row r="156">
          <cell r="A156" t="str">
            <v>1,03,21</v>
          </cell>
          <cell r="B156" t="str">
            <v>Tubería PVC SAP de 20 mm</v>
          </cell>
          <cell r="C156" t="str">
            <v>ml</v>
          </cell>
          <cell r="F156">
            <v>0.41</v>
          </cell>
          <cell r="G156">
            <v>0</v>
          </cell>
        </row>
        <row r="157">
          <cell r="A157" t="str">
            <v>1,03,21</v>
          </cell>
          <cell r="B157" t="str">
            <v>Curva PVC SAP de 20 mm</v>
          </cell>
          <cell r="C157" t="str">
            <v>und</v>
          </cell>
          <cell r="F157">
            <v>0.59</v>
          </cell>
          <cell r="G157">
            <v>0</v>
          </cell>
        </row>
        <row r="158">
          <cell r="A158" t="str">
            <v>1,03,21</v>
          </cell>
          <cell r="B158" t="str">
            <v>Unión PVC SAP de 20 mm</v>
          </cell>
          <cell r="C158" t="str">
            <v>und</v>
          </cell>
          <cell r="F158">
            <v>0.25</v>
          </cell>
          <cell r="G158">
            <v>0</v>
          </cell>
        </row>
        <row r="159">
          <cell r="A159" t="str">
            <v>1,03,21</v>
          </cell>
          <cell r="B159" t="str">
            <v>Conexión PVC SAP de 20 mm</v>
          </cell>
          <cell r="C159" t="str">
            <v>und</v>
          </cell>
          <cell r="F159">
            <v>0.17399999999999999</v>
          </cell>
          <cell r="G159">
            <v>0</v>
          </cell>
        </row>
        <row r="160">
          <cell r="A160" t="str">
            <v>1,03,21</v>
          </cell>
          <cell r="B160" t="str">
            <v>Conductor de 4mm2 THW</v>
          </cell>
          <cell r="C160" t="str">
            <v>ml</v>
          </cell>
          <cell r="E160">
            <v>2.04</v>
          </cell>
          <cell r="F160">
            <v>0.32</v>
          </cell>
          <cell r="G160">
            <v>0.65</v>
          </cell>
        </row>
        <row r="161">
          <cell r="A161" t="str">
            <v>1,03,21</v>
          </cell>
          <cell r="B161" t="str">
            <v>Abrazadera de 20 mm</v>
          </cell>
          <cell r="C161" t="str">
            <v>und</v>
          </cell>
          <cell r="F161">
            <v>0.14000000000000001</v>
          </cell>
          <cell r="G161">
            <v>0</v>
          </cell>
        </row>
        <row r="162">
          <cell r="A162" t="str">
            <v>1,03,21</v>
          </cell>
          <cell r="B162" t="str">
            <v>Cinta aislante de 3/4" x 20 m.</v>
          </cell>
          <cell r="C162" t="str">
            <v>und</v>
          </cell>
          <cell r="E162">
            <v>0.06</v>
          </cell>
          <cell r="F162">
            <v>2.5</v>
          </cell>
          <cell r="G162">
            <v>0.15</v>
          </cell>
        </row>
        <row r="163">
          <cell r="A163" t="str">
            <v>1,03,21</v>
          </cell>
          <cell r="B163" t="str">
            <v>Cinta autovulcanizante de 3/4" x 20 m. 3M</v>
          </cell>
          <cell r="C163" t="str">
            <v>und</v>
          </cell>
          <cell r="E163">
            <v>0.04</v>
          </cell>
          <cell r="F163">
            <v>6.27</v>
          </cell>
          <cell r="G163">
            <v>0.25</v>
          </cell>
        </row>
        <row r="164">
          <cell r="A164" t="str">
            <v>1,03,21</v>
          </cell>
          <cell r="B164" t="str">
            <v>Tarugo plastico verde de 1/4</v>
          </cell>
          <cell r="C164" t="str">
            <v>und</v>
          </cell>
          <cell r="F164">
            <v>0.115</v>
          </cell>
          <cell r="G164">
            <v>0</v>
          </cell>
        </row>
        <row r="165">
          <cell r="A165" t="str">
            <v>1,03,21</v>
          </cell>
          <cell r="B165" t="str">
            <v>Tornillo autoroscante de 8x1"</v>
          </cell>
          <cell r="C165" t="str">
            <v>und</v>
          </cell>
          <cell r="F165">
            <v>4.2000000000000003E-2</v>
          </cell>
          <cell r="G165">
            <v>0</v>
          </cell>
        </row>
        <row r="166">
          <cell r="A166" t="str">
            <v>1,03,21</v>
          </cell>
          <cell r="B166" t="str">
            <v>Pegamento de 1/4 de galón</v>
          </cell>
          <cell r="C166" t="str">
            <v>und</v>
          </cell>
          <cell r="F166">
            <v>6.3959999999999999</v>
          </cell>
          <cell r="G166">
            <v>0</v>
          </cell>
        </row>
        <row r="167">
          <cell r="A167" t="str">
            <v>1,03,21</v>
          </cell>
          <cell r="B167" t="str">
            <v>Mano de obra</v>
          </cell>
          <cell r="G167">
            <v>0.09</v>
          </cell>
        </row>
        <row r="168">
          <cell r="A168" t="str">
            <v>1,03,21</v>
          </cell>
          <cell r="B168" t="str">
            <v>Operario</v>
          </cell>
          <cell r="C168" t="str">
            <v>HH</v>
          </cell>
          <cell r="D168">
            <v>1</v>
          </cell>
          <cell r="E168">
            <v>1.6E-2</v>
          </cell>
          <cell r="F168">
            <v>2.84</v>
          </cell>
          <cell r="G168">
            <v>0.05</v>
          </cell>
          <cell r="H168">
            <v>500</v>
          </cell>
        </row>
        <row r="169">
          <cell r="A169" t="str">
            <v>1,03,21</v>
          </cell>
          <cell r="B169" t="str">
            <v>Peón</v>
          </cell>
          <cell r="C169" t="str">
            <v>HH</v>
          </cell>
          <cell r="D169">
            <v>1</v>
          </cell>
          <cell r="E169">
            <v>1.6E-2</v>
          </cell>
          <cell r="F169">
            <v>2.3199999999999998</v>
          </cell>
          <cell r="G169">
            <v>0.04</v>
          </cell>
          <cell r="H169">
            <v>500</v>
          </cell>
        </row>
        <row r="170">
          <cell r="A170" t="str">
            <v>1,03,21</v>
          </cell>
          <cell r="B170" t="str">
            <v>Equipos</v>
          </cell>
          <cell r="G170">
            <v>0.01</v>
          </cell>
        </row>
        <row r="171">
          <cell r="A171" t="str">
            <v>1,03,21</v>
          </cell>
          <cell r="B171" t="str">
            <v>Escalera</v>
          </cell>
          <cell r="C171" t="str">
            <v>DIA</v>
          </cell>
          <cell r="D171">
            <v>1</v>
          </cell>
          <cell r="E171">
            <v>2E-3</v>
          </cell>
          <cell r="F171">
            <v>1</v>
          </cell>
          <cell r="G171">
            <v>0</v>
          </cell>
        </row>
        <row r="172">
          <cell r="A172" t="str">
            <v>1,03,21</v>
          </cell>
          <cell r="B172" t="str">
            <v>Taladro Hilti</v>
          </cell>
          <cell r="C172" t="str">
            <v>DIA</v>
          </cell>
          <cell r="D172">
            <v>1</v>
          </cell>
          <cell r="E172">
            <v>2E-3</v>
          </cell>
          <cell r="F172">
            <v>6.5</v>
          </cell>
          <cell r="G172">
            <v>0.01</v>
          </cell>
        </row>
        <row r="173">
          <cell r="A173" t="str">
            <v>1,03,21</v>
          </cell>
          <cell r="B173" t="str">
            <v>Desgaste de herramientas</v>
          </cell>
          <cell r="C173" t="str">
            <v>%MO</v>
          </cell>
          <cell r="E173">
            <v>0.05</v>
          </cell>
          <cell r="F173">
            <v>0.09</v>
          </cell>
          <cell r="G173">
            <v>0</v>
          </cell>
        </row>
        <row r="174">
          <cell r="A174" t="str">
            <v>1,03,22</v>
          </cell>
          <cell r="B174" t="str">
            <v>Alimentador de 2x4 mm2 THW para iluminación perimetral en tubería 20 mm</v>
          </cell>
          <cell r="F174" t="str">
            <v>( pto )</v>
          </cell>
          <cell r="G174">
            <v>3.59</v>
          </cell>
          <cell r="I174" t="str">
            <v>1,03,22</v>
          </cell>
        </row>
        <row r="175">
          <cell r="A175" t="str">
            <v>1,03,22</v>
          </cell>
          <cell r="C175" t="str">
            <v>und.</v>
          </cell>
          <cell r="D175" t="str">
            <v>cuad.</v>
          </cell>
          <cell r="E175" t="str">
            <v>cant.</v>
          </cell>
          <cell r="F175" t="str">
            <v>prec. $</v>
          </cell>
          <cell r="G175" t="str">
            <v>parcial $</v>
          </cell>
        </row>
        <row r="176">
          <cell r="A176" t="str">
            <v>1,03,22</v>
          </cell>
          <cell r="B176" t="str">
            <v>Materiales</v>
          </cell>
          <cell r="G176">
            <v>1.8900000000000001</v>
          </cell>
        </row>
        <row r="177">
          <cell r="A177" t="str">
            <v>1,03,22</v>
          </cell>
          <cell r="B177" t="str">
            <v>Tubería PVC SAP de 20 mm</v>
          </cell>
          <cell r="C177" t="str">
            <v>ml</v>
          </cell>
          <cell r="E177">
            <v>1.02</v>
          </cell>
          <cell r="F177">
            <v>0.41</v>
          </cell>
          <cell r="G177">
            <v>0.42</v>
          </cell>
        </row>
        <row r="178">
          <cell r="A178" t="str">
            <v>1,03,22</v>
          </cell>
          <cell r="B178" t="str">
            <v>Curva PVC SAP de 20 mm</v>
          </cell>
          <cell r="C178" t="str">
            <v>und</v>
          </cell>
          <cell r="E178">
            <v>0.05</v>
          </cell>
          <cell r="F178">
            <v>0.59</v>
          </cell>
          <cell r="G178">
            <v>0.03</v>
          </cell>
        </row>
        <row r="179">
          <cell r="A179" t="str">
            <v>1,03,22</v>
          </cell>
          <cell r="B179" t="str">
            <v>Unión PVC SAP de 20 mm</v>
          </cell>
          <cell r="C179" t="str">
            <v>und</v>
          </cell>
          <cell r="E179">
            <v>7.0000000000000007E-2</v>
          </cell>
          <cell r="F179">
            <v>0.25</v>
          </cell>
          <cell r="G179">
            <v>0.02</v>
          </cell>
        </row>
        <row r="180">
          <cell r="A180" t="str">
            <v>1,03,22</v>
          </cell>
          <cell r="B180" t="str">
            <v>Conexión PVC SAP de 20 mm</v>
          </cell>
          <cell r="C180" t="str">
            <v>und</v>
          </cell>
          <cell r="E180">
            <v>7.0000000000000007E-2</v>
          </cell>
          <cell r="F180">
            <v>0.17399999999999999</v>
          </cell>
          <cell r="G180">
            <v>0.01</v>
          </cell>
        </row>
        <row r="181">
          <cell r="A181" t="str">
            <v>1,03,22</v>
          </cell>
          <cell r="B181" t="str">
            <v>Conductor de 4mm2 THW</v>
          </cell>
          <cell r="C181" t="str">
            <v>ml</v>
          </cell>
          <cell r="E181">
            <v>2.04</v>
          </cell>
          <cell r="F181">
            <v>0.32</v>
          </cell>
          <cell r="G181">
            <v>0.65</v>
          </cell>
        </row>
        <row r="182">
          <cell r="A182" t="str">
            <v>1,03,22</v>
          </cell>
          <cell r="B182" t="str">
            <v>Abrazadera de 20 mm</v>
          </cell>
          <cell r="C182" t="str">
            <v>und</v>
          </cell>
          <cell r="E182">
            <v>1.02</v>
          </cell>
          <cell r="F182">
            <v>0.14000000000000001</v>
          </cell>
          <cell r="G182">
            <v>0.14000000000000001</v>
          </cell>
        </row>
        <row r="183">
          <cell r="A183" t="str">
            <v>1,03,22</v>
          </cell>
          <cell r="B183" t="str">
            <v>Cinta aislante de 3/4" x 20 m.</v>
          </cell>
          <cell r="C183" t="str">
            <v>und</v>
          </cell>
          <cell r="E183">
            <v>0.06</v>
          </cell>
          <cell r="F183">
            <v>2.5</v>
          </cell>
          <cell r="G183">
            <v>0.15</v>
          </cell>
        </row>
        <row r="184">
          <cell r="A184" t="str">
            <v>1,03,22</v>
          </cell>
          <cell r="B184" t="str">
            <v>Cinta autovulcanizante de 3/4" x 20 m. 3M</v>
          </cell>
          <cell r="C184" t="str">
            <v>und</v>
          </cell>
          <cell r="E184">
            <v>0.04</v>
          </cell>
          <cell r="F184">
            <v>6.27</v>
          </cell>
          <cell r="G184">
            <v>0.25</v>
          </cell>
        </row>
        <row r="185">
          <cell r="A185" t="str">
            <v>1,03,22</v>
          </cell>
          <cell r="B185" t="str">
            <v>Tarugo plastico verde de 1/4</v>
          </cell>
          <cell r="C185" t="str">
            <v>und</v>
          </cell>
          <cell r="E185">
            <v>1.02</v>
          </cell>
          <cell r="F185">
            <v>0.115</v>
          </cell>
          <cell r="G185">
            <v>0.12</v>
          </cell>
        </row>
        <row r="186">
          <cell r="A186" t="str">
            <v>1,03,22</v>
          </cell>
          <cell r="B186" t="str">
            <v>Tornillo autoroscante de 8x1"</v>
          </cell>
          <cell r="C186" t="str">
            <v>und</v>
          </cell>
          <cell r="E186">
            <v>1.02</v>
          </cell>
          <cell r="F186">
            <v>4.2000000000000003E-2</v>
          </cell>
          <cell r="G186">
            <v>0.04</v>
          </cell>
        </row>
        <row r="187">
          <cell r="A187" t="str">
            <v>1,03,22</v>
          </cell>
          <cell r="B187" t="str">
            <v>Pegamento de 1/4 de galón</v>
          </cell>
          <cell r="C187" t="str">
            <v>und</v>
          </cell>
          <cell r="E187">
            <v>0.01</v>
          </cell>
          <cell r="F187">
            <v>6.3959999999999999</v>
          </cell>
          <cell r="G187">
            <v>0.06</v>
          </cell>
        </row>
        <row r="188">
          <cell r="A188" t="str">
            <v>1,03,22</v>
          </cell>
          <cell r="B188" t="str">
            <v>Mano de obra</v>
          </cell>
          <cell r="G188">
            <v>1.38</v>
          </cell>
        </row>
        <row r="189">
          <cell r="A189" t="str">
            <v>1,03,22</v>
          </cell>
          <cell r="B189" t="str">
            <v>Operario</v>
          </cell>
          <cell r="C189" t="str">
            <v>HH</v>
          </cell>
          <cell r="D189">
            <v>1</v>
          </cell>
          <cell r="E189">
            <v>0.26666666666666666</v>
          </cell>
          <cell r="F189">
            <v>2.84</v>
          </cell>
          <cell r="G189">
            <v>0.76</v>
          </cell>
          <cell r="H189">
            <v>30</v>
          </cell>
        </row>
        <row r="190">
          <cell r="A190" t="str">
            <v>1,03,22</v>
          </cell>
          <cell r="B190" t="str">
            <v>Peón</v>
          </cell>
          <cell r="C190" t="str">
            <v>HH</v>
          </cell>
          <cell r="D190">
            <v>1</v>
          </cell>
          <cell r="E190">
            <v>0.26666666666666666</v>
          </cell>
          <cell r="F190">
            <v>2.3199999999999998</v>
          </cell>
          <cell r="G190">
            <v>0.62</v>
          </cell>
          <cell r="H190">
            <v>30</v>
          </cell>
        </row>
        <row r="191">
          <cell r="A191" t="str">
            <v>1,03,22</v>
          </cell>
          <cell r="B191" t="str">
            <v>Equipos</v>
          </cell>
          <cell r="G191">
            <v>0.32</v>
          </cell>
        </row>
        <row r="192">
          <cell r="A192" t="str">
            <v>1,03,22</v>
          </cell>
          <cell r="B192" t="str">
            <v>Escalera</v>
          </cell>
          <cell r="C192" t="str">
            <v>DIA</v>
          </cell>
          <cell r="D192">
            <v>1</v>
          </cell>
          <cell r="E192">
            <v>3.3333333333333333E-2</v>
          </cell>
          <cell r="F192">
            <v>1</v>
          </cell>
          <cell r="G192">
            <v>0.03</v>
          </cell>
        </row>
        <row r="193">
          <cell r="A193" t="str">
            <v>1,03,22</v>
          </cell>
          <cell r="B193" t="str">
            <v>Taladro Hilti</v>
          </cell>
          <cell r="C193" t="str">
            <v>DIA</v>
          </cell>
          <cell r="D193">
            <v>1</v>
          </cell>
          <cell r="E193">
            <v>3.3333333333333333E-2</v>
          </cell>
          <cell r="F193">
            <v>6.5</v>
          </cell>
          <cell r="G193">
            <v>0.22</v>
          </cell>
        </row>
        <row r="194">
          <cell r="A194" t="str">
            <v>1,03,22</v>
          </cell>
          <cell r="B194" t="str">
            <v>Desgaste de herramientas</v>
          </cell>
          <cell r="C194" t="str">
            <v>%MO</v>
          </cell>
          <cell r="E194">
            <v>0.05</v>
          </cell>
          <cell r="F194">
            <v>1.38</v>
          </cell>
          <cell r="G194">
            <v>7.0000000000000007E-2</v>
          </cell>
        </row>
        <row r="195">
          <cell r="A195" t="str">
            <v>1,03,23</v>
          </cell>
          <cell r="B195" t="str">
            <v>Tablero eléctrico de distribución TD</v>
          </cell>
          <cell r="F195" t="str">
            <v>(und)</v>
          </cell>
          <cell r="G195">
            <v>361.21000000000009</v>
          </cell>
          <cell r="I195" t="str">
            <v>1,03,23</v>
          </cell>
        </row>
        <row r="196">
          <cell r="A196" t="str">
            <v>1,03,23</v>
          </cell>
          <cell r="C196" t="str">
            <v>und.</v>
          </cell>
          <cell r="D196" t="str">
            <v>cuad.</v>
          </cell>
          <cell r="E196" t="str">
            <v>cant.</v>
          </cell>
          <cell r="F196" t="str">
            <v>prec. $</v>
          </cell>
          <cell r="G196" t="str">
            <v>parcial $</v>
          </cell>
        </row>
        <row r="197">
          <cell r="A197" t="str">
            <v>1,03,23</v>
          </cell>
          <cell r="B197" t="str">
            <v>Materiales</v>
          </cell>
          <cell r="G197">
            <v>311.37000000000006</v>
          </cell>
        </row>
        <row r="198">
          <cell r="A198" t="str">
            <v>1,03,23</v>
          </cell>
          <cell r="B198" t="str">
            <v>Tablero eléctrico de distribución TD</v>
          </cell>
          <cell r="C198" t="str">
            <v>und</v>
          </cell>
          <cell r="E198">
            <v>1</v>
          </cell>
          <cell r="F198">
            <v>300</v>
          </cell>
          <cell r="G198">
            <v>300</v>
          </cell>
        </row>
        <row r="199">
          <cell r="A199" t="str">
            <v>1,03,23</v>
          </cell>
          <cell r="B199" t="str">
            <v>Varilla roscada de 1/2"x1,8</v>
          </cell>
          <cell r="C199" t="str">
            <v>und</v>
          </cell>
          <cell r="E199">
            <v>0.3</v>
          </cell>
          <cell r="F199">
            <v>3.71</v>
          </cell>
          <cell r="G199">
            <v>1.1100000000000001</v>
          </cell>
        </row>
        <row r="200">
          <cell r="A200" t="str">
            <v>1,03,23</v>
          </cell>
          <cell r="B200" t="str">
            <v>tuerca hexagonal de 1/2"</v>
          </cell>
          <cell r="C200" t="str">
            <v>und</v>
          </cell>
          <cell r="E200">
            <v>6</v>
          </cell>
          <cell r="F200">
            <v>0.12</v>
          </cell>
          <cell r="G200">
            <v>0.72</v>
          </cell>
        </row>
        <row r="201">
          <cell r="A201" t="str">
            <v>1,03,23</v>
          </cell>
          <cell r="B201" t="str">
            <v>Arandela cuadrada de 1/2"</v>
          </cell>
          <cell r="C201" t="str">
            <v>und</v>
          </cell>
          <cell r="E201">
            <v>6</v>
          </cell>
          <cell r="F201">
            <v>0.53</v>
          </cell>
          <cell r="G201">
            <v>3.18</v>
          </cell>
        </row>
        <row r="202">
          <cell r="A202" t="str">
            <v>1,03,23</v>
          </cell>
          <cell r="B202" t="str">
            <v>Taco de expansión de 1/2"</v>
          </cell>
          <cell r="C202" t="str">
            <v>und</v>
          </cell>
          <cell r="E202">
            <v>6</v>
          </cell>
          <cell r="F202">
            <v>1.06</v>
          </cell>
          <cell r="G202">
            <v>6.36</v>
          </cell>
        </row>
        <row r="203">
          <cell r="A203" t="str">
            <v>1,03,23</v>
          </cell>
          <cell r="B203" t="str">
            <v>Mano de obra</v>
          </cell>
          <cell r="G203">
            <v>41.28</v>
          </cell>
        </row>
        <row r="204">
          <cell r="A204" t="str">
            <v>1,03,23</v>
          </cell>
          <cell r="B204" t="str">
            <v>Operario</v>
          </cell>
          <cell r="C204" t="str">
            <v>HH</v>
          </cell>
          <cell r="D204">
            <v>1</v>
          </cell>
          <cell r="E204">
            <v>8</v>
          </cell>
          <cell r="F204">
            <v>2.84</v>
          </cell>
          <cell r="G204">
            <v>22.72</v>
          </cell>
          <cell r="H204">
            <v>1</v>
          </cell>
        </row>
        <row r="205">
          <cell r="A205" t="str">
            <v>1,03,23</v>
          </cell>
          <cell r="B205" t="str">
            <v>Peón</v>
          </cell>
          <cell r="C205" t="str">
            <v>HH</v>
          </cell>
          <cell r="D205">
            <v>1</v>
          </cell>
          <cell r="E205">
            <v>8</v>
          </cell>
          <cell r="F205">
            <v>2.3199999999999998</v>
          </cell>
          <cell r="G205">
            <v>18.559999999999999</v>
          </cell>
          <cell r="H205">
            <v>1</v>
          </cell>
        </row>
        <row r="206">
          <cell r="A206" t="str">
            <v>1,03,23</v>
          </cell>
          <cell r="B206" t="str">
            <v>Equipos</v>
          </cell>
          <cell r="G206">
            <v>8.56</v>
          </cell>
        </row>
        <row r="207">
          <cell r="A207" t="str">
            <v>1,03,23</v>
          </cell>
          <cell r="B207" t="str">
            <v>Taladro Hilti</v>
          </cell>
          <cell r="C207" t="str">
            <v>DIA</v>
          </cell>
          <cell r="D207">
            <v>1</v>
          </cell>
          <cell r="E207">
            <v>1</v>
          </cell>
          <cell r="F207">
            <v>6.5</v>
          </cell>
          <cell r="G207">
            <v>6.5</v>
          </cell>
        </row>
        <row r="208">
          <cell r="A208" t="str">
            <v>1,03,23</v>
          </cell>
          <cell r="B208" t="str">
            <v>Desgaste de herramientas</v>
          </cell>
          <cell r="C208" t="str">
            <v>%MO</v>
          </cell>
          <cell r="E208">
            <v>0.05</v>
          </cell>
          <cell r="F208">
            <v>41.28</v>
          </cell>
          <cell r="G208">
            <v>2.06</v>
          </cell>
        </row>
        <row r="209">
          <cell r="A209" t="str">
            <v>1,03,24</v>
          </cell>
          <cell r="B209" t="str">
            <v xml:space="preserve">Tablero eléctrico general TG </v>
          </cell>
          <cell r="F209" t="str">
            <v>(und)</v>
          </cell>
          <cell r="G209">
            <v>2777.48</v>
          </cell>
          <cell r="I209" t="str">
            <v>1,03,24</v>
          </cell>
        </row>
        <row r="210">
          <cell r="A210" t="str">
            <v>1,03,24</v>
          </cell>
          <cell r="C210" t="str">
            <v>und.</v>
          </cell>
          <cell r="D210" t="str">
            <v>cuad.</v>
          </cell>
          <cell r="E210" t="str">
            <v>cant.</v>
          </cell>
          <cell r="F210" t="str">
            <v>prec. $</v>
          </cell>
          <cell r="G210" t="str">
            <v>parcial $</v>
          </cell>
        </row>
        <row r="211">
          <cell r="A211" t="str">
            <v>1,03,24</v>
          </cell>
          <cell r="B211" t="str">
            <v>Materiales</v>
          </cell>
          <cell r="G211">
            <v>2524.52</v>
          </cell>
        </row>
        <row r="212">
          <cell r="A212" t="str">
            <v>1,03,24</v>
          </cell>
          <cell r="B212" t="str">
            <v xml:space="preserve">Tablero eléctrico general TG </v>
          </cell>
          <cell r="C212" t="str">
            <v>und</v>
          </cell>
          <cell r="E212">
            <v>1</v>
          </cell>
          <cell r="F212">
            <v>2500</v>
          </cell>
          <cell r="G212">
            <v>2500</v>
          </cell>
        </row>
        <row r="213">
          <cell r="A213" t="str">
            <v>1,03,24</v>
          </cell>
          <cell r="B213" t="str">
            <v>Varilla roscada de 1/2"x1,8</v>
          </cell>
          <cell r="C213" t="str">
            <v>und</v>
          </cell>
          <cell r="E213">
            <v>2</v>
          </cell>
          <cell r="F213">
            <v>3.71</v>
          </cell>
          <cell r="G213">
            <v>7.42</v>
          </cell>
        </row>
        <row r="214">
          <cell r="A214" t="str">
            <v>1,03,24</v>
          </cell>
          <cell r="B214" t="str">
            <v>Tuerca hexagonal de 1/2"</v>
          </cell>
          <cell r="C214" t="str">
            <v>und</v>
          </cell>
          <cell r="E214">
            <v>10</v>
          </cell>
          <cell r="F214">
            <v>0.12</v>
          </cell>
          <cell r="G214">
            <v>1.2</v>
          </cell>
        </row>
        <row r="215">
          <cell r="A215" t="str">
            <v>1,03,24</v>
          </cell>
          <cell r="B215" t="str">
            <v>Arandela cuadrada de 1/2"</v>
          </cell>
          <cell r="C215" t="str">
            <v>und</v>
          </cell>
          <cell r="E215">
            <v>10</v>
          </cell>
          <cell r="F215">
            <v>0.53</v>
          </cell>
          <cell r="G215">
            <v>5.3</v>
          </cell>
        </row>
        <row r="216">
          <cell r="A216" t="str">
            <v>1,03,24</v>
          </cell>
          <cell r="B216" t="str">
            <v>Taco de expansión de 1/2"</v>
          </cell>
          <cell r="C216" t="str">
            <v>und</v>
          </cell>
          <cell r="E216">
            <v>10</v>
          </cell>
          <cell r="F216">
            <v>1.06</v>
          </cell>
          <cell r="G216">
            <v>10.6</v>
          </cell>
        </row>
        <row r="217">
          <cell r="A217" t="str">
            <v>1,03,24</v>
          </cell>
          <cell r="B217" t="str">
            <v>Mano de obra</v>
          </cell>
          <cell r="G217">
            <v>239.35999999999999</v>
          </cell>
        </row>
        <row r="218">
          <cell r="A218" t="str">
            <v>1,03,24</v>
          </cell>
          <cell r="B218" t="str">
            <v>Operario</v>
          </cell>
          <cell r="C218" t="str">
            <v>HH</v>
          </cell>
          <cell r="D218">
            <v>1</v>
          </cell>
          <cell r="E218">
            <v>32</v>
          </cell>
          <cell r="F218">
            <v>2.84</v>
          </cell>
          <cell r="G218">
            <v>90.88</v>
          </cell>
          <cell r="H218">
            <v>0.25</v>
          </cell>
        </row>
        <row r="219">
          <cell r="A219" t="str">
            <v>1,03,24</v>
          </cell>
          <cell r="B219" t="str">
            <v>Peón</v>
          </cell>
          <cell r="C219" t="str">
            <v>HH</v>
          </cell>
          <cell r="D219">
            <v>2</v>
          </cell>
          <cell r="E219">
            <v>32</v>
          </cell>
          <cell r="F219">
            <v>2.3199999999999998</v>
          </cell>
          <cell r="G219">
            <v>148.47999999999999</v>
          </cell>
          <cell r="H219">
            <v>0.25</v>
          </cell>
        </row>
        <row r="220">
          <cell r="A220" t="str">
            <v>1,03,24</v>
          </cell>
          <cell r="B220" t="str">
            <v>Equipos</v>
          </cell>
          <cell r="G220">
            <v>13.600000000000001</v>
          </cell>
        </row>
        <row r="221">
          <cell r="A221" t="str">
            <v>1,03,24</v>
          </cell>
          <cell r="B221" t="str">
            <v>Taladro Hilti</v>
          </cell>
          <cell r="C221" t="str">
            <v>DIA</v>
          </cell>
          <cell r="D221">
            <v>1</v>
          </cell>
          <cell r="E221">
            <v>0.25</v>
          </cell>
          <cell r="F221">
            <v>6.5</v>
          </cell>
          <cell r="G221">
            <v>1.63</v>
          </cell>
        </row>
        <row r="222">
          <cell r="A222" t="str">
            <v>1,03,24</v>
          </cell>
          <cell r="B222" t="str">
            <v>Desgaste de herramientas</v>
          </cell>
          <cell r="C222" t="str">
            <v>%MO</v>
          </cell>
          <cell r="E222">
            <v>0.05</v>
          </cell>
          <cell r="F222">
            <v>239.35999999999999</v>
          </cell>
          <cell r="G222">
            <v>11.97</v>
          </cell>
        </row>
        <row r="223">
          <cell r="A223" t="str">
            <v>3,01,01</v>
          </cell>
          <cell r="B223" t="str">
            <v xml:space="preserve">Luminaria fluorescente Josfel tipo braquete de 1 x 40 W BE - AF </v>
          </cell>
          <cell r="F223" t="str">
            <v>(und)</v>
          </cell>
          <cell r="G223">
            <v>15.920000000000002</v>
          </cell>
          <cell r="I223" t="str">
            <v>3,01,01</v>
          </cell>
        </row>
        <row r="224">
          <cell r="A224" t="str">
            <v>3,01,01</v>
          </cell>
          <cell r="C224" t="str">
            <v>und.</v>
          </cell>
          <cell r="D224" t="str">
            <v>cuad.</v>
          </cell>
          <cell r="E224" t="str">
            <v>cant.</v>
          </cell>
          <cell r="F224" t="str">
            <v>prec. $</v>
          </cell>
          <cell r="G224" t="str">
            <v>parcial $</v>
          </cell>
        </row>
        <row r="225">
          <cell r="A225" t="str">
            <v>3,01,01</v>
          </cell>
          <cell r="B225" t="str">
            <v>Materiales</v>
          </cell>
          <cell r="G225">
            <v>10.830000000000002</v>
          </cell>
        </row>
        <row r="226">
          <cell r="A226" t="str">
            <v>3,01,01</v>
          </cell>
          <cell r="B226" t="str">
            <v xml:space="preserve">Luminaria fluorescente Josfel tipo braquete de 1 x 40 W BE - AF </v>
          </cell>
          <cell r="C226" t="str">
            <v>und</v>
          </cell>
          <cell r="E226">
            <v>1</v>
          </cell>
          <cell r="F226">
            <v>9</v>
          </cell>
          <cell r="G226">
            <v>9</v>
          </cell>
        </row>
        <row r="227">
          <cell r="A227" t="str">
            <v>3,01,01</v>
          </cell>
          <cell r="B227" t="str">
            <v>Solporte de artefacto</v>
          </cell>
          <cell r="C227" t="str">
            <v>und</v>
          </cell>
          <cell r="E227">
            <v>1</v>
          </cell>
          <cell r="F227">
            <v>0.8</v>
          </cell>
          <cell r="G227">
            <v>0.8</v>
          </cell>
        </row>
        <row r="228">
          <cell r="A228" t="str">
            <v>3,01,01</v>
          </cell>
          <cell r="B228" t="str">
            <v>Alambre galvanizado N° 16 AWG</v>
          </cell>
          <cell r="C228" t="str">
            <v>ml</v>
          </cell>
          <cell r="E228">
            <v>2.4</v>
          </cell>
          <cell r="F228">
            <v>0.13</v>
          </cell>
          <cell r="G228">
            <v>0.31</v>
          </cell>
        </row>
        <row r="229">
          <cell r="A229" t="str">
            <v>3,01,01</v>
          </cell>
          <cell r="B229" t="str">
            <v>Tapa ciega Octogonal de F°G°</v>
          </cell>
          <cell r="C229" t="str">
            <v>und</v>
          </cell>
          <cell r="F229">
            <v>0.45</v>
          </cell>
          <cell r="G229">
            <v>0</v>
          </cell>
        </row>
        <row r="230">
          <cell r="A230" t="str">
            <v>3,01,01</v>
          </cell>
          <cell r="B230" t="str">
            <v>Tuberia flexible de PVC de 15 mm</v>
          </cell>
          <cell r="C230" t="str">
            <v>ml</v>
          </cell>
          <cell r="F230">
            <v>0.63</v>
          </cell>
          <cell r="G230">
            <v>0</v>
          </cell>
        </row>
        <row r="231">
          <cell r="A231" t="str">
            <v>3,01,01</v>
          </cell>
          <cell r="B231" t="str">
            <v>Conector de PVC para tuberia flexible de 15mm</v>
          </cell>
          <cell r="C231" t="str">
            <v>und</v>
          </cell>
          <cell r="F231">
            <v>0.98</v>
          </cell>
          <cell r="G231">
            <v>0</v>
          </cell>
        </row>
        <row r="232">
          <cell r="A232" t="str">
            <v>3,01,01</v>
          </cell>
          <cell r="B232" t="str">
            <v>Cable de 2.5 TW</v>
          </cell>
          <cell r="C232" t="str">
            <v>ml</v>
          </cell>
          <cell r="E232">
            <v>1.8</v>
          </cell>
          <cell r="F232">
            <v>0.18</v>
          </cell>
          <cell r="G232">
            <v>0.32</v>
          </cell>
        </row>
        <row r="233">
          <cell r="A233" t="str">
            <v>3,01,01</v>
          </cell>
          <cell r="B233" t="str">
            <v>Cinta aislante de 3/4" x 20 m.</v>
          </cell>
          <cell r="C233" t="str">
            <v>und</v>
          </cell>
          <cell r="E233">
            <v>0.06</v>
          </cell>
          <cell r="F233">
            <v>2.5</v>
          </cell>
          <cell r="G233">
            <v>0.15</v>
          </cell>
        </row>
        <row r="234">
          <cell r="A234" t="str">
            <v>3,01,01</v>
          </cell>
          <cell r="B234" t="str">
            <v>Cinta autovulcanizante de 3/4" x 20 m. 3M</v>
          </cell>
          <cell r="C234" t="str">
            <v>und</v>
          </cell>
          <cell r="E234">
            <v>0.04</v>
          </cell>
          <cell r="F234">
            <v>6.27</v>
          </cell>
          <cell r="G234">
            <v>0.25</v>
          </cell>
        </row>
        <row r="235">
          <cell r="A235" t="str">
            <v>3,01,01</v>
          </cell>
          <cell r="B235" t="str">
            <v>Mano de obra</v>
          </cell>
          <cell r="G235">
            <v>4.13</v>
          </cell>
        </row>
        <row r="236">
          <cell r="A236" t="str">
            <v>3,01,01</v>
          </cell>
          <cell r="B236" t="str">
            <v>Operario</v>
          </cell>
          <cell r="C236" t="str">
            <v>HH</v>
          </cell>
          <cell r="D236">
            <v>1</v>
          </cell>
          <cell r="E236">
            <v>0.8</v>
          </cell>
          <cell r="F236">
            <v>2.84</v>
          </cell>
          <cell r="G236">
            <v>2.27</v>
          </cell>
          <cell r="H236">
            <v>10</v>
          </cell>
        </row>
        <row r="237">
          <cell r="A237" t="str">
            <v>3,01,01</v>
          </cell>
          <cell r="B237" t="str">
            <v>Peón</v>
          </cell>
          <cell r="C237" t="str">
            <v>HH</v>
          </cell>
          <cell r="D237">
            <v>1</v>
          </cell>
          <cell r="E237">
            <v>0.8</v>
          </cell>
          <cell r="F237">
            <v>2.3199999999999998</v>
          </cell>
          <cell r="G237">
            <v>1.86</v>
          </cell>
          <cell r="H237">
            <v>10</v>
          </cell>
        </row>
        <row r="238">
          <cell r="A238" t="str">
            <v>3,01,01</v>
          </cell>
          <cell r="B238" t="str">
            <v>Equipos</v>
          </cell>
          <cell r="G238">
            <v>0.96</v>
          </cell>
        </row>
        <row r="239">
          <cell r="A239" t="str">
            <v>3,01,01</v>
          </cell>
          <cell r="B239" t="str">
            <v>Escalera</v>
          </cell>
          <cell r="C239" t="str">
            <v>DIA</v>
          </cell>
          <cell r="D239">
            <v>1</v>
          </cell>
          <cell r="E239">
            <v>0.1</v>
          </cell>
          <cell r="F239">
            <v>1</v>
          </cell>
          <cell r="G239">
            <v>0.1</v>
          </cell>
        </row>
        <row r="240">
          <cell r="A240" t="str">
            <v>3,01,01</v>
          </cell>
          <cell r="B240" t="str">
            <v>Taladro hilti</v>
          </cell>
          <cell r="C240" t="str">
            <v>DIA</v>
          </cell>
          <cell r="D240">
            <v>1</v>
          </cell>
          <cell r="E240">
            <v>0.1</v>
          </cell>
          <cell r="F240">
            <v>6.5</v>
          </cell>
          <cell r="G240">
            <v>0.65</v>
          </cell>
        </row>
        <row r="241">
          <cell r="A241" t="str">
            <v>3,01,01</v>
          </cell>
          <cell r="B241" t="str">
            <v>Desgaste de herramientas</v>
          </cell>
          <cell r="C241" t="str">
            <v>%MO</v>
          </cell>
          <cell r="E241">
            <v>0.05</v>
          </cell>
          <cell r="F241">
            <v>4.13</v>
          </cell>
          <cell r="G241">
            <v>0.21</v>
          </cell>
        </row>
        <row r="242">
          <cell r="A242" t="str">
            <v>3,01,02</v>
          </cell>
          <cell r="B242" t="str">
            <v xml:space="preserve">Luminaria fluorescente Josfel tipo braquete de 2 x 40 W BE - AF </v>
          </cell>
          <cell r="F242" t="str">
            <v>(und)</v>
          </cell>
          <cell r="G242">
            <v>21.919999999999998</v>
          </cell>
          <cell r="I242" t="str">
            <v>3,01,02</v>
          </cell>
        </row>
        <row r="243">
          <cell r="A243" t="str">
            <v>3,01,02</v>
          </cell>
          <cell r="C243" t="str">
            <v>und.</v>
          </cell>
          <cell r="D243" t="str">
            <v>cuad.</v>
          </cell>
          <cell r="E243" t="str">
            <v>cant.</v>
          </cell>
          <cell r="F243" t="str">
            <v>prec. $</v>
          </cell>
          <cell r="G243" t="str">
            <v>parcial $</v>
          </cell>
        </row>
        <row r="244">
          <cell r="A244" t="str">
            <v>3,01,02</v>
          </cell>
          <cell r="B244" t="str">
            <v>Materiales</v>
          </cell>
          <cell r="G244">
            <v>16.829999999999998</v>
          </cell>
        </row>
        <row r="245">
          <cell r="A245" t="str">
            <v>3,01,02</v>
          </cell>
          <cell r="B245" t="str">
            <v xml:space="preserve">Luminaria fluorescente Josfel tipo braquete de 2 x 40 W BE - AF </v>
          </cell>
          <cell r="C245" t="str">
            <v>und</v>
          </cell>
          <cell r="E245">
            <v>1</v>
          </cell>
          <cell r="F245">
            <v>15</v>
          </cell>
          <cell r="G245">
            <v>15</v>
          </cell>
        </row>
        <row r="246">
          <cell r="A246" t="str">
            <v>3,01,02</v>
          </cell>
          <cell r="B246" t="str">
            <v>Solporte de artefacto</v>
          </cell>
          <cell r="C246" t="str">
            <v>und</v>
          </cell>
          <cell r="E246">
            <v>1</v>
          </cell>
          <cell r="F246">
            <v>0.8</v>
          </cell>
          <cell r="G246">
            <v>0.8</v>
          </cell>
        </row>
        <row r="247">
          <cell r="A247" t="str">
            <v>3,01,02</v>
          </cell>
          <cell r="B247" t="str">
            <v>Alambre galvanizado N° 16 AWG</v>
          </cell>
          <cell r="C247" t="str">
            <v>ml</v>
          </cell>
          <cell r="E247">
            <v>2.4</v>
          </cell>
          <cell r="F247">
            <v>0.13</v>
          </cell>
          <cell r="G247">
            <v>0.31</v>
          </cell>
        </row>
        <row r="248">
          <cell r="A248" t="str">
            <v>3,01,02</v>
          </cell>
          <cell r="B248" t="str">
            <v>Tapa ciega Octogonal de F°G°</v>
          </cell>
          <cell r="C248" t="str">
            <v>und</v>
          </cell>
          <cell r="F248">
            <v>0.45</v>
          </cell>
          <cell r="G248">
            <v>0</v>
          </cell>
        </row>
        <row r="249">
          <cell r="A249" t="str">
            <v>3,01,02</v>
          </cell>
          <cell r="B249" t="str">
            <v>Tuberia flexible de PVC de 15 mm</v>
          </cell>
          <cell r="C249" t="str">
            <v>ml</v>
          </cell>
          <cell r="F249">
            <v>0.63</v>
          </cell>
          <cell r="G249">
            <v>0</v>
          </cell>
        </row>
        <row r="250">
          <cell r="A250" t="str">
            <v>3,01,02</v>
          </cell>
          <cell r="B250" t="str">
            <v>Conector de PVC para tuberia flexible de 15mm</v>
          </cell>
          <cell r="C250" t="str">
            <v>und</v>
          </cell>
          <cell r="F250">
            <v>0.98</v>
          </cell>
          <cell r="G250">
            <v>0</v>
          </cell>
        </row>
        <row r="251">
          <cell r="A251" t="str">
            <v>3,01,02</v>
          </cell>
          <cell r="B251" t="str">
            <v>Cable de 2.5 TW</v>
          </cell>
          <cell r="C251" t="str">
            <v>ml</v>
          </cell>
          <cell r="E251">
            <v>1.8</v>
          </cell>
          <cell r="F251">
            <v>0.18</v>
          </cell>
          <cell r="G251">
            <v>0.32</v>
          </cell>
        </row>
        <row r="252">
          <cell r="A252" t="str">
            <v>3,01,02</v>
          </cell>
          <cell r="B252" t="str">
            <v>Cinta aislante de 3/4" x 20 m.</v>
          </cell>
          <cell r="C252" t="str">
            <v>und</v>
          </cell>
          <cell r="E252">
            <v>0.06</v>
          </cell>
          <cell r="F252">
            <v>2.5</v>
          </cell>
          <cell r="G252">
            <v>0.15</v>
          </cell>
        </row>
        <row r="253">
          <cell r="A253" t="str">
            <v>3,01,02</v>
          </cell>
          <cell r="B253" t="str">
            <v>Cinta autovulcanizante de 3/4" x 20 m. 3M</v>
          </cell>
          <cell r="C253" t="str">
            <v>und</v>
          </cell>
          <cell r="E253">
            <v>0.04</v>
          </cell>
          <cell r="F253">
            <v>6.27</v>
          </cell>
          <cell r="G253">
            <v>0.25</v>
          </cell>
        </row>
        <row r="254">
          <cell r="A254" t="str">
            <v>3,01,02</v>
          </cell>
          <cell r="B254" t="str">
            <v>Mano de obra</v>
          </cell>
          <cell r="G254">
            <v>4.13</v>
          </cell>
        </row>
        <row r="255">
          <cell r="A255" t="str">
            <v>3,01,02</v>
          </cell>
          <cell r="B255" t="str">
            <v>Operario</v>
          </cell>
          <cell r="C255" t="str">
            <v>HH</v>
          </cell>
          <cell r="D255">
            <v>1</v>
          </cell>
          <cell r="E255">
            <v>0.8</v>
          </cell>
          <cell r="F255">
            <v>2.84</v>
          </cell>
          <cell r="G255">
            <v>2.27</v>
          </cell>
          <cell r="H255">
            <v>10</v>
          </cell>
        </row>
        <row r="256">
          <cell r="A256" t="str">
            <v>3,01,02</v>
          </cell>
          <cell r="B256" t="str">
            <v>Peón</v>
          </cell>
          <cell r="C256" t="str">
            <v>HH</v>
          </cell>
          <cell r="D256">
            <v>1</v>
          </cell>
          <cell r="E256">
            <v>0.8</v>
          </cell>
          <cell r="F256">
            <v>2.3199999999999998</v>
          </cell>
          <cell r="G256">
            <v>1.86</v>
          </cell>
          <cell r="H256">
            <v>10</v>
          </cell>
        </row>
        <row r="257">
          <cell r="A257" t="str">
            <v>3,01,02</v>
          </cell>
          <cell r="B257" t="str">
            <v>Equipos</v>
          </cell>
          <cell r="G257">
            <v>0.96</v>
          </cell>
        </row>
        <row r="258">
          <cell r="A258" t="str">
            <v>3,01,02</v>
          </cell>
          <cell r="B258" t="str">
            <v>Escalera</v>
          </cell>
          <cell r="C258" t="str">
            <v>DIA</v>
          </cell>
          <cell r="D258">
            <v>1</v>
          </cell>
          <cell r="E258">
            <v>0.1</v>
          </cell>
          <cell r="F258">
            <v>1</v>
          </cell>
          <cell r="G258">
            <v>0.1</v>
          </cell>
        </row>
        <row r="259">
          <cell r="A259" t="str">
            <v>3,01,02</v>
          </cell>
          <cell r="B259" t="str">
            <v>Taladro hilti</v>
          </cell>
          <cell r="C259" t="str">
            <v>DIA</v>
          </cell>
          <cell r="D259">
            <v>1</v>
          </cell>
          <cell r="E259">
            <v>0.1</v>
          </cell>
          <cell r="F259">
            <v>6.5</v>
          </cell>
          <cell r="G259">
            <v>0.65</v>
          </cell>
        </row>
        <row r="260">
          <cell r="A260" t="str">
            <v>3,01,02</v>
          </cell>
          <cell r="B260" t="str">
            <v>Desgaste de herramientas</v>
          </cell>
          <cell r="C260" t="str">
            <v>%MO</v>
          </cell>
          <cell r="E260">
            <v>0.05</v>
          </cell>
          <cell r="F260">
            <v>4.13</v>
          </cell>
          <cell r="G260">
            <v>0.21</v>
          </cell>
        </row>
        <row r="261">
          <cell r="A261" t="str">
            <v>3,01,03</v>
          </cell>
          <cell r="B261" t="str">
            <v xml:space="preserve">Luminaria fluorescente Josfel tipo braquete de 2 x 40 W con tapas ECM - AF </v>
          </cell>
          <cell r="F261" t="str">
            <v>(und)</v>
          </cell>
          <cell r="G261">
            <v>24.919999999999998</v>
          </cell>
          <cell r="I261" t="str">
            <v>3,01,03</v>
          </cell>
        </row>
        <row r="262">
          <cell r="A262" t="str">
            <v>3,01,03</v>
          </cell>
          <cell r="C262" t="str">
            <v>Uni.</v>
          </cell>
          <cell r="D262" t="str">
            <v>Cuad.</v>
          </cell>
          <cell r="E262" t="str">
            <v>Cant.</v>
          </cell>
          <cell r="F262" t="str">
            <v>Precio $</v>
          </cell>
          <cell r="G262" t="str">
            <v>Sub total</v>
          </cell>
        </row>
        <row r="263">
          <cell r="A263" t="str">
            <v>3,01,03</v>
          </cell>
          <cell r="B263" t="str">
            <v>Materiales</v>
          </cell>
          <cell r="G263">
            <v>19.829999999999998</v>
          </cell>
        </row>
        <row r="264">
          <cell r="A264" t="str">
            <v>3,01,03</v>
          </cell>
          <cell r="B264" t="str">
            <v xml:space="preserve">Luminaria fluorescente Josfel tipo braquete de 2 x 40 W con tapas ECM - AF </v>
          </cell>
          <cell r="C264" t="str">
            <v>und</v>
          </cell>
          <cell r="E264">
            <v>1</v>
          </cell>
          <cell r="F264">
            <v>18</v>
          </cell>
          <cell r="G264">
            <v>18</v>
          </cell>
        </row>
        <row r="265">
          <cell r="A265" t="str">
            <v>3,01,03</v>
          </cell>
          <cell r="B265" t="str">
            <v>Solporte de artefacto</v>
          </cell>
          <cell r="C265" t="str">
            <v>und</v>
          </cell>
          <cell r="E265">
            <v>1</v>
          </cell>
          <cell r="F265">
            <v>0.8</v>
          </cell>
          <cell r="G265">
            <v>0.8</v>
          </cell>
        </row>
        <row r="266">
          <cell r="A266" t="str">
            <v>3,01,03</v>
          </cell>
          <cell r="B266" t="str">
            <v>Alambre galvanizado N° 16 AWG</v>
          </cell>
          <cell r="C266" t="str">
            <v>ml</v>
          </cell>
          <cell r="E266">
            <v>2.4</v>
          </cell>
          <cell r="F266">
            <v>0.13</v>
          </cell>
          <cell r="G266">
            <v>0.31</v>
          </cell>
        </row>
        <row r="267">
          <cell r="A267" t="str">
            <v>3,01,03</v>
          </cell>
          <cell r="B267" t="str">
            <v>Tapa ciega Octogonal de F°G°</v>
          </cell>
          <cell r="C267" t="str">
            <v>und</v>
          </cell>
          <cell r="F267">
            <v>0.45</v>
          </cell>
          <cell r="G267">
            <v>0</v>
          </cell>
        </row>
        <row r="268">
          <cell r="A268" t="str">
            <v>3,01,03</v>
          </cell>
          <cell r="B268" t="str">
            <v>Tuberia flexible de PVC de 15 mm</v>
          </cell>
          <cell r="C268" t="str">
            <v>ml</v>
          </cell>
          <cell r="F268">
            <v>0.63</v>
          </cell>
          <cell r="G268">
            <v>0</v>
          </cell>
        </row>
        <row r="269">
          <cell r="A269" t="str">
            <v>3,01,03</v>
          </cell>
          <cell r="B269" t="str">
            <v>Conector de PVC para tuberia flexible de 15mm</v>
          </cell>
          <cell r="C269" t="str">
            <v>und</v>
          </cell>
          <cell r="F269">
            <v>0.98</v>
          </cell>
          <cell r="G269">
            <v>0</v>
          </cell>
        </row>
        <row r="270">
          <cell r="A270" t="str">
            <v>3,01,03</v>
          </cell>
          <cell r="B270" t="str">
            <v>Cable de 2.5 TW</v>
          </cell>
          <cell r="C270" t="str">
            <v>ml</v>
          </cell>
          <cell r="E270">
            <v>1.8</v>
          </cell>
          <cell r="F270">
            <v>0.18</v>
          </cell>
          <cell r="G270">
            <v>0.32</v>
          </cell>
        </row>
        <row r="271">
          <cell r="A271" t="str">
            <v>3,01,03</v>
          </cell>
          <cell r="B271" t="str">
            <v>Cinta aislante de 3/4" x 20 m.</v>
          </cell>
          <cell r="C271" t="str">
            <v>und</v>
          </cell>
          <cell r="E271">
            <v>0.06</v>
          </cell>
          <cell r="F271">
            <v>2.5</v>
          </cell>
          <cell r="G271">
            <v>0.15</v>
          </cell>
        </row>
        <row r="272">
          <cell r="A272" t="str">
            <v>3,01,03</v>
          </cell>
          <cell r="B272" t="str">
            <v>Cinta autovulcanizante de 3/4" x 20 m. 3M</v>
          </cell>
          <cell r="C272" t="str">
            <v>und</v>
          </cell>
          <cell r="E272">
            <v>0.04</v>
          </cell>
          <cell r="F272">
            <v>6.27</v>
          </cell>
          <cell r="G272">
            <v>0.25</v>
          </cell>
        </row>
        <row r="273">
          <cell r="A273" t="str">
            <v>3,01,03</v>
          </cell>
          <cell r="B273" t="str">
            <v>Mano de obra</v>
          </cell>
          <cell r="G273">
            <v>4.13</v>
          </cell>
        </row>
        <row r="274">
          <cell r="A274" t="str">
            <v>3,01,03</v>
          </cell>
          <cell r="B274" t="str">
            <v>Operario</v>
          </cell>
          <cell r="C274" t="str">
            <v>HH</v>
          </cell>
          <cell r="D274">
            <v>1</v>
          </cell>
          <cell r="E274">
            <v>0.8</v>
          </cell>
          <cell r="F274">
            <v>2.84</v>
          </cell>
          <cell r="G274">
            <v>2.27</v>
          </cell>
          <cell r="H274">
            <v>10</v>
          </cell>
        </row>
        <row r="275">
          <cell r="A275" t="str">
            <v>3,01,03</v>
          </cell>
          <cell r="B275" t="str">
            <v>Peón</v>
          </cell>
          <cell r="C275" t="str">
            <v>HH</v>
          </cell>
          <cell r="D275">
            <v>1</v>
          </cell>
          <cell r="E275">
            <v>0.8</v>
          </cell>
          <cell r="F275">
            <v>2.3199999999999998</v>
          </cell>
          <cell r="G275">
            <v>1.86</v>
          </cell>
          <cell r="H275">
            <v>10</v>
          </cell>
        </row>
        <row r="276">
          <cell r="A276" t="str">
            <v>3,01,03</v>
          </cell>
          <cell r="B276" t="str">
            <v>Equipos</v>
          </cell>
          <cell r="G276">
            <v>0.96</v>
          </cell>
        </row>
        <row r="277">
          <cell r="A277" t="str">
            <v>3,01,03</v>
          </cell>
          <cell r="B277" t="str">
            <v>Escalera</v>
          </cell>
          <cell r="C277" t="str">
            <v>DIA</v>
          </cell>
          <cell r="D277">
            <v>1</v>
          </cell>
          <cell r="E277">
            <v>0.1</v>
          </cell>
          <cell r="F277">
            <v>1</v>
          </cell>
          <cell r="G277">
            <v>0.1</v>
          </cell>
        </row>
        <row r="278">
          <cell r="A278" t="str">
            <v>3,01,03</v>
          </cell>
          <cell r="B278" t="str">
            <v>Taladro hilti</v>
          </cell>
          <cell r="C278" t="str">
            <v>DIA</v>
          </cell>
          <cell r="D278">
            <v>1</v>
          </cell>
          <cell r="E278">
            <v>0.1</v>
          </cell>
          <cell r="F278">
            <v>6.5</v>
          </cell>
          <cell r="G278">
            <v>0.65</v>
          </cell>
        </row>
        <row r="279">
          <cell r="A279" t="str">
            <v>3,01,03</v>
          </cell>
          <cell r="B279" t="str">
            <v>Desgaste de herramientas</v>
          </cell>
          <cell r="C279" t="str">
            <v>%MO</v>
          </cell>
          <cell r="E279">
            <v>0.05</v>
          </cell>
          <cell r="F279">
            <v>4.13</v>
          </cell>
          <cell r="G279">
            <v>0.21</v>
          </cell>
        </row>
        <row r="280">
          <cell r="A280" t="str">
            <v>3,01,04</v>
          </cell>
          <cell r="B280" t="str">
            <v xml:space="preserve">Luminaria fluorescente circular Josfel con difusor acrilico opal 1 x 22 W  TPR - AF </v>
          </cell>
          <cell r="F280" t="str">
            <v>(und)</v>
          </cell>
          <cell r="G280">
            <v>20.770000000000003</v>
          </cell>
          <cell r="I280" t="str">
            <v>3,01,04</v>
          </cell>
        </row>
        <row r="281">
          <cell r="A281" t="str">
            <v>3,01,04</v>
          </cell>
          <cell r="C281" t="str">
            <v>und.</v>
          </cell>
          <cell r="D281" t="str">
            <v>cuad.</v>
          </cell>
          <cell r="E281" t="str">
            <v>cant.</v>
          </cell>
          <cell r="F281" t="str">
            <v>prec. $</v>
          </cell>
          <cell r="G281" t="str">
            <v>parcial $</v>
          </cell>
        </row>
        <row r="282">
          <cell r="A282" t="str">
            <v>3,01,04</v>
          </cell>
          <cell r="B282" t="str">
            <v>Materiales</v>
          </cell>
          <cell r="G282">
            <v>15.680000000000001</v>
          </cell>
        </row>
        <row r="283">
          <cell r="A283" t="str">
            <v>3,01,04</v>
          </cell>
          <cell r="B283" t="str">
            <v xml:space="preserve">Luminaria fluorescente circular Josfel con difusor acrilico opal 1 x 22 W  TPR - AF </v>
          </cell>
          <cell r="C283" t="str">
            <v>und</v>
          </cell>
          <cell r="E283">
            <v>1</v>
          </cell>
          <cell r="F283">
            <v>14</v>
          </cell>
          <cell r="G283">
            <v>14</v>
          </cell>
        </row>
        <row r="284">
          <cell r="A284" t="str">
            <v>3,01,04</v>
          </cell>
          <cell r="B284" t="str">
            <v>Solporte de artefacto</v>
          </cell>
          <cell r="C284" t="str">
            <v>und</v>
          </cell>
          <cell r="E284">
            <v>1</v>
          </cell>
          <cell r="F284">
            <v>0.8</v>
          </cell>
          <cell r="G284">
            <v>0.8</v>
          </cell>
        </row>
        <row r="285">
          <cell r="A285" t="str">
            <v>3,01,04</v>
          </cell>
          <cell r="B285" t="str">
            <v>Alambre galvanizado N° 16 AWG</v>
          </cell>
          <cell r="C285" t="str">
            <v>ml</v>
          </cell>
          <cell r="E285">
            <v>1.2</v>
          </cell>
          <cell r="F285">
            <v>0.13</v>
          </cell>
          <cell r="G285">
            <v>0.16</v>
          </cell>
        </row>
        <row r="286">
          <cell r="A286" t="str">
            <v>3,01,04</v>
          </cell>
          <cell r="B286" t="str">
            <v>Tapa ciega Octogonal de F°G°</v>
          </cell>
          <cell r="C286" t="str">
            <v>und</v>
          </cell>
          <cell r="F286">
            <v>0.45</v>
          </cell>
          <cell r="G286">
            <v>0</v>
          </cell>
        </row>
        <row r="287">
          <cell r="A287" t="str">
            <v>3,01,04</v>
          </cell>
          <cell r="B287" t="str">
            <v>Tuberia flexible de PVC de 15 mm</v>
          </cell>
          <cell r="C287" t="str">
            <v>ml</v>
          </cell>
          <cell r="F287">
            <v>0.63</v>
          </cell>
          <cell r="G287">
            <v>0</v>
          </cell>
        </row>
        <row r="288">
          <cell r="A288" t="str">
            <v>3,01,04</v>
          </cell>
          <cell r="B288" t="str">
            <v>Conector de PVC para tuberia flexible de 15mm</v>
          </cell>
          <cell r="C288" t="str">
            <v>und</v>
          </cell>
          <cell r="F288">
            <v>0.98</v>
          </cell>
          <cell r="G288">
            <v>0</v>
          </cell>
        </row>
        <row r="289">
          <cell r="A289" t="str">
            <v>3,01,04</v>
          </cell>
          <cell r="B289" t="str">
            <v>Cable de 2.5 TW</v>
          </cell>
          <cell r="C289" t="str">
            <v>ml</v>
          </cell>
          <cell r="E289">
            <v>1.8</v>
          </cell>
          <cell r="F289">
            <v>0.18</v>
          </cell>
          <cell r="G289">
            <v>0.32</v>
          </cell>
        </row>
        <row r="290">
          <cell r="A290" t="str">
            <v>3,01,04</v>
          </cell>
          <cell r="B290" t="str">
            <v>Cinta aislante de 3/4" x 20 m.</v>
          </cell>
          <cell r="C290" t="str">
            <v>und</v>
          </cell>
          <cell r="E290">
            <v>0.06</v>
          </cell>
          <cell r="F290">
            <v>2.5</v>
          </cell>
          <cell r="G290">
            <v>0.15</v>
          </cell>
        </row>
        <row r="291">
          <cell r="A291" t="str">
            <v>3,01,04</v>
          </cell>
          <cell r="B291" t="str">
            <v>Cinta autovulcanizante de 3/4" x 20 m. 3M</v>
          </cell>
          <cell r="C291" t="str">
            <v>und</v>
          </cell>
          <cell r="E291">
            <v>0.04</v>
          </cell>
          <cell r="F291">
            <v>6.27</v>
          </cell>
          <cell r="G291">
            <v>0.25</v>
          </cell>
        </row>
        <row r="292">
          <cell r="A292" t="str">
            <v>3,01,04</v>
          </cell>
          <cell r="B292" t="str">
            <v>Mano de obra</v>
          </cell>
          <cell r="G292">
            <v>4.13</v>
          </cell>
        </row>
        <row r="293">
          <cell r="A293" t="str">
            <v>3,01,04</v>
          </cell>
          <cell r="B293" t="str">
            <v>Operario</v>
          </cell>
          <cell r="C293" t="str">
            <v>HH</v>
          </cell>
          <cell r="D293">
            <v>1</v>
          </cell>
          <cell r="E293">
            <v>0.8</v>
          </cell>
          <cell r="F293">
            <v>2.84</v>
          </cell>
          <cell r="G293">
            <v>2.27</v>
          </cell>
          <cell r="H293">
            <v>10</v>
          </cell>
        </row>
        <row r="294">
          <cell r="A294" t="str">
            <v>3,01,04</v>
          </cell>
          <cell r="B294" t="str">
            <v>Peón</v>
          </cell>
          <cell r="C294" t="str">
            <v>HH</v>
          </cell>
          <cell r="D294">
            <v>1</v>
          </cell>
          <cell r="E294">
            <v>0.8</v>
          </cell>
          <cell r="F294">
            <v>2.3199999999999998</v>
          </cell>
          <cell r="G294">
            <v>1.86</v>
          </cell>
          <cell r="H294">
            <v>10</v>
          </cell>
        </row>
        <row r="295">
          <cell r="A295" t="str">
            <v>3,01,04</v>
          </cell>
          <cell r="B295" t="str">
            <v>Equipos</v>
          </cell>
          <cell r="G295">
            <v>0.96</v>
          </cell>
        </row>
        <row r="296">
          <cell r="A296" t="str">
            <v>3,01,04</v>
          </cell>
          <cell r="B296" t="str">
            <v>Escalera</v>
          </cell>
          <cell r="C296" t="str">
            <v>DIA</v>
          </cell>
          <cell r="D296">
            <v>1</v>
          </cell>
          <cell r="E296">
            <v>0.1</v>
          </cell>
          <cell r="F296">
            <v>1</v>
          </cell>
          <cell r="G296">
            <v>0.1</v>
          </cell>
        </row>
        <row r="297">
          <cell r="A297" t="str">
            <v>3,01,04</v>
          </cell>
          <cell r="B297" t="str">
            <v>Taladro hilti</v>
          </cell>
          <cell r="C297" t="str">
            <v>DIA</v>
          </cell>
          <cell r="D297">
            <v>1</v>
          </cell>
          <cell r="E297">
            <v>0.1</v>
          </cell>
          <cell r="F297">
            <v>6.5</v>
          </cell>
          <cell r="G297">
            <v>0.65</v>
          </cell>
        </row>
        <row r="298">
          <cell r="A298" t="str">
            <v>3,01,04</v>
          </cell>
          <cell r="B298" t="str">
            <v>Desgaste de herramientas</v>
          </cell>
          <cell r="C298" t="str">
            <v>%MO</v>
          </cell>
          <cell r="E298">
            <v>0.05</v>
          </cell>
          <cell r="F298">
            <v>4.13</v>
          </cell>
          <cell r="G298">
            <v>0.21</v>
          </cell>
        </row>
        <row r="299">
          <cell r="A299" t="str">
            <v>3,01,05</v>
          </cell>
          <cell r="B299" t="str">
            <v xml:space="preserve">Luminaria fluorescente circular Josfel con difusor acrilico opal 1 x 32 W  TPR - AF </v>
          </cell>
          <cell r="F299" t="str">
            <v>(und)</v>
          </cell>
          <cell r="G299">
            <v>23.77</v>
          </cell>
          <cell r="I299" t="str">
            <v>3,01,05</v>
          </cell>
        </row>
        <row r="300">
          <cell r="A300" t="str">
            <v>3,01,05</v>
          </cell>
          <cell r="C300" t="str">
            <v>und.</v>
          </cell>
          <cell r="D300" t="str">
            <v>cuad.</v>
          </cell>
          <cell r="E300" t="str">
            <v>cant.</v>
          </cell>
          <cell r="F300" t="str">
            <v>prec. $</v>
          </cell>
          <cell r="G300" t="str">
            <v>parcial $</v>
          </cell>
        </row>
        <row r="301">
          <cell r="A301" t="str">
            <v>3,01,05</v>
          </cell>
          <cell r="B301" t="str">
            <v>Materiales</v>
          </cell>
          <cell r="G301">
            <v>18.68</v>
          </cell>
        </row>
        <row r="302">
          <cell r="A302" t="str">
            <v>3,01,05</v>
          </cell>
          <cell r="B302" t="str">
            <v xml:space="preserve">Luminaria fluorescente circular Josfel con difusor acrilico opal 1 x 32 W  TPR - AF </v>
          </cell>
          <cell r="C302" t="str">
            <v>und</v>
          </cell>
          <cell r="E302">
            <v>1</v>
          </cell>
          <cell r="F302">
            <v>17</v>
          </cell>
          <cell r="G302">
            <v>17</v>
          </cell>
        </row>
        <row r="303">
          <cell r="A303" t="str">
            <v>3,01,05</v>
          </cell>
          <cell r="B303" t="str">
            <v>Solporte de artefacto</v>
          </cell>
          <cell r="C303" t="str">
            <v>und</v>
          </cell>
          <cell r="E303">
            <v>1</v>
          </cell>
          <cell r="F303">
            <v>0.8</v>
          </cell>
          <cell r="G303">
            <v>0.8</v>
          </cell>
        </row>
        <row r="304">
          <cell r="A304" t="str">
            <v>3,01,05</v>
          </cell>
          <cell r="B304" t="str">
            <v>Alambre galvanizado N° 16 AWG</v>
          </cell>
          <cell r="C304" t="str">
            <v>ml</v>
          </cell>
          <cell r="E304">
            <v>1.2</v>
          </cell>
          <cell r="F304">
            <v>0.13</v>
          </cell>
          <cell r="G304">
            <v>0.16</v>
          </cell>
        </row>
        <row r="305">
          <cell r="A305" t="str">
            <v>3,01,05</v>
          </cell>
          <cell r="B305" t="str">
            <v>Tapa ciega Octogonal de F°G°</v>
          </cell>
          <cell r="C305" t="str">
            <v>und</v>
          </cell>
          <cell r="F305">
            <v>0.45</v>
          </cell>
          <cell r="G305">
            <v>0</v>
          </cell>
        </row>
        <row r="306">
          <cell r="A306" t="str">
            <v>3,01,05</v>
          </cell>
          <cell r="B306" t="str">
            <v>Tuberia flexible de PVC de 15 mm</v>
          </cell>
          <cell r="C306" t="str">
            <v>ml</v>
          </cell>
          <cell r="F306">
            <v>0.63</v>
          </cell>
          <cell r="G306">
            <v>0</v>
          </cell>
        </row>
        <row r="307">
          <cell r="A307" t="str">
            <v>3,01,05</v>
          </cell>
          <cell r="B307" t="str">
            <v>Conector de PVC para tuberia flexible de 15mm</v>
          </cell>
          <cell r="C307" t="str">
            <v>und</v>
          </cell>
          <cell r="F307">
            <v>0.98</v>
          </cell>
          <cell r="G307">
            <v>0</v>
          </cell>
        </row>
        <row r="308">
          <cell r="A308" t="str">
            <v>3,01,05</v>
          </cell>
          <cell r="B308" t="str">
            <v>Cable de 2.5 TW</v>
          </cell>
          <cell r="C308" t="str">
            <v>ml</v>
          </cell>
          <cell r="E308">
            <v>1.8</v>
          </cell>
          <cell r="F308">
            <v>0.18</v>
          </cell>
          <cell r="G308">
            <v>0.32</v>
          </cell>
        </row>
        <row r="309">
          <cell r="A309" t="str">
            <v>3,01,05</v>
          </cell>
          <cell r="B309" t="str">
            <v>Cinta aislante de 3/4" x 20 m.</v>
          </cell>
          <cell r="C309" t="str">
            <v>und</v>
          </cell>
          <cell r="E309">
            <v>0.06</v>
          </cell>
          <cell r="F309">
            <v>2.5</v>
          </cell>
          <cell r="G309">
            <v>0.15</v>
          </cell>
        </row>
        <row r="310">
          <cell r="A310" t="str">
            <v>3,01,05</v>
          </cell>
          <cell r="B310" t="str">
            <v>Cinta autovulcanizante de 3/4" x 20 m. 3M</v>
          </cell>
          <cell r="C310" t="str">
            <v>und</v>
          </cell>
          <cell r="E310">
            <v>0.04</v>
          </cell>
          <cell r="F310">
            <v>6.27</v>
          </cell>
          <cell r="G310">
            <v>0.25</v>
          </cell>
        </row>
        <row r="311">
          <cell r="A311" t="str">
            <v>3,01,05</v>
          </cell>
          <cell r="B311" t="str">
            <v>Mano de obra</v>
          </cell>
          <cell r="G311">
            <v>4.13</v>
          </cell>
        </row>
        <row r="312">
          <cell r="A312" t="str">
            <v>3,01,05</v>
          </cell>
          <cell r="B312" t="str">
            <v>Operario</v>
          </cell>
          <cell r="C312" t="str">
            <v>HH</v>
          </cell>
          <cell r="D312">
            <v>1</v>
          </cell>
          <cell r="E312">
            <v>0.8</v>
          </cell>
          <cell r="F312">
            <v>2.84</v>
          </cell>
          <cell r="G312">
            <v>2.27</v>
          </cell>
          <cell r="H312">
            <v>10</v>
          </cell>
        </row>
        <row r="313">
          <cell r="A313" t="str">
            <v>3,01,05</v>
          </cell>
          <cell r="B313" t="str">
            <v>Peón</v>
          </cell>
          <cell r="C313" t="str">
            <v>HH</v>
          </cell>
          <cell r="D313">
            <v>1</v>
          </cell>
          <cell r="E313">
            <v>0.8</v>
          </cell>
          <cell r="F313">
            <v>2.3199999999999998</v>
          </cell>
          <cell r="G313">
            <v>1.86</v>
          </cell>
          <cell r="H313">
            <v>10</v>
          </cell>
        </row>
        <row r="314">
          <cell r="A314" t="str">
            <v>3,01,05</v>
          </cell>
          <cell r="B314" t="str">
            <v>Equipos</v>
          </cell>
          <cell r="G314">
            <v>0.96</v>
          </cell>
        </row>
        <row r="315">
          <cell r="A315" t="str">
            <v>3,01,05</v>
          </cell>
          <cell r="B315" t="str">
            <v>Escalera</v>
          </cell>
          <cell r="C315" t="str">
            <v>DIA</v>
          </cell>
          <cell r="D315">
            <v>1</v>
          </cell>
          <cell r="E315">
            <v>0.1</v>
          </cell>
          <cell r="F315">
            <v>1</v>
          </cell>
          <cell r="G315">
            <v>0.1</v>
          </cell>
        </row>
        <row r="316">
          <cell r="A316" t="str">
            <v>3,01,05</v>
          </cell>
          <cell r="B316" t="str">
            <v>Taladro hilti</v>
          </cell>
          <cell r="C316" t="str">
            <v>DIA</v>
          </cell>
          <cell r="D316">
            <v>1</v>
          </cell>
          <cell r="E316">
            <v>0.1</v>
          </cell>
          <cell r="F316">
            <v>6.5</v>
          </cell>
          <cell r="G316">
            <v>0.65</v>
          </cell>
        </row>
        <row r="317">
          <cell r="A317" t="str">
            <v>3,01,05</v>
          </cell>
          <cell r="B317" t="str">
            <v>Desgaste de herramientas</v>
          </cell>
          <cell r="C317" t="str">
            <v>%MO</v>
          </cell>
          <cell r="E317">
            <v>0.05</v>
          </cell>
          <cell r="F317">
            <v>4.13</v>
          </cell>
          <cell r="G317">
            <v>0.21</v>
          </cell>
        </row>
        <row r="318">
          <cell r="A318" t="str">
            <v>3,01,06</v>
          </cell>
          <cell r="B318" t="str">
            <v xml:space="preserve">Luminaria fluorescente circular Josfel 1 x 22 W  </v>
          </cell>
          <cell r="F318" t="str">
            <v>(und)</v>
          </cell>
          <cell r="G318">
            <v>18.100000000000001</v>
          </cell>
          <cell r="I318" t="str">
            <v>3,01,06</v>
          </cell>
        </row>
        <row r="319">
          <cell r="A319" t="str">
            <v>3,01,06</v>
          </cell>
          <cell r="C319" t="str">
            <v>und.</v>
          </cell>
          <cell r="D319" t="str">
            <v>cuad.</v>
          </cell>
          <cell r="E319" t="str">
            <v>cant.</v>
          </cell>
          <cell r="F319" t="str">
            <v>prec. $</v>
          </cell>
          <cell r="G319" t="str">
            <v>parcial $</v>
          </cell>
        </row>
        <row r="320">
          <cell r="A320" t="str">
            <v>3,01,06</v>
          </cell>
          <cell r="B320" t="str">
            <v>Materiales</v>
          </cell>
          <cell r="G320">
            <v>13.010000000000002</v>
          </cell>
        </row>
        <row r="321">
          <cell r="A321" t="str">
            <v>3,01,06</v>
          </cell>
          <cell r="B321" t="str">
            <v xml:space="preserve">Luminaria fluorescente circular Josfel 1 x 22 W  </v>
          </cell>
          <cell r="C321" t="str">
            <v>und</v>
          </cell>
          <cell r="E321">
            <v>1</v>
          </cell>
          <cell r="F321">
            <v>11</v>
          </cell>
          <cell r="G321">
            <v>11</v>
          </cell>
        </row>
        <row r="322">
          <cell r="A322" t="str">
            <v>3,01,06</v>
          </cell>
          <cell r="B322" t="str">
            <v>Solporte de artefacto</v>
          </cell>
          <cell r="C322" t="str">
            <v>und</v>
          </cell>
          <cell r="E322">
            <v>1</v>
          </cell>
          <cell r="F322">
            <v>0.8</v>
          </cell>
          <cell r="G322">
            <v>0.8</v>
          </cell>
        </row>
        <row r="323">
          <cell r="A323" t="str">
            <v>3,01,06</v>
          </cell>
          <cell r="B323" t="str">
            <v>Alambre galvanizado N° 16 AWG</v>
          </cell>
          <cell r="C323" t="str">
            <v>ml</v>
          </cell>
          <cell r="E323">
            <v>1.2</v>
          </cell>
          <cell r="F323">
            <v>0.13</v>
          </cell>
          <cell r="G323">
            <v>0.16</v>
          </cell>
        </row>
        <row r="324">
          <cell r="A324" t="str">
            <v>3,01,06</v>
          </cell>
          <cell r="B324" t="str">
            <v>Tapa ciega Octogonal de F°G°</v>
          </cell>
          <cell r="C324" t="str">
            <v>und</v>
          </cell>
          <cell r="F324">
            <v>0.45</v>
          </cell>
          <cell r="G324">
            <v>0</v>
          </cell>
        </row>
        <row r="325">
          <cell r="A325" t="str">
            <v>3,01,06</v>
          </cell>
          <cell r="B325" t="str">
            <v>Tuberia flexible de PVC de 15 mm</v>
          </cell>
          <cell r="C325" t="str">
            <v>ml</v>
          </cell>
          <cell r="F325">
            <v>0.63</v>
          </cell>
          <cell r="G325">
            <v>0</v>
          </cell>
        </row>
        <row r="326">
          <cell r="A326" t="str">
            <v>3,01,06</v>
          </cell>
          <cell r="B326" t="str">
            <v>Conector de PVC para tuberia flexible de 15mm</v>
          </cell>
          <cell r="C326" t="str">
            <v>und</v>
          </cell>
          <cell r="F326">
            <v>0.98</v>
          </cell>
          <cell r="G326">
            <v>0</v>
          </cell>
        </row>
        <row r="327">
          <cell r="A327" t="str">
            <v>3,01,06</v>
          </cell>
          <cell r="B327" t="str">
            <v>Cable de 2.5 TW</v>
          </cell>
          <cell r="C327" t="str">
            <v>ml</v>
          </cell>
          <cell r="E327">
            <v>3.6</v>
          </cell>
          <cell r="F327">
            <v>0.18</v>
          </cell>
          <cell r="G327">
            <v>0.65</v>
          </cell>
        </row>
        <row r="328">
          <cell r="A328" t="str">
            <v>3,01,06</v>
          </cell>
          <cell r="B328" t="str">
            <v>Cinta aislante de 3/4" x 20 m.</v>
          </cell>
          <cell r="C328" t="str">
            <v>und</v>
          </cell>
          <cell r="E328">
            <v>0.06</v>
          </cell>
          <cell r="F328">
            <v>2.5</v>
          </cell>
          <cell r="G328">
            <v>0.15</v>
          </cell>
        </row>
        <row r="329">
          <cell r="A329" t="str">
            <v>3,01,06</v>
          </cell>
          <cell r="B329" t="str">
            <v>Cinta autovulcanizante de 3/4" x 20 m. 3M</v>
          </cell>
          <cell r="C329" t="str">
            <v>und</v>
          </cell>
          <cell r="E329">
            <v>0.04</v>
          </cell>
          <cell r="F329">
            <v>6.27</v>
          </cell>
          <cell r="G329">
            <v>0.25</v>
          </cell>
        </row>
        <row r="330">
          <cell r="A330" t="str">
            <v>3,01,06</v>
          </cell>
          <cell r="B330" t="str">
            <v>Mano de obra</v>
          </cell>
          <cell r="G330">
            <v>4.13</v>
          </cell>
        </row>
        <row r="331">
          <cell r="A331" t="str">
            <v>3,01,06</v>
          </cell>
          <cell r="B331" t="str">
            <v>Operario</v>
          </cell>
          <cell r="C331" t="str">
            <v>HH</v>
          </cell>
          <cell r="D331">
            <v>1</v>
          </cell>
          <cell r="E331">
            <v>0.8</v>
          </cell>
          <cell r="F331">
            <v>2.84</v>
          </cell>
          <cell r="G331">
            <v>2.27</v>
          </cell>
          <cell r="H331">
            <v>10</v>
          </cell>
        </row>
        <row r="332">
          <cell r="A332" t="str">
            <v>3,01,06</v>
          </cell>
          <cell r="B332" t="str">
            <v>Peón</v>
          </cell>
          <cell r="C332" t="str">
            <v>HH</v>
          </cell>
          <cell r="D332">
            <v>1</v>
          </cell>
          <cell r="E332">
            <v>0.8</v>
          </cell>
          <cell r="F332">
            <v>2.3199999999999998</v>
          </cell>
          <cell r="G332">
            <v>1.86</v>
          </cell>
          <cell r="H332">
            <v>10</v>
          </cell>
        </row>
        <row r="333">
          <cell r="A333" t="str">
            <v>3,01,06</v>
          </cell>
          <cell r="B333" t="str">
            <v>Equipos</v>
          </cell>
          <cell r="G333">
            <v>0.96</v>
          </cell>
        </row>
        <row r="334">
          <cell r="A334" t="str">
            <v>3,01,06</v>
          </cell>
          <cell r="B334" t="str">
            <v>Escalera</v>
          </cell>
          <cell r="C334" t="str">
            <v>DIA</v>
          </cell>
          <cell r="D334">
            <v>1</v>
          </cell>
          <cell r="E334">
            <v>0.1</v>
          </cell>
          <cell r="F334">
            <v>1</v>
          </cell>
          <cell r="G334">
            <v>0.1</v>
          </cell>
        </row>
        <row r="335">
          <cell r="A335" t="str">
            <v>3,01,06</v>
          </cell>
          <cell r="B335" t="str">
            <v>Taladro hilti</v>
          </cell>
          <cell r="C335" t="str">
            <v>DIA</v>
          </cell>
          <cell r="D335">
            <v>1</v>
          </cell>
          <cell r="E335">
            <v>0.1</v>
          </cell>
          <cell r="F335">
            <v>6.5</v>
          </cell>
          <cell r="G335">
            <v>0.65</v>
          </cell>
        </row>
        <row r="336">
          <cell r="A336" t="str">
            <v>3,01,06</v>
          </cell>
          <cell r="B336" t="str">
            <v>Desgaste de herramientas</v>
          </cell>
          <cell r="C336" t="str">
            <v>%MO</v>
          </cell>
          <cell r="E336">
            <v>0.05</v>
          </cell>
          <cell r="F336">
            <v>4.13</v>
          </cell>
          <cell r="G336">
            <v>0.21</v>
          </cell>
        </row>
        <row r="337">
          <cell r="A337" t="str">
            <v>3,01,07</v>
          </cell>
          <cell r="B337" t="str">
            <v xml:space="preserve">Luminaria fluorescente circular Josfel 1 x 32 W  </v>
          </cell>
          <cell r="F337" t="str">
            <v>(und)</v>
          </cell>
          <cell r="G337">
            <v>19.100000000000001</v>
          </cell>
          <cell r="I337" t="str">
            <v>3,01,07</v>
          </cell>
        </row>
        <row r="338">
          <cell r="A338" t="str">
            <v>3,01,07</v>
          </cell>
          <cell r="C338" t="str">
            <v>und.</v>
          </cell>
          <cell r="D338" t="str">
            <v>cuad.</v>
          </cell>
          <cell r="E338" t="str">
            <v>cant.</v>
          </cell>
          <cell r="F338" t="str">
            <v>prec. $</v>
          </cell>
          <cell r="G338" t="str">
            <v>parcial $</v>
          </cell>
        </row>
        <row r="339">
          <cell r="A339" t="str">
            <v>3,01,07</v>
          </cell>
          <cell r="B339" t="str">
            <v>Materiales</v>
          </cell>
          <cell r="G339">
            <v>14.010000000000002</v>
          </cell>
        </row>
        <row r="340">
          <cell r="A340" t="str">
            <v>3,01,07</v>
          </cell>
          <cell r="B340" t="str">
            <v xml:space="preserve">Luminaria fluorescente circular Josfel 1 x 32 W  </v>
          </cell>
          <cell r="C340" t="str">
            <v>und</v>
          </cell>
          <cell r="E340">
            <v>1</v>
          </cell>
          <cell r="F340">
            <v>12</v>
          </cell>
          <cell r="G340">
            <v>12</v>
          </cell>
        </row>
        <row r="341">
          <cell r="A341" t="str">
            <v>3,01,07</v>
          </cell>
          <cell r="B341" t="str">
            <v>Solporte de artefacto</v>
          </cell>
          <cell r="C341" t="str">
            <v>und</v>
          </cell>
          <cell r="E341">
            <v>1</v>
          </cell>
          <cell r="F341">
            <v>0.8</v>
          </cell>
          <cell r="G341">
            <v>0.8</v>
          </cell>
        </row>
        <row r="342">
          <cell r="A342" t="str">
            <v>3,01,07</v>
          </cell>
          <cell r="B342" t="str">
            <v>Alambre galvanizado N° 16 AWG</v>
          </cell>
          <cell r="C342" t="str">
            <v>ml</v>
          </cell>
          <cell r="E342">
            <v>1.2</v>
          </cell>
          <cell r="F342">
            <v>0.13</v>
          </cell>
          <cell r="G342">
            <v>0.16</v>
          </cell>
        </row>
        <row r="343">
          <cell r="A343" t="str">
            <v>3,01,07</v>
          </cell>
          <cell r="B343" t="str">
            <v>Tapa ciega Octogonal de F°G°</v>
          </cell>
          <cell r="C343" t="str">
            <v>und</v>
          </cell>
          <cell r="F343">
            <v>0.45</v>
          </cell>
          <cell r="G343">
            <v>0</v>
          </cell>
        </row>
        <row r="344">
          <cell r="A344" t="str">
            <v>3,01,07</v>
          </cell>
          <cell r="B344" t="str">
            <v>Tuberia flexible de PVC de 15 mm</v>
          </cell>
          <cell r="C344" t="str">
            <v>ml</v>
          </cell>
          <cell r="F344">
            <v>0.63</v>
          </cell>
          <cell r="G344">
            <v>0</v>
          </cell>
        </row>
        <row r="345">
          <cell r="A345" t="str">
            <v>3,01,07</v>
          </cell>
          <cell r="B345" t="str">
            <v>Conector de PVC para tuberia flexible de 15mm</v>
          </cell>
          <cell r="C345" t="str">
            <v>und</v>
          </cell>
          <cell r="F345">
            <v>0.98</v>
          </cell>
          <cell r="G345">
            <v>0</v>
          </cell>
        </row>
        <row r="346">
          <cell r="A346" t="str">
            <v>3,01,07</v>
          </cell>
          <cell r="B346" t="str">
            <v>Cable de 2.5 TW</v>
          </cell>
          <cell r="C346" t="str">
            <v>ml</v>
          </cell>
          <cell r="E346">
            <v>3.6</v>
          </cell>
          <cell r="F346">
            <v>0.18</v>
          </cell>
          <cell r="G346">
            <v>0.65</v>
          </cell>
        </row>
        <row r="347">
          <cell r="A347" t="str">
            <v>3,01,07</v>
          </cell>
          <cell r="B347" t="str">
            <v>Cinta aislante de 3/4" x 20 m.</v>
          </cell>
          <cell r="C347" t="str">
            <v>und</v>
          </cell>
          <cell r="E347">
            <v>0.06</v>
          </cell>
          <cell r="F347">
            <v>2.5</v>
          </cell>
          <cell r="G347">
            <v>0.15</v>
          </cell>
        </row>
        <row r="348">
          <cell r="A348" t="str">
            <v>3,01,07</v>
          </cell>
          <cell r="B348" t="str">
            <v>Cinta autovulcanizante de 3/4" x 20 m. 3M</v>
          </cell>
          <cell r="C348" t="str">
            <v>und</v>
          </cell>
          <cell r="E348">
            <v>0.04</v>
          </cell>
          <cell r="F348">
            <v>6.27</v>
          </cell>
          <cell r="G348">
            <v>0.25</v>
          </cell>
        </row>
        <row r="349">
          <cell r="A349" t="str">
            <v>3,01,07</v>
          </cell>
          <cell r="B349" t="str">
            <v>Mano de obra</v>
          </cell>
          <cell r="G349">
            <v>4.13</v>
          </cell>
        </row>
        <row r="350">
          <cell r="A350" t="str">
            <v>3,01,07</v>
          </cell>
          <cell r="B350" t="str">
            <v>Operario</v>
          </cell>
          <cell r="C350" t="str">
            <v>HH</v>
          </cell>
          <cell r="D350">
            <v>1</v>
          </cell>
          <cell r="E350">
            <v>0.8</v>
          </cell>
          <cell r="F350">
            <v>2.84</v>
          </cell>
          <cell r="G350">
            <v>2.27</v>
          </cell>
          <cell r="H350">
            <v>10</v>
          </cell>
        </row>
        <row r="351">
          <cell r="A351" t="str">
            <v>3,01,07</v>
          </cell>
          <cell r="B351" t="str">
            <v>Peón</v>
          </cell>
          <cell r="C351" t="str">
            <v>HH</v>
          </cell>
          <cell r="D351">
            <v>1</v>
          </cell>
          <cell r="E351">
            <v>0.8</v>
          </cell>
          <cell r="F351">
            <v>2.3199999999999998</v>
          </cell>
          <cell r="G351">
            <v>1.86</v>
          </cell>
          <cell r="H351">
            <v>10</v>
          </cell>
        </row>
        <row r="352">
          <cell r="A352" t="str">
            <v>3,01,07</v>
          </cell>
          <cell r="B352" t="str">
            <v>Equipos</v>
          </cell>
          <cell r="G352">
            <v>0.96</v>
          </cell>
        </row>
        <row r="353">
          <cell r="A353" t="str">
            <v>3,01,07</v>
          </cell>
          <cell r="B353" t="str">
            <v>Escalera</v>
          </cell>
          <cell r="C353" t="str">
            <v>DIA</v>
          </cell>
          <cell r="D353">
            <v>1</v>
          </cell>
          <cell r="E353">
            <v>0.1</v>
          </cell>
          <cell r="F353">
            <v>1</v>
          </cell>
          <cell r="G353">
            <v>0.1</v>
          </cell>
        </row>
        <row r="354">
          <cell r="A354" t="str">
            <v>3,01,07</v>
          </cell>
          <cell r="B354" t="str">
            <v>Taladro hilti</v>
          </cell>
          <cell r="C354" t="str">
            <v>DIA</v>
          </cell>
          <cell r="D354">
            <v>1</v>
          </cell>
          <cell r="E354">
            <v>0.1</v>
          </cell>
          <cell r="F354">
            <v>6.5</v>
          </cell>
          <cell r="G354">
            <v>0.65</v>
          </cell>
        </row>
        <row r="355">
          <cell r="A355" t="str">
            <v>3,01,07</v>
          </cell>
          <cell r="B355" t="str">
            <v>Desgaste de herramientas</v>
          </cell>
          <cell r="C355" t="str">
            <v>%MO</v>
          </cell>
          <cell r="E355">
            <v>0.05</v>
          </cell>
          <cell r="F355">
            <v>4.13</v>
          </cell>
          <cell r="G355">
            <v>0.21</v>
          </cell>
        </row>
        <row r="356">
          <cell r="A356" t="str">
            <v>3,01,08</v>
          </cell>
          <cell r="B356" t="str">
            <v>Artefacto de iluminación exterior Astro 70 de Josfel</v>
          </cell>
          <cell r="F356" t="str">
            <v>(und)</v>
          </cell>
          <cell r="G356">
            <v>76.47</v>
          </cell>
          <cell r="I356" t="str">
            <v>3,01,08</v>
          </cell>
        </row>
        <row r="357">
          <cell r="A357" t="str">
            <v>3,01,08</v>
          </cell>
          <cell r="C357" t="str">
            <v>und.</v>
          </cell>
          <cell r="D357" t="str">
            <v>cuad.</v>
          </cell>
          <cell r="E357" t="str">
            <v>cant.</v>
          </cell>
          <cell r="F357" t="str">
            <v>prec. $</v>
          </cell>
          <cell r="G357" t="str">
            <v>parcial $</v>
          </cell>
        </row>
        <row r="358">
          <cell r="A358" t="str">
            <v>3,01,08</v>
          </cell>
          <cell r="B358" t="str">
            <v>Materiales</v>
          </cell>
          <cell r="G358">
            <v>49.05</v>
          </cell>
        </row>
        <row r="359">
          <cell r="A359" t="str">
            <v>3,01,08</v>
          </cell>
          <cell r="B359" t="str">
            <v>Artefacto de iluminación exterior Astro 70 de Josfel</v>
          </cell>
          <cell r="C359" t="str">
            <v>und</v>
          </cell>
          <cell r="E359">
            <v>1</v>
          </cell>
          <cell r="F359">
            <v>40</v>
          </cell>
          <cell r="G359">
            <v>40</v>
          </cell>
        </row>
        <row r="360">
          <cell r="A360" t="str">
            <v>3,01,08</v>
          </cell>
          <cell r="B360" t="str">
            <v>Solporte de artefacto</v>
          </cell>
          <cell r="C360" t="str">
            <v>und</v>
          </cell>
          <cell r="E360">
            <v>1</v>
          </cell>
          <cell r="F360">
            <v>0.8</v>
          </cell>
          <cell r="G360">
            <v>0.8</v>
          </cell>
        </row>
        <row r="361">
          <cell r="A361" t="str">
            <v>3,01,08</v>
          </cell>
          <cell r="B361" t="str">
            <v>Cconcuctor biplastoflex 2 x 14 AWG</v>
          </cell>
          <cell r="C361" t="str">
            <v>ml</v>
          </cell>
          <cell r="E361">
            <v>6</v>
          </cell>
          <cell r="F361">
            <v>1.2</v>
          </cell>
          <cell r="G361">
            <v>7.2</v>
          </cell>
        </row>
        <row r="362">
          <cell r="A362" t="str">
            <v>3,01,08</v>
          </cell>
          <cell r="B362" t="str">
            <v>Tapa ciega Octogonal de F°G°</v>
          </cell>
          <cell r="C362" t="str">
            <v>und</v>
          </cell>
          <cell r="F362">
            <v>0.45</v>
          </cell>
          <cell r="G362">
            <v>0</v>
          </cell>
        </row>
        <row r="363">
          <cell r="A363" t="str">
            <v>3,01,08</v>
          </cell>
          <cell r="B363" t="str">
            <v>Tuberia flexible de PVC de 15 mm</v>
          </cell>
          <cell r="C363" t="str">
            <v>ml</v>
          </cell>
          <cell r="F363">
            <v>0.63</v>
          </cell>
          <cell r="G363">
            <v>0</v>
          </cell>
        </row>
        <row r="364">
          <cell r="A364" t="str">
            <v>3,01,08</v>
          </cell>
          <cell r="B364" t="str">
            <v>Conector de PVC para tuberia flexible de 15mm</v>
          </cell>
          <cell r="C364" t="str">
            <v>und</v>
          </cell>
          <cell r="F364">
            <v>0.98</v>
          </cell>
          <cell r="G364">
            <v>0</v>
          </cell>
        </row>
        <row r="365">
          <cell r="A365" t="str">
            <v>3,01,08</v>
          </cell>
          <cell r="B365" t="str">
            <v>Cable de 2.5 TW</v>
          </cell>
          <cell r="C365" t="str">
            <v>ml</v>
          </cell>
          <cell r="E365">
            <v>3.6</v>
          </cell>
          <cell r="F365">
            <v>0.18</v>
          </cell>
          <cell r="G365">
            <v>0.65</v>
          </cell>
        </row>
        <row r="366">
          <cell r="A366" t="str">
            <v>3,01,08</v>
          </cell>
          <cell r="B366" t="str">
            <v>Cinta aislante de 3/4" x 20 m.</v>
          </cell>
          <cell r="C366" t="str">
            <v>und</v>
          </cell>
          <cell r="E366">
            <v>0.06</v>
          </cell>
          <cell r="F366">
            <v>2.5</v>
          </cell>
          <cell r="G366">
            <v>0.15</v>
          </cell>
        </row>
        <row r="367">
          <cell r="A367" t="str">
            <v>3,01,08</v>
          </cell>
          <cell r="B367" t="str">
            <v>Cinta autovulcanizante de 3/4" x 20 m. 3M</v>
          </cell>
          <cell r="C367" t="str">
            <v>und</v>
          </cell>
          <cell r="E367">
            <v>0.04</v>
          </cell>
          <cell r="F367">
            <v>6.27</v>
          </cell>
          <cell r="G367">
            <v>0.25</v>
          </cell>
        </row>
        <row r="368">
          <cell r="A368" t="str">
            <v>3,01,08</v>
          </cell>
          <cell r="B368" t="str">
            <v>Mano de obra</v>
          </cell>
          <cell r="G368">
            <v>20.64</v>
          </cell>
        </row>
        <row r="369">
          <cell r="A369" t="str">
            <v>3,01,08</v>
          </cell>
          <cell r="B369" t="str">
            <v>Operario</v>
          </cell>
          <cell r="C369" t="str">
            <v>HH</v>
          </cell>
          <cell r="D369">
            <v>1</v>
          </cell>
          <cell r="E369">
            <v>4</v>
          </cell>
          <cell r="F369">
            <v>2.84</v>
          </cell>
          <cell r="G369">
            <v>11.36</v>
          </cell>
          <cell r="H369">
            <v>2</v>
          </cell>
        </row>
        <row r="370">
          <cell r="A370" t="str">
            <v>3,01,08</v>
          </cell>
          <cell r="B370" t="str">
            <v>Peón</v>
          </cell>
          <cell r="C370" t="str">
            <v>HH</v>
          </cell>
          <cell r="D370">
            <v>1</v>
          </cell>
          <cell r="E370">
            <v>4</v>
          </cell>
          <cell r="F370">
            <v>2.3199999999999998</v>
          </cell>
          <cell r="G370">
            <v>9.2799999999999994</v>
          </cell>
          <cell r="H370">
            <v>2</v>
          </cell>
        </row>
        <row r="371">
          <cell r="A371" t="str">
            <v>3,01,08</v>
          </cell>
          <cell r="B371" t="str">
            <v>Equipos</v>
          </cell>
          <cell r="G371">
            <v>6.78</v>
          </cell>
        </row>
        <row r="372">
          <cell r="A372" t="str">
            <v>3,01,08</v>
          </cell>
          <cell r="B372" t="str">
            <v>Andamio de 2m</v>
          </cell>
          <cell r="C372" t="str">
            <v>DIA</v>
          </cell>
          <cell r="D372">
            <v>5</v>
          </cell>
          <cell r="E372">
            <v>0.5</v>
          </cell>
          <cell r="F372">
            <v>1</v>
          </cell>
          <cell r="G372">
            <v>2.5</v>
          </cell>
        </row>
        <row r="373">
          <cell r="A373" t="str">
            <v>3,01,08</v>
          </cell>
          <cell r="B373" t="str">
            <v>Taladro hilti</v>
          </cell>
          <cell r="C373" t="str">
            <v>DIA</v>
          </cell>
          <cell r="D373">
            <v>1</v>
          </cell>
          <cell r="E373">
            <v>0.5</v>
          </cell>
          <cell r="F373">
            <v>6.5</v>
          </cell>
          <cell r="G373">
            <v>3.25</v>
          </cell>
        </row>
        <row r="374">
          <cell r="A374" t="str">
            <v>3,01,08</v>
          </cell>
          <cell r="B374" t="str">
            <v>Desgaste de herramientas</v>
          </cell>
          <cell r="C374" t="str">
            <v>%MO</v>
          </cell>
          <cell r="E374">
            <v>0.05</v>
          </cell>
          <cell r="F374">
            <v>20.64</v>
          </cell>
          <cell r="G374">
            <v>1.03</v>
          </cell>
        </row>
        <row r="375">
          <cell r="A375" t="str">
            <v>3,01,09</v>
          </cell>
          <cell r="B375" t="str">
            <v>Luminaria Spot</v>
          </cell>
          <cell r="F375" t="str">
            <v>UND</v>
          </cell>
          <cell r="G375">
            <v>14.89</v>
          </cell>
          <cell r="I375" t="str">
            <v>3,01,09</v>
          </cell>
        </row>
        <row r="376">
          <cell r="A376" t="str">
            <v>3,01,09</v>
          </cell>
          <cell r="C376" t="str">
            <v>und.</v>
          </cell>
          <cell r="D376" t="str">
            <v>cuad.</v>
          </cell>
          <cell r="E376" t="str">
            <v>cant.</v>
          </cell>
          <cell r="F376" t="str">
            <v>prec. $</v>
          </cell>
          <cell r="G376" t="str">
            <v>parcial $</v>
          </cell>
        </row>
        <row r="377">
          <cell r="A377" t="str">
            <v>3,01,09</v>
          </cell>
          <cell r="B377" t="str">
            <v>Materiales</v>
          </cell>
          <cell r="G377">
            <v>11.93</v>
          </cell>
        </row>
        <row r="378">
          <cell r="A378" t="str">
            <v>3,01,09</v>
          </cell>
          <cell r="B378" t="str">
            <v>Luminaria Spot</v>
          </cell>
          <cell r="C378" t="str">
            <v>und</v>
          </cell>
          <cell r="E378">
            <v>1</v>
          </cell>
          <cell r="F378">
            <v>10</v>
          </cell>
          <cell r="G378">
            <v>10</v>
          </cell>
        </row>
        <row r="379">
          <cell r="A379" t="str">
            <v>3,01,09</v>
          </cell>
          <cell r="B379" t="str">
            <v>Tuberia flexible de PVC de 15 mm</v>
          </cell>
          <cell r="C379" t="str">
            <v>ml</v>
          </cell>
          <cell r="F379">
            <v>0.63</v>
          </cell>
          <cell r="G379">
            <v>0</v>
          </cell>
        </row>
        <row r="380">
          <cell r="A380" t="str">
            <v>3,01,09</v>
          </cell>
          <cell r="B380" t="str">
            <v>Cable NLT de 3x14 AWG</v>
          </cell>
          <cell r="C380" t="str">
            <v>ml</v>
          </cell>
          <cell r="E380">
            <v>1.5</v>
          </cell>
          <cell r="F380">
            <v>1.02</v>
          </cell>
          <cell r="G380">
            <v>1.53</v>
          </cell>
        </row>
        <row r="381">
          <cell r="A381" t="str">
            <v>3,01,09</v>
          </cell>
          <cell r="B381" t="str">
            <v>Cinta aislante de 3/4" x 20 m.</v>
          </cell>
          <cell r="C381" t="str">
            <v>und</v>
          </cell>
          <cell r="E381">
            <v>0.06</v>
          </cell>
          <cell r="F381">
            <v>2.5</v>
          </cell>
          <cell r="G381">
            <v>0.15</v>
          </cell>
        </row>
        <row r="382">
          <cell r="A382" t="str">
            <v>3,01,09</v>
          </cell>
          <cell r="B382" t="str">
            <v>Cinta autovulcanizante de 3/4" x 20 m. 3M</v>
          </cell>
          <cell r="C382" t="str">
            <v>und</v>
          </cell>
          <cell r="E382">
            <v>0.04</v>
          </cell>
          <cell r="F382">
            <v>6.27</v>
          </cell>
          <cell r="G382">
            <v>0.25</v>
          </cell>
        </row>
        <row r="383">
          <cell r="A383" t="str">
            <v>3,01,09</v>
          </cell>
          <cell r="B383" t="str">
            <v>Mano de obra</v>
          </cell>
          <cell r="G383">
            <v>2.75</v>
          </cell>
        </row>
        <row r="384">
          <cell r="A384" t="str">
            <v>3,01,09</v>
          </cell>
          <cell r="B384" t="str">
            <v>Operario</v>
          </cell>
          <cell r="C384" t="str">
            <v>HH</v>
          </cell>
          <cell r="D384">
            <v>1</v>
          </cell>
          <cell r="E384">
            <v>0.53333333333333333</v>
          </cell>
          <cell r="F384">
            <v>2.84</v>
          </cell>
          <cell r="G384">
            <v>1.51</v>
          </cell>
          <cell r="H384">
            <v>15</v>
          </cell>
        </row>
        <row r="385">
          <cell r="A385" t="str">
            <v>3,01,09</v>
          </cell>
          <cell r="B385" t="str">
            <v>Peón</v>
          </cell>
          <cell r="C385" t="str">
            <v>HH</v>
          </cell>
          <cell r="D385">
            <v>1</v>
          </cell>
          <cell r="E385">
            <v>0.53333333333333333</v>
          </cell>
          <cell r="F385">
            <v>2.3199999999999998</v>
          </cell>
          <cell r="G385">
            <v>1.24</v>
          </cell>
          <cell r="H385">
            <v>15</v>
          </cell>
        </row>
        <row r="386">
          <cell r="A386" t="str">
            <v>3,01,09</v>
          </cell>
          <cell r="B386" t="str">
            <v>Equipos</v>
          </cell>
          <cell r="G386">
            <v>0.21000000000000002</v>
          </cell>
        </row>
        <row r="387">
          <cell r="A387" t="str">
            <v>3,01,09</v>
          </cell>
          <cell r="B387" t="str">
            <v>Escalera</v>
          </cell>
          <cell r="C387" t="str">
            <v>DIA</v>
          </cell>
          <cell r="D387">
            <v>1</v>
          </cell>
          <cell r="E387">
            <v>6.6666666666666666E-2</v>
          </cell>
          <cell r="F387">
            <v>1</v>
          </cell>
          <cell r="G387">
            <v>7.0000000000000007E-2</v>
          </cell>
        </row>
        <row r="388">
          <cell r="A388" t="str">
            <v>3,01,09</v>
          </cell>
          <cell r="B388" t="str">
            <v>Pistolade disparo Hilti</v>
          </cell>
          <cell r="C388" t="str">
            <v>DIA</v>
          </cell>
          <cell r="E388">
            <v>6.6666666666666666E-2</v>
          </cell>
          <cell r="F388">
            <v>6.5</v>
          </cell>
          <cell r="G388">
            <v>0</v>
          </cell>
        </row>
        <row r="389">
          <cell r="A389" t="str">
            <v>3,01,09</v>
          </cell>
          <cell r="B389" t="str">
            <v>Desgaste de herramientas</v>
          </cell>
          <cell r="C389" t="str">
            <v>%MO</v>
          </cell>
          <cell r="E389">
            <v>0.05</v>
          </cell>
          <cell r="F389">
            <v>2.75</v>
          </cell>
          <cell r="G389">
            <v>0.14000000000000001</v>
          </cell>
        </row>
        <row r="390">
          <cell r="A390" t="str">
            <v>3,01,10</v>
          </cell>
          <cell r="B390" t="str">
            <v>Reacondicionamiento de reflector buscador en torretas de vigilancia</v>
          </cell>
          <cell r="F390" t="str">
            <v>ML</v>
          </cell>
          <cell r="G390">
            <v>97.399999999999991</v>
          </cell>
          <cell r="I390" t="str">
            <v>3,01,10</v>
          </cell>
        </row>
        <row r="391">
          <cell r="A391" t="str">
            <v>3,01,10</v>
          </cell>
          <cell r="C391" t="str">
            <v>und.</v>
          </cell>
          <cell r="D391" t="str">
            <v>cuad.</v>
          </cell>
          <cell r="E391" t="str">
            <v>cant.</v>
          </cell>
          <cell r="F391" t="str">
            <v>prec. $</v>
          </cell>
          <cell r="G391" t="str">
            <v>parcial $</v>
          </cell>
        </row>
        <row r="392">
          <cell r="A392" t="str">
            <v>3,01,10</v>
          </cell>
          <cell r="B392" t="str">
            <v>Materiales</v>
          </cell>
          <cell r="G392">
            <v>75.22999999999999</v>
          </cell>
        </row>
        <row r="393">
          <cell r="A393" t="str">
            <v>3,01,10</v>
          </cell>
          <cell r="B393" t="str">
            <v>Reacondicionamiento de reflector buscador en torretas de vigilancia</v>
          </cell>
          <cell r="C393" t="str">
            <v>und</v>
          </cell>
          <cell r="E393">
            <v>1</v>
          </cell>
          <cell r="F393">
            <v>15</v>
          </cell>
          <cell r="G393">
            <v>15</v>
          </cell>
        </row>
        <row r="394">
          <cell r="A394" t="str">
            <v>3,01,10</v>
          </cell>
          <cell r="B394" t="str">
            <v>Equipo de encendido</v>
          </cell>
          <cell r="C394" t="str">
            <v>und</v>
          </cell>
          <cell r="E394">
            <v>1</v>
          </cell>
          <cell r="F394">
            <v>60</v>
          </cell>
          <cell r="G394">
            <v>60</v>
          </cell>
        </row>
        <row r="395">
          <cell r="A395" t="str">
            <v>3,01,10</v>
          </cell>
          <cell r="B395" t="str">
            <v>Cinta aislante de 3/4" x 20 m.</v>
          </cell>
          <cell r="C395" t="str">
            <v>und</v>
          </cell>
          <cell r="E395">
            <v>0.04</v>
          </cell>
          <cell r="F395">
            <v>2.5</v>
          </cell>
          <cell r="G395">
            <v>0.1</v>
          </cell>
        </row>
        <row r="396">
          <cell r="A396" t="str">
            <v>3,01,10</v>
          </cell>
          <cell r="B396" t="str">
            <v>Cinta autovulcanizante de 3/4" x 20 m. 3M</v>
          </cell>
          <cell r="C396" t="str">
            <v>und</v>
          </cell>
          <cell r="E396">
            <v>0.02</v>
          </cell>
          <cell r="F396">
            <v>6.27</v>
          </cell>
          <cell r="G396">
            <v>0.13</v>
          </cell>
        </row>
        <row r="397">
          <cell r="A397" t="str">
            <v>3,01,10</v>
          </cell>
          <cell r="B397" t="str">
            <v>Mano de obra</v>
          </cell>
          <cell r="G397">
            <v>20.64</v>
          </cell>
        </row>
        <row r="398">
          <cell r="A398" t="str">
            <v>3,01,10</v>
          </cell>
          <cell r="B398" t="str">
            <v>Operario</v>
          </cell>
          <cell r="C398" t="str">
            <v>HH</v>
          </cell>
          <cell r="D398">
            <v>1</v>
          </cell>
          <cell r="E398">
            <v>4</v>
          </cell>
          <cell r="F398">
            <v>2.84</v>
          </cell>
          <cell r="G398">
            <v>11.36</v>
          </cell>
          <cell r="H398">
            <v>2</v>
          </cell>
        </row>
        <row r="399">
          <cell r="A399" t="str">
            <v>3,01,10</v>
          </cell>
          <cell r="B399" t="str">
            <v>Peón</v>
          </cell>
          <cell r="C399" t="str">
            <v>HH</v>
          </cell>
          <cell r="D399">
            <v>1</v>
          </cell>
          <cell r="E399">
            <v>4</v>
          </cell>
          <cell r="F399">
            <v>2.3199999999999998</v>
          </cell>
          <cell r="G399">
            <v>9.2799999999999994</v>
          </cell>
          <cell r="H399">
            <v>2</v>
          </cell>
        </row>
        <row r="400">
          <cell r="A400" t="str">
            <v>3,01,10</v>
          </cell>
          <cell r="B400" t="str">
            <v>Equipos y/o herramientas</v>
          </cell>
          <cell r="G400">
            <v>1.53</v>
          </cell>
        </row>
        <row r="401">
          <cell r="A401" t="str">
            <v>3,01,10</v>
          </cell>
          <cell r="B401" t="str">
            <v>Escalera</v>
          </cell>
          <cell r="C401" t="str">
            <v>DIA</v>
          </cell>
          <cell r="D401">
            <v>1</v>
          </cell>
          <cell r="E401">
            <v>0.5</v>
          </cell>
          <cell r="F401">
            <v>1</v>
          </cell>
          <cell r="G401">
            <v>0.5</v>
          </cell>
        </row>
        <row r="402">
          <cell r="A402" t="str">
            <v>3,01,10</v>
          </cell>
          <cell r="B402" t="str">
            <v>Desgaste de herramientas</v>
          </cell>
          <cell r="C402" t="str">
            <v>%MO</v>
          </cell>
          <cell r="E402">
            <v>0.05</v>
          </cell>
          <cell r="F402">
            <v>20.64</v>
          </cell>
          <cell r="G402">
            <v>1.03</v>
          </cell>
        </row>
        <row r="403">
          <cell r="A403" t="str">
            <v>4,01,01</v>
          </cell>
          <cell r="B403" t="str">
            <v>Picado y resane para tuberias de energia y data empotradas en MURO</v>
          </cell>
          <cell r="F403" t="str">
            <v>ML</v>
          </cell>
          <cell r="G403">
            <v>6.6400000000000006</v>
          </cell>
          <cell r="I403" t="str">
            <v>4,01,01</v>
          </cell>
        </row>
        <row r="404">
          <cell r="A404" t="str">
            <v>4,01,01</v>
          </cell>
          <cell r="C404" t="str">
            <v>und.</v>
          </cell>
          <cell r="D404" t="str">
            <v>cuad.</v>
          </cell>
          <cell r="E404" t="str">
            <v>cant.</v>
          </cell>
          <cell r="F404" t="str">
            <v>prec. $</v>
          </cell>
          <cell r="G404" t="str">
            <v>parcial $</v>
          </cell>
        </row>
        <row r="405">
          <cell r="A405" t="str">
            <v>4,01,01</v>
          </cell>
          <cell r="B405" t="str">
            <v>Materiales</v>
          </cell>
          <cell r="G405">
            <v>2.56</v>
          </cell>
        </row>
        <row r="406">
          <cell r="A406" t="str">
            <v>4,01,01</v>
          </cell>
          <cell r="B406" t="str">
            <v>Agregado fino + agregado grueso + aglomerante</v>
          </cell>
          <cell r="C406" t="str">
            <v>GLB</v>
          </cell>
          <cell r="E406">
            <v>1</v>
          </cell>
          <cell r="F406">
            <v>2.56</v>
          </cell>
          <cell r="G406">
            <v>2.56</v>
          </cell>
        </row>
        <row r="407">
          <cell r="A407" t="str">
            <v>4,01,01</v>
          </cell>
          <cell r="B407" t="str">
            <v>Mano de obra</v>
          </cell>
          <cell r="G407">
            <v>3.1799999999999997</v>
          </cell>
        </row>
        <row r="408">
          <cell r="A408" t="str">
            <v>4,01,01</v>
          </cell>
          <cell r="B408" t="str">
            <v>Operario</v>
          </cell>
          <cell r="C408" t="str">
            <v>HH</v>
          </cell>
          <cell r="D408">
            <v>1</v>
          </cell>
          <cell r="E408">
            <v>0.61538461538461542</v>
          </cell>
          <cell r="F408">
            <v>2.84</v>
          </cell>
          <cell r="G408">
            <v>1.75</v>
          </cell>
          <cell r="H408">
            <v>13</v>
          </cell>
        </row>
        <row r="409">
          <cell r="A409" t="str">
            <v>4,01,01</v>
          </cell>
          <cell r="B409" t="str">
            <v>Peón</v>
          </cell>
          <cell r="C409" t="str">
            <v>HH</v>
          </cell>
          <cell r="D409">
            <v>1</v>
          </cell>
          <cell r="E409">
            <v>0.61538461538461542</v>
          </cell>
          <cell r="F409">
            <v>2.3199999999999998</v>
          </cell>
          <cell r="G409">
            <v>1.43</v>
          </cell>
          <cell r="H409">
            <v>13</v>
          </cell>
        </row>
        <row r="410">
          <cell r="A410" t="str">
            <v>4,01,01</v>
          </cell>
          <cell r="B410" t="str">
            <v>Equipos y/o herramientas</v>
          </cell>
          <cell r="G410">
            <v>0.89999999999999991</v>
          </cell>
        </row>
        <row r="411">
          <cell r="A411" t="str">
            <v>4,01,01</v>
          </cell>
          <cell r="B411" t="str">
            <v>Cincelador Hilti</v>
          </cell>
          <cell r="C411" t="str">
            <v>DIA</v>
          </cell>
          <cell r="D411">
            <v>1</v>
          </cell>
          <cell r="E411">
            <v>7.6923076923076927E-2</v>
          </cell>
          <cell r="F411">
            <v>6.5</v>
          </cell>
          <cell r="G411">
            <v>0.5</v>
          </cell>
        </row>
        <row r="412">
          <cell r="A412" t="str">
            <v>4,01,01</v>
          </cell>
          <cell r="B412" t="str">
            <v>Escalera</v>
          </cell>
          <cell r="C412" t="str">
            <v>DIA</v>
          </cell>
          <cell r="D412">
            <v>1</v>
          </cell>
          <cell r="E412">
            <v>7.6923076923076927E-2</v>
          </cell>
          <cell r="F412">
            <v>1</v>
          </cell>
          <cell r="G412">
            <v>0.08</v>
          </cell>
        </row>
        <row r="413">
          <cell r="A413" t="str">
            <v>4,01,01</v>
          </cell>
          <cell r="B413" t="str">
            <v>Desgaste de herramientas</v>
          </cell>
          <cell r="C413" t="str">
            <v>%MO</v>
          </cell>
          <cell r="E413">
            <v>0.1</v>
          </cell>
          <cell r="F413">
            <v>3.1799999999999997</v>
          </cell>
          <cell r="G413">
            <v>0.32</v>
          </cell>
        </row>
        <row r="414">
          <cell r="A414" t="str">
            <v>6,01,01</v>
          </cell>
          <cell r="B414" t="str">
            <v>Desmontaje de equipos, accesorios y materales electricos existententes</v>
          </cell>
          <cell r="F414" t="str">
            <v>( glb )</v>
          </cell>
          <cell r="G414">
            <v>751.93000000000006</v>
          </cell>
          <cell r="I414" t="str">
            <v>6,01,01</v>
          </cell>
        </row>
        <row r="415">
          <cell r="A415" t="str">
            <v>6,01,01</v>
          </cell>
          <cell r="C415" t="str">
            <v>und.</v>
          </cell>
          <cell r="D415" t="str">
            <v>cuad.</v>
          </cell>
          <cell r="E415" t="str">
            <v>cant.</v>
          </cell>
          <cell r="F415" t="str">
            <v>prec. $</v>
          </cell>
          <cell r="G415" t="str">
            <v>parcial $</v>
          </cell>
        </row>
        <row r="416">
          <cell r="A416" t="str">
            <v>6,01,01</v>
          </cell>
          <cell r="B416" t="str">
            <v>Materiales</v>
          </cell>
          <cell r="G416">
            <v>200</v>
          </cell>
        </row>
        <row r="417">
          <cell r="A417" t="str">
            <v>6,01,01</v>
          </cell>
          <cell r="B417" t="str">
            <v>Materiales diversos de desmontaje</v>
          </cell>
          <cell r="C417" t="str">
            <v>GLB</v>
          </cell>
          <cell r="E417">
            <v>1</v>
          </cell>
          <cell r="F417">
            <v>200</v>
          </cell>
          <cell r="G417">
            <v>200</v>
          </cell>
        </row>
        <row r="418">
          <cell r="A418" t="str">
            <v>6,01,01</v>
          </cell>
          <cell r="B418" t="str">
            <v>Mano de obra</v>
          </cell>
          <cell r="G418">
            <v>495.36</v>
          </cell>
        </row>
        <row r="419">
          <cell r="A419" t="str">
            <v>6,01,01</v>
          </cell>
          <cell r="B419" t="str">
            <v>Operario</v>
          </cell>
          <cell r="C419" t="str">
            <v>HH</v>
          </cell>
          <cell r="D419">
            <v>2</v>
          </cell>
          <cell r="E419">
            <v>48</v>
          </cell>
          <cell r="F419">
            <v>2.84</v>
          </cell>
          <cell r="G419">
            <v>272.64</v>
          </cell>
          <cell r="H419">
            <v>0.16666666666666666</v>
          </cell>
        </row>
        <row r="420">
          <cell r="A420" t="str">
            <v>6,01,01</v>
          </cell>
          <cell r="B420" t="str">
            <v>Peón</v>
          </cell>
          <cell r="C420" t="str">
            <v>HH</v>
          </cell>
          <cell r="D420">
            <v>2</v>
          </cell>
          <cell r="E420">
            <v>48</v>
          </cell>
          <cell r="F420">
            <v>2.3199999999999998</v>
          </cell>
          <cell r="G420">
            <v>222.72</v>
          </cell>
          <cell r="H420">
            <v>0.16666666666666666</v>
          </cell>
        </row>
        <row r="421">
          <cell r="A421" t="str">
            <v>6,01,01</v>
          </cell>
          <cell r="B421" t="str">
            <v>Equipos y/o herramientas</v>
          </cell>
          <cell r="G421">
            <v>56.57</v>
          </cell>
        </row>
        <row r="422">
          <cell r="A422" t="str">
            <v>6,01,01</v>
          </cell>
          <cell r="B422" t="str">
            <v>Cuerpo de andamio de 2 m</v>
          </cell>
          <cell r="C422" t="str">
            <v>DIA</v>
          </cell>
          <cell r="D422">
            <v>2</v>
          </cell>
          <cell r="E422">
            <v>6</v>
          </cell>
          <cell r="F422">
            <v>0.65</v>
          </cell>
          <cell r="G422">
            <v>7.8</v>
          </cell>
        </row>
        <row r="423">
          <cell r="A423" t="str">
            <v>6,01,01</v>
          </cell>
          <cell r="B423" t="str">
            <v>Escalera</v>
          </cell>
          <cell r="C423" t="str">
            <v>DIA</v>
          </cell>
          <cell r="D423">
            <v>4</v>
          </cell>
          <cell r="E423">
            <v>6</v>
          </cell>
          <cell r="F423">
            <v>1</v>
          </cell>
          <cell r="G423">
            <v>24</v>
          </cell>
        </row>
        <row r="424">
          <cell r="A424" t="str">
            <v>6,01,01</v>
          </cell>
          <cell r="B424" t="str">
            <v>Desgaste de herramientas</v>
          </cell>
          <cell r="C424" t="str">
            <v>%MO</v>
          </cell>
          <cell r="E424">
            <v>0.05</v>
          </cell>
          <cell r="F424">
            <v>495.36</v>
          </cell>
          <cell r="G424">
            <v>24.77</v>
          </cell>
        </row>
        <row r="425">
          <cell r="A425" t="str">
            <v>6,01,02</v>
          </cell>
          <cell r="B425" t="str">
            <v>Placas ciegas</v>
          </cell>
          <cell r="F425" t="str">
            <v>( und )</v>
          </cell>
          <cell r="G425">
            <v>3.7199999999999998</v>
          </cell>
          <cell r="I425" t="str">
            <v>6,01,02</v>
          </cell>
        </row>
        <row r="426">
          <cell r="A426" t="str">
            <v>6,01,02</v>
          </cell>
          <cell r="C426" t="str">
            <v>und.</v>
          </cell>
          <cell r="D426" t="str">
            <v>cuad.</v>
          </cell>
          <cell r="E426" t="str">
            <v>cant.</v>
          </cell>
          <cell r="F426" t="str">
            <v>prec. $</v>
          </cell>
          <cell r="G426" t="str">
            <v>parcial $</v>
          </cell>
        </row>
        <row r="427">
          <cell r="A427" t="str">
            <v>6,01,02</v>
          </cell>
          <cell r="B427" t="str">
            <v>Materiales</v>
          </cell>
          <cell r="G427">
            <v>2.27</v>
          </cell>
        </row>
        <row r="428">
          <cell r="A428" t="str">
            <v>6,01,02</v>
          </cell>
          <cell r="B428" t="str">
            <v>Placa serie Nuva de ticino</v>
          </cell>
          <cell r="C428" t="str">
            <v>ml</v>
          </cell>
          <cell r="E428">
            <v>1</v>
          </cell>
          <cell r="F428">
            <v>1.47</v>
          </cell>
          <cell r="G428">
            <v>1.47</v>
          </cell>
        </row>
        <row r="429">
          <cell r="A429" t="str">
            <v>6,01,02</v>
          </cell>
          <cell r="B429" t="str">
            <v xml:space="preserve">Stobolt </v>
          </cell>
          <cell r="C429" t="str">
            <v>und</v>
          </cell>
          <cell r="E429">
            <v>2</v>
          </cell>
          <cell r="F429">
            <v>0.4</v>
          </cell>
          <cell r="G429">
            <v>0.8</v>
          </cell>
        </row>
        <row r="430">
          <cell r="A430" t="str">
            <v>6,01,02</v>
          </cell>
          <cell r="B430" t="str">
            <v>Mano de obra</v>
          </cell>
          <cell r="G430">
            <v>1.38</v>
          </cell>
        </row>
        <row r="431">
          <cell r="A431" t="str">
            <v>6,01,02</v>
          </cell>
          <cell r="B431" t="str">
            <v>Operario</v>
          </cell>
          <cell r="C431" t="str">
            <v>HH</v>
          </cell>
          <cell r="D431">
            <v>1</v>
          </cell>
          <cell r="E431">
            <v>0.26666666666666666</v>
          </cell>
          <cell r="F431">
            <v>2.84</v>
          </cell>
          <cell r="G431">
            <v>0.76</v>
          </cell>
          <cell r="H431">
            <v>30</v>
          </cell>
        </row>
        <row r="432">
          <cell r="A432" t="str">
            <v>6,01,02</v>
          </cell>
          <cell r="B432" t="str">
            <v>Peón</v>
          </cell>
          <cell r="C432" t="str">
            <v>HH</v>
          </cell>
          <cell r="D432">
            <v>1</v>
          </cell>
          <cell r="E432">
            <v>0.26666666666666666</v>
          </cell>
          <cell r="F432">
            <v>2.3199999999999998</v>
          </cell>
          <cell r="G432">
            <v>0.62</v>
          </cell>
          <cell r="H432">
            <v>30</v>
          </cell>
        </row>
        <row r="433">
          <cell r="A433" t="str">
            <v>6,01,02</v>
          </cell>
          <cell r="B433" t="str">
            <v>Equipos</v>
          </cell>
          <cell r="G433">
            <v>7.0000000000000007E-2</v>
          </cell>
        </row>
        <row r="434">
          <cell r="A434" t="str">
            <v>6,01,02</v>
          </cell>
          <cell r="B434" t="str">
            <v>Desgaste de herramientas</v>
          </cell>
          <cell r="C434" t="str">
            <v>%MO</v>
          </cell>
          <cell r="E434">
            <v>0.05</v>
          </cell>
          <cell r="F434">
            <v>1.38</v>
          </cell>
          <cell r="G434">
            <v>7.0000000000000007E-2</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DE PROPUESTA"/>
      <sheetName val="Arquitectura"/>
      <sheetName val="Estructuras"/>
      <sheetName val="Electrica"/>
      <sheetName val="Sanitaria"/>
      <sheetName val="Mecanica"/>
      <sheetName val="PU arquitectura"/>
      <sheetName val="pu Estructuras"/>
      <sheetName val="PU electricas"/>
      <sheetName val="PU sanitarias"/>
      <sheetName val="puni"/>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LUMNAS PARA MESANINNE"/>
      <sheetName val="MEZANINNE F-G_13"/>
      <sheetName val="LOSA Nv. SUPERIOR"/>
      <sheetName val="MESANINNE 1-9_H-G"/>
      <sheetName val="basedatos"/>
    </sheetNames>
    <sheetDataSet>
      <sheetData sheetId="0" refreshError="1"/>
      <sheetData sheetId="1" refreshError="1"/>
      <sheetData sheetId="2" refreshError="1"/>
      <sheetData sheetId="3" refreshError="1"/>
      <sheetData sheetId="4">
        <row r="1">
          <cell r="B1" t="str">
            <v>BASE DE DATOS</v>
          </cell>
          <cell r="G1" t="str">
            <v>AREA PINTURA</v>
          </cell>
        </row>
        <row r="2">
          <cell r="A2" t="str">
            <v>COD.</v>
          </cell>
          <cell r="B2" t="str">
            <v>DESCRIPCION DEL ELEMENTO</v>
          </cell>
          <cell r="C2" t="str">
            <v>Peso (kg)</v>
          </cell>
          <cell r="D2" t="str">
            <v>Precio ($)</v>
          </cell>
          <cell r="E2" t="str">
            <v>kg/ml</v>
          </cell>
          <cell r="F2" t="str">
            <v>$/barra</v>
          </cell>
          <cell r="G2" t="str">
            <v>m2/ml</v>
          </cell>
          <cell r="H2" t="str">
            <v>angulos, tubos, ejes, platinas</v>
          </cell>
        </row>
        <row r="3">
          <cell r="C3" t="str">
            <v>elemento</v>
          </cell>
          <cell r="D3" t="str">
            <v>elemento</v>
          </cell>
          <cell r="E3" t="str">
            <v>kg/m2</v>
          </cell>
          <cell r="F3" t="str">
            <v>$/kg</v>
          </cell>
          <cell r="G3" t="str">
            <v>m2/m2</v>
          </cell>
          <cell r="H3" t="str">
            <v>planchas</v>
          </cell>
        </row>
        <row r="4">
          <cell r="B4" t="str">
            <v>ANGULOS</v>
          </cell>
        </row>
        <row r="5">
          <cell r="A5" t="str">
            <v>A000</v>
          </cell>
          <cell r="B5" t="str">
            <v>L 3/4 "x 3/4" x1/8"</v>
          </cell>
          <cell r="C5">
            <v>5.1280000000000001</v>
          </cell>
          <cell r="D5">
            <v>3.5084745762711864</v>
          </cell>
          <cell r="E5">
            <v>0.85466666666666669</v>
          </cell>
          <cell r="F5">
            <v>3.5084745762711864</v>
          </cell>
          <cell r="G5">
            <v>7.619999999999999E-2</v>
          </cell>
          <cell r="H5">
            <v>0.68417990956926411</v>
          </cell>
        </row>
        <row r="6">
          <cell r="A6" t="str">
            <v>A001</v>
          </cell>
          <cell r="B6" t="str">
            <v>L 1 "x 1" x1/8"</v>
          </cell>
          <cell r="C6">
            <v>6.8970000000000002</v>
          </cell>
          <cell r="D6">
            <v>3.53</v>
          </cell>
          <cell r="E6">
            <v>1.1495</v>
          </cell>
          <cell r="F6">
            <v>3.53</v>
          </cell>
          <cell r="G6">
            <v>0.1016</v>
          </cell>
          <cell r="H6">
            <v>0.5118167319124256</v>
          </cell>
        </row>
        <row r="7">
          <cell r="A7" t="str">
            <v>A002</v>
          </cell>
          <cell r="B7" t="str">
            <v xml:space="preserve">L 1 "x 1" x3/16" </v>
          </cell>
          <cell r="C7">
            <v>10</v>
          </cell>
          <cell r="D7">
            <v>5.620000000000001</v>
          </cell>
          <cell r="E7">
            <v>1.6666666666666667</v>
          </cell>
          <cell r="F7">
            <v>5.620000000000001</v>
          </cell>
          <cell r="G7">
            <v>0.1016</v>
          </cell>
          <cell r="H7">
            <v>0.56200000000000006</v>
          </cell>
        </row>
        <row r="8">
          <cell r="A8" t="str">
            <v>A003</v>
          </cell>
          <cell r="B8" t="str">
            <v xml:space="preserve">L 1 "x 1" x1/4" </v>
          </cell>
          <cell r="C8">
            <v>13.157999999999999</v>
          </cell>
          <cell r="D8">
            <v>8.6610169491525433</v>
          </cell>
          <cell r="E8">
            <v>2.1930000000000001</v>
          </cell>
          <cell r="F8">
            <v>8.6610169491525433</v>
          </cell>
          <cell r="G8">
            <v>0.1016</v>
          </cell>
          <cell r="H8">
            <v>0.65823202227941513</v>
          </cell>
        </row>
        <row r="9">
          <cell r="A9" t="str">
            <v>A004</v>
          </cell>
          <cell r="B9" t="str">
            <v xml:space="preserve">L 1 1/4"x 1 1/4 " x1/8" </v>
          </cell>
          <cell r="C9">
            <v>8.6959999999999997</v>
          </cell>
          <cell r="D9">
            <v>5.7203389830508478</v>
          </cell>
          <cell r="E9">
            <v>1.4493333333333334</v>
          </cell>
          <cell r="F9">
            <v>5.7203389830508478</v>
          </cell>
          <cell r="G9">
            <v>0.127</v>
          </cell>
          <cell r="H9">
            <v>0.6578126705440257</v>
          </cell>
        </row>
        <row r="10">
          <cell r="A10" t="str">
            <v>A005</v>
          </cell>
          <cell r="B10" t="str">
            <v xml:space="preserve">L 1 1/4"x 1 1/4 " x3/16" </v>
          </cell>
          <cell r="C10">
            <v>12.821</v>
          </cell>
          <cell r="D10">
            <v>8.2288135593220346</v>
          </cell>
          <cell r="E10">
            <v>2.1368333333333331</v>
          </cell>
          <cell r="F10">
            <v>8.2288135593220346</v>
          </cell>
          <cell r="G10">
            <v>0.127</v>
          </cell>
          <cell r="H10">
            <v>0.64182306835052139</v>
          </cell>
        </row>
        <row r="11">
          <cell r="A11" t="str">
            <v>A006</v>
          </cell>
          <cell r="B11" t="str">
            <v xml:space="preserve">L 1 1/4"x 1 1/4 " x1/4" </v>
          </cell>
          <cell r="C11">
            <v>16.667000000000002</v>
          </cell>
          <cell r="D11">
            <v>10.966101694915254</v>
          </cell>
          <cell r="E11">
            <v>2.7778333333333336</v>
          </cell>
          <cell r="F11">
            <v>10.966101694915254</v>
          </cell>
          <cell r="G11">
            <v>0.127</v>
          </cell>
          <cell r="H11">
            <v>0.65795294263606252</v>
          </cell>
        </row>
        <row r="12">
          <cell r="A12" t="str">
            <v>A007</v>
          </cell>
          <cell r="B12" t="str">
            <v>L 1 1/2"x1 1/2"x1/8"</v>
          </cell>
          <cell r="C12">
            <v>10.526</v>
          </cell>
          <cell r="D12">
            <v>5.67</v>
          </cell>
          <cell r="E12">
            <v>1.7543333333333333</v>
          </cell>
          <cell r="F12">
            <v>5.67</v>
          </cell>
          <cell r="G12">
            <v>0.15239999999999998</v>
          </cell>
          <cell r="H12">
            <v>0.5386661599847995</v>
          </cell>
        </row>
        <row r="13">
          <cell r="A13" t="str">
            <v>A008</v>
          </cell>
          <cell r="B13" t="str">
            <v>L 1 1/2"x1 1/2"x3/16"</v>
          </cell>
          <cell r="C13">
            <v>15.625</v>
          </cell>
          <cell r="D13">
            <v>7.19</v>
          </cell>
          <cell r="E13">
            <v>2.6041666666666665</v>
          </cell>
          <cell r="F13">
            <v>7.19</v>
          </cell>
          <cell r="G13">
            <v>0.15239999999999998</v>
          </cell>
          <cell r="H13">
            <v>0.46016000000000001</v>
          </cell>
        </row>
        <row r="14">
          <cell r="A14" t="str">
            <v>A009</v>
          </cell>
          <cell r="B14" t="str">
            <v>L 1 1/2"x1 1/2"x1/4"</v>
          </cell>
          <cell r="C14">
            <v>20</v>
          </cell>
          <cell r="D14">
            <v>11.78</v>
          </cell>
          <cell r="E14">
            <v>3.3333333333333335</v>
          </cell>
          <cell r="F14">
            <v>11.78</v>
          </cell>
          <cell r="G14">
            <v>0.15239999999999998</v>
          </cell>
          <cell r="H14">
            <v>0.58899999999999997</v>
          </cell>
        </row>
        <row r="15">
          <cell r="A15" t="str">
            <v>A010</v>
          </cell>
          <cell r="B15" t="str">
            <v>L 1 3/4"x1 3/4"x1/8"</v>
          </cell>
          <cell r="C15">
            <v>12.821</v>
          </cell>
          <cell r="D15">
            <v>8.6779661016949152</v>
          </cell>
          <cell r="E15">
            <v>2.1368333333333331</v>
          </cell>
          <cell r="F15">
            <v>8.6779661016949152</v>
          </cell>
          <cell r="G15">
            <v>0.17779999999999999</v>
          </cell>
          <cell r="H15">
            <v>0.67685563541805749</v>
          </cell>
        </row>
        <row r="16">
          <cell r="A16" t="str">
            <v>A011</v>
          </cell>
          <cell r="B16" t="str">
            <v>L 1 3/4"x1 3/4"x3/16"</v>
          </cell>
          <cell r="C16">
            <v>18.518999999999998</v>
          </cell>
          <cell r="D16">
            <v>12.533898305084746</v>
          </cell>
          <cell r="E16">
            <v>3.0864999999999996</v>
          </cell>
          <cell r="F16">
            <v>12.533898305084746</v>
          </cell>
          <cell r="G16">
            <v>0.17779999999999999</v>
          </cell>
          <cell r="H16">
            <v>0.67681291133888155</v>
          </cell>
        </row>
        <row r="17">
          <cell r="A17" t="str">
            <v>A012</v>
          </cell>
          <cell r="B17" t="str">
            <v>L 1 3/4"x1 3/4"x1/4"</v>
          </cell>
          <cell r="C17">
            <v>24.39</v>
          </cell>
          <cell r="D17">
            <v>16.508474576271187</v>
          </cell>
          <cell r="E17">
            <v>4.0650000000000004</v>
          </cell>
          <cell r="F17">
            <v>16.508474576271187</v>
          </cell>
          <cell r="G17">
            <v>0.17779999999999999</v>
          </cell>
          <cell r="H17">
            <v>0.67685422616938029</v>
          </cell>
        </row>
        <row r="18">
          <cell r="A18" t="str">
            <v>A013</v>
          </cell>
          <cell r="B18" t="str">
            <v>L 2"x2"x1/8"</v>
          </cell>
          <cell r="C18">
            <v>14.706</v>
          </cell>
          <cell r="D18">
            <v>8.2203389830508478</v>
          </cell>
          <cell r="E18">
            <v>2.4510000000000001</v>
          </cell>
          <cell r="F18">
            <v>8.2203389830508478</v>
          </cell>
          <cell r="G18">
            <v>0.20319999999999999</v>
          </cell>
          <cell r="H18">
            <v>0.55897857901882553</v>
          </cell>
        </row>
        <row r="19">
          <cell r="A19" t="str">
            <v>A014</v>
          </cell>
          <cell r="B19" t="str">
            <v>L 2"x2"x3/16"</v>
          </cell>
          <cell r="C19">
            <v>21.739000000000001</v>
          </cell>
          <cell r="D19">
            <v>10.78</v>
          </cell>
          <cell r="E19">
            <v>3.6231666666666666</v>
          </cell>
          <cell r="F19">
            <v>10.78</v>
          </cell>
          <cell r="G19">
            <v>0.20319999999999999</v>
          </cell>
          <cell r="H19">
            <v>0.49588297529785175</v>
          </cell>
        </row>
        <row r="20">
          <cell r="A20" t="str">
            <v>A015</v>
          </cell>
          <cell r="B20" t="str">
            <v>L 2"x2"x1/4"</v>
          </cell>
          <cell r="C20">
            <v>28.047000000000001</v>
          </cell>
          <cell r="D20">
            <v>14.92</v>
          </cell>
          <cell r="E20">
            <v>4.6745000000000001</v>
          </cell>
          <cell r="F20">
            <v>14.92</v>
          </cell>
          <cell r="G20">
            <v>0.20319999999999999</v>
          </cell>
          <cell r="H20">
            <v>0.53196420294505653</v>
          </cell>
        </row>
        <row r="21">
          <cell r="A21" t="str">
            <v>A016</v>
          </cell>
          <cell r="B21" t="str">
            <v>L 2"x2"x5/16"</v>
          </cell>
          <cell r="C21">
            <v>34.886000000000003</v>
          </cell>
          <cell r="D21">
            <v>22.525423728813561</v>
          </cell>
          <cell r="E21">
            <v>5.8143333333333338</v>
          </cell>
          <cell r="F21">
            <v>22.525423728813561</v>
          </cell>
          <cell r="G21">
            <v>0.20319999999999999</v>
          </cell>
          <cell r="H21">
            <v>0.64568662869958027</v>
          </cell>
        </row>
        <row r="22">
          <cell r="A22" t="str">
            <v>A017</v>
          </cell>
          <cell r="B22" t="str">
            <v>L 2"x2"x3/8"</v>
          </cell>
          <cell r="C22">
            <v>40</v>
          </cell>
          <cell r="D22">
            <v>25.343305084745761</v>
          </cell>
          <cell r="E22">
            <v>6.666666666666667</v>
          </cell>
          <cell r="F22">
            <v>25.343305084745761</v>
          </cell>
          <cell r="G22">
            <v>0.20319999999999999</v>
          </cell>
          <cell r="H22">
            <v>0.63358262711864399</v>
          </cell>
        </row>
        <row r="23">
          <cell r="A23" t="str">
            <v>A018</v>
          </cell>
          <cell r="B23" t="str">
            <v>L 2 1/2"x2 1/2x3/16"</v>
          </cell>
          <cell r="C23">
            <v>27.027000000000001</v>
          </cell>
          <cell r="D23">
            <v>14.78</v>
          </cell>
          <cell r="E23">
            <v>4.5045000000000002</v>
          </cell>
          <cell r="F23">
            <v>14.78</v>
          </cell>
          <cell r="G23">
            <v>0.254</v>
          </cell>
          <cell r="H23">
            <v>0.54686054686054686</v>
          </cell>
        </row>
        <row r="24">
          <cell r="A24" t="str">
            <v>A019</v>
          </cell>
          <cell r="B24" t="str">
            <v>L 2 1/2"x2 1/2x1/4"</v>
          </cell>
          <cell r="C24">
            <v>35.713999999999999</v>
          </cell>
          <cell r="D24">
            <v>20.34</v>
          </cell>
          <cell r="E24">
            <v>5.9523333333333328</v>
          </cell>
          <cell r="F24">
            <v>20.34</v>
          </cell>
          <cell r="G24">
            <v>0.254</v>
          </cell>
          <cell r="H24">
            <v>0.56952455619644959</v>
          </cell>
        </row>
        <row r="25">
          <cell r="A25" t="str">
            <v>A020</v>
          </cell>
          <cell r="B25" t="str">
            <v>L 2 1/2"x2 1/2x5/16"</v>
          </cell>
          <cell r="C25">
            <v>43.48</v>
          </cell>
          <cell r="D25">
            <v>28.406779661016952</v>
          </cell>
          <cell r="E25">
            <v>7.2466666666666661</v>
          </cell>
          <cell r="F25">
            <v>28.406779661016952</v>
          </cell>
          <cell r="G25">
            <v>0.254</v>
          </cell>
          <cell r="H25">
            <v>0.65332979901142951</v>
          </cell>
        </row>
        <row r="26">
          <cell r="A26" t="str">
            <v>A021</v>
          </cell>
          <cell r="B26" t="str">
            <v>L 2 1/2"x2 1/2x3/8"</v>
          </cell>
          <cell r="C26">
            <v>52.68</v>
          </cell>
          <cell r="D26">
            <v>30.49</v>
          </cell>
          <cell r="E26">
            <v>8.7799999999999994</v>
          </cell>
          <cell r="F26">
            <v>30.49</v>
          </cell>
          <cell r="G26">
            <v>0.254</v>
          </cell>
          <cell r="H26">
            <v>0.57877752467729682</v>
          </cell>
        </row>
        <row r="27">
          <cell r="A27" t="str">
            <v>A022</v>
          </cell>
          <cell r="B27" t="str">
            <v>L  3"x 3" x 3/16"</v>
          </cell>
          <cell r="C27">
            <v>33.119999999999997</v>
          </cell>
          <cell r="D27">
            <v>19.110169491525426</v>
          </cell>
          <cell r="E27">
            <v>5.52</v>
          </cell>
          <cell r="F27">
            <v>19.110169491525426</v>
          </cell>
          <cell r="G27">
            <v>0.30479999999999996</v>
          </cell>
          <cell r="H27">
            <v>0.57699787112093681</v>
          </cell>
        </row>
        <row r="28">
          <cell r="A28" t="str">
            <v>A023</v>
          </cell>
          <cell r="B28" t="str">
            <v>L  3"x 3" x 1/4"</v>
          </cell>
          <cell r="C28">
            <v>43.478000000000002</v>
          </cell>
          <cell r="D28">
            <v>17.899999999999999</v>
          </cell>
          <cell r="E28">
            <v>7.2463333333333333</v>
          </cell>
          <cell r="F28">
            <v>17.899999999999999</v>
          </cell>
          <cell r="G28">
            <v>0.30479999999999996</v>
          </cell>
          <cell r="H28">
            <v>0.41170247021482126</v>
          </cell>
        </row>
        <row r="29">
          <cell r="A29" t="str">
            <v>A024</v>
          </cell>
          <cell r="B29" t="str">
            <v>L  3"x 3" x 5/16"</v>
          </cell>
          <cell r="C29">
            <v>52.65</v>
          </cell>
          <cell r="D29">
            <v>34.381355932203391</v>
          </cell>
          <cell r="E29">
            <v>8.7750000000000004</v>
          </cell>
          <cell r="F29">
            <v>34.381355932203391</v>
          </cell>
          <cell r="G29">
            <v>0.30479999999999996</v>
          </cell>
          <cell r="H29">
            <v>0.65301720668952312</v>
          </cell>
        </row>
        <row r="30">
          <cell r="A30" t="str">
            <v>A025</v>
          </cell>
          <cell r="B30" t="str">
            <v>L  3"x 3" x 3/8"</v>
          </cell>
          <cell r="C30">
            <v>62.5</v>
          </cell>
          <cell r="D30">
            <v>36.21</v>
          </cell>
          <cell r="E30">
            <v>10.416666666666666</v>
          </cell>
          <cell r="F30">
            <v>36.21</v>
          </cell>
          <cell r="G30">
            <v>0.30479999999999996</v>
          </cell>
          <cell r="H30">
            <v>0.57935999999999999</v>
          </cell>
        </row>
        <row r="31">
          <cell r="A31" t="str">
            <v>A026</v>
          </cell>
          <cell r="B31" t="str">
            <v>L  3"x 3" x 1/2"</v>
          </cell>
          <cell r="C31">
            <v>83.4</v>
          </cell>
          <cell r="D31">
            <v>54.432203389830512</v>
          </cell>
          <cell r="E31">
            <v>13.9</v>
          </cell>
          <cell r="F31">
            <v>54.432203389830512</v>
          </cell>
          <cell r="G31">
            <v>0.30479999999999996</v>
          </cell>
          <cell r="H31">
            <v>0.65266430923058161</v>
          </cell>
        </row>
        <row r="32">
          <cell r="A32" t="str">
            <v>A027</v>
          </cell>
          <cell r="B32" t="str">
            <v>L  4 "x 4 " x1/4"</v>
          </cell>
          <cell r="C32">
            <v>58.91</v>
          </cell>
          <cell r="D32">
            <v>30.9</v>
          </cell>
          <cell r="E32">
            <v>9.8183333333333334</v>
          </cell>
          <cell r="F32">
            <v>30.9</v>
          </cell>
          <cell r="G32">
            <v>0.40639999999999998</v>
          </cell>
          <cell r="H32">
            <v>0.52452894245459181</v>
          </cell>
        </row>
        <row r="33">
          <cell r="A33" t="str">
            <v>A028</v>
          </cell>
          <cell r="B33" t="str">
            <v>L  4 "x 4 " x3/8"</v>
          </cell>
          <cell r="C33">
            <v>107.482</v>
          </cell>
          <cell r="D33">
            <v>51.78</v>
          </cell>
          <cell r="E33">
            <v>17.913666666666668</v>
          </cell>
          <cell r="F33">
            <v>51.78</v>
          </cell>
          <cell r="G33">
            <v>0.40639999999999998</v>
          </cell>
          <cell r="H33">
            <v>0.48175508457230048</v>
          </cell>
        </row>
        <row r="34">
          <cell r="A34" t="str">
            <v>A029</v>
          </cell>
          <cell r="B34" t="str">
            <v>L  4 "x 4 "x1/2"</v>
          </cell>
          <cell r="C34">
            <v>121.55</v>
          </cell>
          <cell r="D34">
            <v>84.449152542372886</v>
          </cell>
          <cell r="E34">
            <v>20.258333333333333</v>
          </cell>
          <cell r="F34">
            <v>84.449152542372886</v>
          </cell>
          <cell r="G34">
            <v>0.40639999999999998</v>
          </cell>
          <cell r="H34">
            <v>0.69476884033215047</v>
          </cell>
        </row>
        <row r="35">
          <cell r="A35" t="str">
            <v>A030</v>
          </cell>
          <cell r="B35" t="str">
            <v>L 6 "x 6" x3/8"</v>
          </cell>
          <cell r="C35">
            <v>132.99600000000001</v>
          </cell>
          <cell r="D35">
            <v>62.03</v>
          </cell>
          <cell r="E35">
            <v>22.166</v>
          </cell>
          <cell r="F35">
            <v>62.03</v>
          </cell>
          <cell r="G35">
            <v>0.60959999999999992</v>
          </cell>
          <cell r="H35">
            <v>0.4664050046617943</v>
          </cell>
        </row>
        <row r="36">
          <cell r="A36" t="str">
            <v>A031</v>
          </cell>
          <cell r="B36" t="str">
            <v>L 6 "x 6" x1/2"</v>
          </cell>
          <cell r="C36">
            <v>175.00899999999999</v>
          </cell>
          <cell r="D36">
            <v>95</v>
          </cell>
          <cell r="E36">
            <v>29.168166666666664</v>
          </cell>
          <cell r="F36">
            <v>95</v>
          </cell>
          <cell r="G36">
            <v>0.60959999999999992</v>
          </cell>
          <cell r="H36">
            <v>0.54282922592552385</v>
          </cell>
        </row>
        <row r="37">
          <cell r="B37" t="str">
            <v>CANALES</v>
          </cell>
        </row>
        <row r="38">
          <cell r="A38" t="str">
            <v>CE001</v>
          </cell>
          <cell r="B38" t="str">
            <v xml:space="preserve">Canal  3"x 4.1#  </v>
          </cell>
          <cell r="C38">
            <v>36.653999999999996</v>
          </cell>
          <cell r="E38">
            <v>6.1089999999999991</v>
          </cell>
          <cell r="F38">
            <v>0</v>
          </cell>
          <cell r="G38">
            <v>0.32</v>
          </cell>
        </row>
        <row r="39">
          <cell r="A39" t="str">
            <v>CE002</v>
          </cell>
          <cell r="B39" t="str">
            <v>Canal  4" X 5,4 #</v>
          </cell>
          <cell r="C39">
            <v>48.305454545454545</v>
          </cell>
          <cell r="E39">
            <v>8.0509090909090908</v>
          </cell>
          <cell r="F39">
            <v>0</v>
          </cell>
          <cell r="G39">
            <v>0.36</v>
          </cell>
        </row>
        <row r="40">
          <cell r="A40" t="str">
            <v>CE003</v>
          </cell>
          <cell r="B40" t="str">
            <v xml:space="preserve">Canal 5"x 6.7#  </v>
          </cell>
          <cell r="C40">
            <v>59.93454545454545</v>
          </cell>
          <cell r="E40">
            <v>9.9890909090909084</v>
          </cell>
          <cell r="F40">
            <v>0</v>
          </cell>
          <cell r="G40">
            <v>0.43180000000000002</v>
          </cell>
        </row>
        <row r="41">
          <cell r="A41" t="str">
            <v>f</v>
          </cell>
          <cell r="B41" t="str">
            <v xml:space="preserve">Canal 6"x 8.2#  </v>
          </cell>
          <cell r="C41">
            <v>73.352727272727265</v>
          </cell>
          <cell r="E41">
            <v>12.225454545454543</v>
          </cell>
          <cell r="F41">
            <v>0</v>
          </cell>
          <cell r="G41">
            <v>0.5</v>
          </cell>
        </row>
        <row r="42">
          <cell r="A42" t="str">
            <v>CE005</v>
          </cell>
          <cell r="B42" t="str">
            <v xml:space="preserve">Canal 6"x 10.5# </v>
          </cell>
          <cell r="C42">
            <v>93.927272727272708</v>
          </cell>
          <cell r="E42">
            <v>15.654545454545453</v>
          </cell>
          <cell r="F42">
            <v>0</v>
          </cell>
          <cell r="G42">
            <v>0.57909999999999995</v>
          </cell>
        </row>
        <row r="43">
          <cell r="A43" t="str">
            <v>CE006</v>
          </cell>
          <cell r="B43" t="str">
            <v xml:space="preserve">Canal 6"x  12# </v>
          </cell>
          <cell r="C43">
            <v>107.34545454545454</v>
          </cell>
          <cell r="E43">
            <v>17.890909090909091</v>
          </cell>
          <cell r="F43">
            <v>0</v>
          </cell>
          <cell r="G43">
            <v>0.50800000000000001</v>
          </cell>
        </row>
        <row r="44">
          <cell r="A44" t="str">
            <v>CE007</v>
          </cell>
          <cell r="B44" t="str">
            <v xml:space="preserve">Canal 6"x  17# </v>
          </cell>
          <cell r="C44">
            <v>151.97999999999999</v>
          </cell>
          <cell r="E44">
            <v>25.33</v>
          </cell>
          <cell r="F44">
            <v>0</v>
          </cell>
          <cell r="G44">
            <v>0.50800000000000001</v>
          </cell>
        </row>
        <row r="45">
          <cell r="A45" t="str">
            <v>CE008</v>
          </cell>
          <cell r="B45" t="str">
            <v xml:space="preserve">Canal 8"x 11.5#  </v>
          </cell>
          <cell r="C45">
            <v>102.87272727272727</v>
          </cell>
          <cell r="E45">
            <v>17.145454545454545</v>
          </cell>
          <cell r="F45">
            <v>0</v>
          </cell>
          <cell r="G45">
            <v>0.64</v>
          </cell>
        </row>
        <row r="46">
          <cell r="A46" t="str">
            <v>CE009</v>
          </cell>
          <cell r="B46" t="str">
            <v xml:space="preserve">Canal 8"x  17# </v>
          </cell>
          <cell r="C46">
            <v>151.97999999999999</v>
          </cell>
          <cell r="E46">
            <v>25.33</v>
          </cell>
          <cell r="F46">
            <v>0</v>
          </cell>
          <cell r="G46">
            <v>0.60959999999999992</v>
          </cell>
        </row>
        <row r="47">
          <cell r="A47" t="str">
            <v>CE010</v>
          </cell>
          <cell r="B47" t="str">
            <v xml:space="preserve">Canal 8"x  28# </v>
          </cell>
          <cell r="C47">
            <v>250.32</v>
          </cell>
          <cell r="E47">
            <v>41.72</v>
          </cell>
          <cell r="F47">
            <v>0</v>
          </cell>
          <cell r="G47">
            <v>0.60959999999999992</v>
          </cell>
        </row>
        <row r="48">
          <cell r="A48" t="str">
            <v>CE011</v>
          </cell>
          <cell r="B48" t="str">
            <v xml:space="preserve">Canal 10"x 15.3# </v>
          </cell>
          <cell r="C48">
            <v>136.86545454545453</v>
          </cell>
          <cell r="E48">
            <v>22.810909090909089</v>
          </cell>
          <cell r="F48">
            <v>0</v>
          </cell>
          <cell r="G48">
            <v>0.78</v>
          </cell>
        </row>
        <row r="49">
          <cell r="A49" t="str">
            <v>CE012</v>
          </cell>
          <cell r="B49" t="str">
            <v xml:space="preserve">Canal 12"x 20.7# </v>
          </cell>
          <cell r="C49">
            <v>185.17090909090905</v>
          </cell>
          <cell r="E49">
            <v>30.861818181818172</v>
          </cell>
          <cell r="F49">
            <v>0</v>
          </cell>
          <cell r="G49">
            <v>0.92</v>
          </cell>
        </row>
        <row r="50">
          <cell r="A50" t="str">
            <v>CE013</v>
          </cell>
          <cell r="B50" t="str">
            <v xml:space="preserve">Canal 12"x 31# </v>
          </cell>
          <cell r="C50">
            <v>277.14</v>
          </cell>
          <cell r="E50">
            <v>46.19</v>
          </cell>
          <cell r="F50">
            <v>0</v>
          </cell>
          <cell r="G50">
            <v>0.97</v>
          </cell>
        </row>
        <row r="51">
          <cell r="A51" t="str">
            <v>CP00</v>
          </cell>
          <cell r="B51" t="str">
            <v>Canal C de 3"x 2"x 3mm atiesado</v>
          </cell>
          <cell r="E51">
            <v>4.62</v>
          </cell>
          <cell r="F51">
            <v>19.252499999999998</v>
          </cell>
          <cell r="G51">
            <v>0.44</v>
          </cell>
        </row>
        <row r="52">
          <cell r="A52" t="str">
            <v>CP01</v>
          </cell>
          <cell r="B52" t="str">
            <v>Canal C de 3"x 2"x 4,5mm atiesado</v>
          </cell>
          <cell r="E52">
            <v>6.8</v>
          </cell>
          <cell r="F52">
            <v>28.729999999999997</v>
          </cell>
          <cell r="G52">
            <v>0.45</v>
          </cell>
        </row>
        <row r="53">
          <cell r="A53" t="str">
            <v>CP02</v>
          </cell>
          <cell r="B53" t="str">
            <v>Canal C de 4"x2"x2,0 mm atiesado</v>
          </cell>
          <cell r="E53">
            <v>3.48</v>
          </cell>
          <cell r="F53">
            <v>14.254499999999998</v>
          </cell>
          <cell r="G53">
            <v>0.47</v>
          </cell>
        </row>
        <row r="54">
          <cell r="A54" t="str">
            <v>CP03</v>
          </cell>
          <cell r="B54" t="str">
            <v>Canal C de 4"x2"x3,0 mm atiesado</v>
          </cell>
          <cell r="E54">
            <v>5.22</v>
          </cell>
          <cell r="F54">
            <v>20.774000000000001</v>
          </cell>
          <cell r="G54">
            <v>0.48</v>
          </cell>
        </row>
        <row r="55">
          <cell r="A55" t="str">
            <v>CP04</v>
          </cell>
          <cell r="B55" t="str">
            <v>Canal C de 4"x2"x4,5 mm atiesado</v>
          </cell>
          <cell r="E55">
            <v>7.7</v>
          </cell>
          <cell r="F55">
            <v>30.854999999999997</v>
          </cell>
          <cell r="G55">
            <v>0.5</v>
          </cell>
        </row>
        <row r="56">
          <cell r="A56" t="str">
            <v>CP05</v>
          </cell>
          <cell r="B56" t="str">
            <v>Canal C de 5" x 2" x 2,5 mm atiesado</v>
          </cell>
          <cell r="E56">
            <v>4.91</v>
          </cell>
          <cell r="F56">
            <v>20.603999999999999</v>
          </cell>
          <cell r="G56">
            <v>0.54</v>
          </cell>
        </row>
        <row r="57">
          <cell r="A57" t="str">
            <v>CP06</v>
          </cell>
          <cell r="B57" t="str">
            <v>Canal C de 5" x 2" x 4,5 mm atiesado</v>
          </cell>
          <cell r="E57">
            <v>8.6</v>
          </cell>
          <cell r="F57">
            <v>36.481999999999999</v>
          </cell>
          <cell r="G57">
            <v>0.54600000000000004</v>
          </cell>
        </row>
        <row r="58">
          <cell r="A58" t="str">
            <v>CP07</v>
          </cell>
          <cell r="B58" t="str">
            <v>Canal C de 6"x2"x3,0 mm atiesado</v>
          </cell>
          <cell r="E58">
            <v>6.42</v>
          </cell>
          <cell r="F58">
            <v>27.055499999999999</v>
          </cell>
          <cell r="G58">
            <v>0.57999999999999996</v>
          </cell>
        </row>
        <row r="59">
          <cell r="A59" t="str">
            <v>CP08</v>
          </cell>
          <cell r="B59" t="str">
            <v>Canal C de 6"x2"x4,5 mm atiesado</v>
          </cell>
          <cell r="E59">
            <v>9.5</v>
          </cell>
          <cell r="F59">
            <v>40.281500000000001</v>
          </cell>
          <cell r="G59">
            <v>0.6</v>
          </cell>
        </row>
        <row r="60">
          <cell r="A60" t="str">
            <v>CP09</v>
          </cell>
          <cell r="B60" t="str">
            <v>Canal C de 6"x3"x3,0 mm atiesado</v>
          </cell>
          <cell r="E60">
            <v>7.91</v>
          </cell>
          <cell r="F60">
            <v>32.223499999999994</v>
          </cell>
          <cell r="G60">
            <v>0.56000000000000005</v>
          </cell>
        </row>
        <row r="61">
          <cell r="A61" t="str">
            <v>CP10</v>
          </cell>
          <cell r="B61" t="str">
            <v>Canal C de 6"x3"x4.5 mm atiesado</v>
          </cell>
          <cell r="E61">
            <v>11.52</v>
          </cell>
          <cell r="F61">
            <v>48.033499999999997</v>
          </cell>
          <cell r="G61">
            <v>0.60880000000000001</v>
          </cell>
        </row>
        <row r="62">
          <cell r="A62" t="str">
            <v>CP11</v>
          </cell>
          <cell r="B62" t="str">
            <v>Canal C de 7"x2"x4,5  mm atiesado</v>
          </cell>
          <cell r="E62">
            <v>10.39</v>
          </cell>
          <cell r="F62">
            <v>44.157499999999999</v>
          </cell>
          <cell r="G62">
            <v>0.76200000000000012</v>
          </cell>
        </row>
        <row r="63">
          <cell r="A63" t="str">
            <v>CP12</v>
          </cell>
          <cell r="B63" t="str">
            <v>Canal C de 7"x3"x2,5  mm atiesado</v>
          </cell>
          <cell r="E63">
            <v>7.03</v>
          </cell>
          <cell r="G63">
            <v>0.76200000000000001</v>
          </cell>
        </row>
        <row r="64">
          <cell r="A64" t="str">
            <v>CP13</v>
          </cell>
          <cell r="B64" t="str">
            <v>Canal C de 8"x2"x2,3 mm atiesado</v>
          </cell>
          <cell r="E64">
            <v>5.8</v>
          </cell>
          <cell r="G64">
            <v>0.67309999999999992</v>
          </cell>
        </row>
        <row r="65">
          <cell r="A65" t="str">
            <v>CP14</v>
          </cell>
          <cell r="B65" t="str">
            <v>Canal C de 8"x2"x4,5 mm atiesado</v>
          </cell>
          <cell r="E65">
            <v>11.29</v>
          </cell>
          <cell r="F65">
            <v>48.033499999999997</v>
          </cell>
          <cell r="G65">
            <v>0.7</v>
          </cell>
        </row>
        <row r="66">
          <cell r="A66" t="str">
            <v>CP15</v>
          </cell>
          <cell r="B66" t="str">
            <v>Canal C de 8" x 3" x 2 mm atiesado</v>
          </cell>
          <cell r="E66">
            <v>5.98</v>
          </cell>
          <cell r="G66">
            <v>0.71119999999999994</v>
          </cell>
        </row>
        <row r="67">
          <cell r="A67" t="str">
            <v>CP16</v>
          </cell>
          <cell r="B67" t="str">
            <v>Canal C de 8" x 3" x 2,3 mm atiesado</v>
          </cell>
          <cell r="E67">
            <v>6.84</v>
          </cell>
          <cell r="G67">
            <v>0.67200000000000004</v>
          </cell>
        </row>
        <row r="68">
          <cell r="A68" t="str">
            <v>CP17</v>
          </cell>
          <cell r="B68" t="str">
            <v>Canal C de 8" x 3" x 2,5 mm atiesado</v>
          </cell>
          <cell r="E68">
            <v>7.53</v>
          </cell>
          <cell r="G68">
            <v>0.67200000000000004</v>
          </cell>
        </row>
        <row r="69">
          <cell r="A69" t="str">
            <v>CP18</v>
          </cell>
          <cell r="B69" t="str">
            <v>Canal C de 10"x2"x2,3 mm atiesado</v>
          </cell>
          <cell r="E69">
            <v>6.72</v>
          </cell>
          <cell r="G69">
            <v>0.77469999999999994</v>
          </cell>
        </row>
        <row r="70">
          <cell r="A70" t="str">
            <v>CP19</v>
          </cell>
          <cell r="B70" t="str">
            <v>Canal C de 10"x2"x3 mm atiesado</v>
          </cell>
          <cell r="E70">
            <v>8.81</v>
          </cell>
          <cell r="F70">
            <v>37.289499999999997</v>
          </cell>
          <cell r="G70">
            <v>0.79</v>
          </cell>
        </row>
        <row r="71">
          <cell r="A71" t="str">
            <v>CP20</v>
          </cell>
          <cell r="B71" t="str">
            <v>Canal C de 10"x2"x4,5mm atiesado</v>
          </cell>
          <cell r="E71">
            <v>13.08</v>
          </cell>
          <cell r="F71">
            <v>55.6325</v>
          </cell>
          <cell r="G71">
            <v>0.81279999999999997</v>
          </cell>
        </row>
        <row r="72">
          <cell r="A72" t="str">
            <v>CP21</v>
          </cell>
          <cell r="B72" t="str">
            <v>Canal C de 10"x3"x2 mm atiesado</v>
          </cell>
          <cell r="E72">
            <v>6.77</v>
          </cell>
          <cell r="G72">
            <v>0.81279999999999997</v>
          </cell>
        </row>
        <row r="73">
          <cell r="A73" t="str">
            <v>CP22</v>
          </cell>
          <cell r="B73" t="str">
            <v>Canal C de 10"x3"x3mm atiesado</v>
          </cell>
          <cell r="E73">
            <v>10.3</v>
          </cell>
          <cell r="F73">
            <v>42.508499999999998</v>
          </cell>
          <cell r="G73">
            <v>0.91</v>
          </cell>
        </row>
        <row r="74">
          <cell r="A74" t="str">
            <v>CP23</v>
          </cell>
          <cell r="B74" t="str">
            <v>Canal C de 10"x3"x4.5mm atiesado</v>
          </cell>
          <cell r="E74">
            <v>15.11</v>
          </cell>
          <cell r="F74">
            <v>63.460999999999999</v>
          </cell>
          <cell r="G74">
            <v>0.91439999999999999</v>
          </cell>
        </row>
        <row r="75">
          <cell r="A75" t="str">
            <v>CP24</v>
          </cell>
          <cell r="B75" t="str">
            <v>Canal C de 12"x3"x4.5mm atiesado</v>
          </cell>
          <cell r="E75">
            <v>16.899999999999999</v>
          </cell>
          <cell r="F75">
            <v>71.212999999999994</v>
          </cell>
          <cell r="G75">
            <v>1.016</v>
          </cell>
        </row>
        <row r="76">
          <cell r="A76" t="str">
            <v>CP25</v>
          </cell>
          <cell r="B76" t="str">
            <v>Canal C de 3"x 2"x 2mm atiesado</v>
          </cell>
          <cell r="E76">
            <v>3.08</v>
          </cell>
          <cell r="F76">
            <v>12.971</v>
          </cell>
          <cell r="G76">
            <v>0.42</v>
          </cell>
        </row>
        <row r="77">
          <cell r="A77" t="str">
            <v>UP001</v>
          </cell>
          <cell r="B77" t="str">
            <v>Canal U de 2" x 1" x 2,3 mm</v>
          </cell>
          <cell r="E77">
            <v>1.7</v>
          </cell>
          <cell r="F77">
            <v>6.8849999999999998</v>
          </cell>
          <cell r="G77">
            <v>0.2</v>
          </cell>
        </row>
        <row r="78">
          <cell r="A78" t="str">
            <v>UP002</v>
          </cell>
          <cell r="B78" t="str">
            <v>Canal U de 2" x 1" x 3 mm</v>
          </cell>
          <cell r="E78">
            <v>2.16</v>
          </cell>
          <cell r="F78">
            <v>8.8824999999999985</v>
          </cell>
          <cell r="G78">
            <v>0.2</v>
          </cell>
        </row>
        <row r="79">
          <cell r="A79" t="str">
            <v>UP003</v>
          </cell>
          <cell r="B79" t="str">
            <v>Canal U de 3" x 1 1/2" x 4,5 mm</v>
          </cell>
          <cell r="E79">
            <v>4.8600000000000003</v>
          </cell>
          <cell r="F79">
            <v>19.907</v>
          </cell>
          <cell r="G79">
            <v>0.31</v>
          </cell>
        </row>
        <row r="80">
          <cell r="A80" t="str">
            <v>UP004</v>
          </cell>
          <cell r="B80" t="str">
            <v>Canal U de 4" x 2" x 3 mm</v>
          </cell>
          <cell r="E80">
            <v>4.55</v>
          </cell>
          <cell r="F80">
            <v>18.538499999999999</v>
          </cell>
          <cell r="G80">
            <v>0.41</v>
          </cell>
        </row>
        <row r="81">
          <cell r="A81" t="str">
            <v>UP005</v>
          </cell>
          <cell r="B81" t="str">
            <v>Canal U de 4" x 2" x 4,5 mm</v>
          </cell>
          <cell r="E81">
            <v>6.66</v>
          </cell>
          <cell r="F81">
            <v>27.523</v>
          </cell>
          <cell r="G81">
            <v>0.41</v>
          </cell>
        </row>
        <row r="82">
          <cell r="A82" t="str">
            <v>UP006</v>
          </cell>
          <cell r="B82" t="str">
            <v>Canal U de 6" x 2" x 3 mm</v>
          </cell>
          <cell r="E82">
            <v>5.75</v>
          </cell>
          <cell r="F82">
            <v>23.808500000000002</v>
          </cell>
          <cell r="G82">
            <v>0.51</v>
          </cell>
        </row>
        <row r="83">
          <cell r="A83" t="str">
            <v>UP007</v>
          </cell>
          <cell r="B83" t="str">
            <v>Canal U de 8" x 2" x 3 mm</v>
          </cell>
          <cell r="E83">
            <v>6.95</v>
          </cell>
          <cell r="F83">
            <v>28.789499999999997</v>
          </cell>
          <cell r="G83">
            <v>0.61</v>
          </cell>
        </row>
        <row r="84">
          <cell r="A84" t="str">
            <v>UP008</v>
          </cell>
          <cell r="B84" t="str">
            <v>Canal U de 8" x 2" x 4.5 mm</v>
          </cell>
          <cell r="E84">
            <v>10.24</v>
          </cell>
          <cell r="F84">
            <v>43.035499999999999</v>
          </cell>
          <cell r="G84">
            <v>0.61</v>
          </cell>
        </row>
        <row r="85">
          <cell r="A85" t="str">
            <v>UP009</v>
          </cell>
          <cell r="B85" t="str">
            <v>Canal U de 10" x 2" x 4,5 mm</v>
          </cell>
          <cell r="E85">
            <v>12.04</v>
          </cell>
          <cell r="F85">
            <v>50.498499999999993</v>
          </cell>
          <cell r="G85">
            <v>0.71</v>
          </cell>
        </row>
        <row r="86">
          <cell r="A86" t="str">
            <v>UP010</v>
          </cell>
          <cell r="B86" t="str">
            <v>Canal U de 12" x 2" x 4,5 mm</v>
          </cell>
          <cell r="E86">
            <v>13.83</v>
          </cell>
          <cell r="F86">
            <v>57.893499999999996</v>
          </cell>
          <cell r="G86">
            <v>0.81</v>
          </cell>
        </row>
        <row r="87">
          <cell r="A87" t="str">
            <v>UP011</v>
          </cell>
          <cell r="B87" t="str">
            <v>Canal U de 12" x 3" x 4,5 mm</v>
          </cell>
          <cell r="E87">
            <v>15.63</v>
          </cell>
          <cell r="F87">
            <v>65.356499999999997</v>
          </cell>
          <cell r="G87">
            <v>0.81</v>
          </cell>
        </row>
        <row r="88">
          <cell r="A88" t="str">
            <v>UP012</v>
          </cell>
          <cell r="B88" t="str">
            <v>Canal U de 6" x 2" x 2,0 mm</v>
          </cell>
          <cell r="E88">
            <v>3.88</v>
          </cell>
          <cell r="G88">
            <v>0.50800000000000001</v>
          </cell>
        </row>
        <row r="89">
          <cell r="A89" t="str">
            <v>UP013</v>
          </cell>
          <cell r="B89" t="str">
            <v>Canal U de 8" x 2" x 2,0 mm</v>
          </cell>
          <cell r="E89">
            <v>4.68</v>
          </cell>
          <cell r="G89">
            <v>0.60959999999999992</v>
          </cell>
        </row>
        <row r="91">
          <cell r="B91" t="str">
            <v>REDONDO CALIBRADO SAE 1020</v>
          </cell>
        </row>
        <row r="92">
          <cell r="A92" t="str">
            <v>E001</v>
          </cell>
          <cell r="B92" t="str">
            <v>Eje de 1/4"         SAE 1020</v>
          </cell>
          <cell r="C92">
            <v>1.47</v>
          </cell>
          <cell r="D92">
            <v>1.8305084745762714</v>
          </cell>
          <cell r="E92">
            <v>0.245</v>
          </cell>
          <cell r="F92">
            <v>1.8305084745762714</v>
          </cell>
          <cell r="G92">
            <v>1.9949160000000001E-2</v>
          </cell>
        </row>
        <row r="93">
          <cell r="A93" t="str">
            <v>E002</v>
          </cell>
          <cell r="B93" t="str">
            <v>Eje de 5/16"       SAE 1020</v>
          </cell>
          <cell r="C93">
            <v>2.3199999999999998</v>
          </cell>
          <cell r="D93">
            <v>2.2796610169491527</v>
          </cell>
          <cell r="E93">
            <v>0.38666666666666666</v>
          </cell>
          <cell r="F93">
            <v>2.2796610169491527</v>
          </cell>
          <cell r="G93">
            <v>2.4936449999999999E-2</v>
          </cell>
        </row>
        <row r="94">
          <cell r="A94" t="str">
            <v>E003</v>
          </cell>
          <cell r="B94" t="str">
            <v>Eje de 3/8"         SAE 1020</v>
          </cell>
          <cell r="C94">
            <v>3.2949999999999999</v>
          </cell>
          <cell r="D94">
            <v>2.8559322033898309</v>
          </cell>
          <cell r="E94">
            <v>0.54916666666666669</v>
          </cell>
          <cell r="F94">
            <v>2.8559322033898309</v>
          </cell>
          <cell r="G94">
            <v>2.9923739999999997E-2</v>
          </cell>
        </row>
        <row r="95">
          <cell r="A95" t="str">
            <v>E004</v>
          </cell>
          <cell r="B95" t="str">
            <v>Eje de 1/2"         SAE 1020</v>
          </cell>
          <cell r="C95">
            <v>5.9</v>
          </cell>
          <cell r="D95">
            <v>5.7457627118644075</v>
          </cell>
          <cell r="E95">
            <v>0.98333333333333339</v>
          </cell>
          <cell r="F95">
            <v>5.7457627118644075</v>
          </cell>
          <cell r="G95">
            <v>3.9898320000000001E-2</v>
          </cell>
        </row>
        <row r="96">
          <cell r="A96" t="str">
            <v>E005</v>
          </cell>
          <cell r="B96" t="str">
            <v>Eje de 5/8"         SAE 1020</v>
          </cell>
          <cell r="C96">
            <v>9.6809999999999992</v>
          </cell>
          <cell r="D96">
            <v>8.2203389830508478</v>
          </cell>
          <cell r="E96">
            <v>1.6134999999999999</v>
          </cell>
          <cell r="F96">
            <v>8.2203389830508478</v>
          </cell>
          <cell r="G96">
            <v>4.9872899999999998E-2</v>
          </cell>
        </row>
        <row r="97">
          <cell r="A97" t="str">
            <v>E006</v>
          </cell>
          <cell r="B97" t="str">
            <v>Eje de 3/4"         SAE 1020</v>
          </cell>
          <cell r="C97">
            <v>13.51</v>
          </cell>
          <cell r="D97">
            <v>11.491525423728815</v>
          </cell>
          <cell r="E97">
            <v>2.2516666666666665</v>
          </cell>
          <cell r="F97">
            <v>11.491525423728815</v>
          </cell>
          <cell r="G97">
            <v>5.9847479999999995E-2</v>
          </cell>
        </row>
        <row r="98">
          <cell r="A98" t="str">
            <v>E007</v>
          </cell>
          <cell r="B98" t="str">
            <v>Eje de 1"             SAE 1020</v>
          </cell>
          <cell r="C98">
            <v>23.81</v>
          </cell>
          <cell r="D98">
            <v>23.940677966101696</v>
          </cell>
          <cell r="E98">
            <v>3.9683333333333333</v>
          </cell>
          <cell r="F98">
            <v>23.940677966101696</v>
          </cell>
          <cell r="G98">
            <v>7.9796640000000002E-2</v>
          </cell>
        </row>
        <row r="99">
          <cell r="A99" t="str">
            <v>E008</v>
          </cell>
          <cell r="B99" t="str">
            <v>Eje de 1 1/8"      SAE 1020</v>
          </cell>
          <cell r="C99">
            <v>30.440999999999999</v>
          </cell>
          <cell r="D99">
            <v>25.194915254237291</v>
          </cell>
          <cell r="E99">
            <v>5.0735000000000001</v>
          </cell>
          <cell r="F99">
            <v>25.194915254237291</v>
          </cell>
          <cell r="G99">
            <v>8.9771219999999999E-2</v>
          </cell>
        </row>
        <row r="100">
          <cell r="A100" t="str">
            <v>E009</v>
          </cell>
          <cell r="B100" t="str">
            <v>Eje de 2"             SAE 1020</v>
          </cell>
          <cell r="C100">
            <v>92</v>
          </cell>
          <cell r="D100">
            <v>88.559322033898312</v>
          </cell>
          <cell r="E100">
            <v>15.333333333333334</v>
          </cell>
          <cell r="F100">
            <v>88.559322033898312</v>
          </cell>
          <cell r="G100">
            <v>0.15959328</v>
          </cell>
        </row>
        <row r="101">
          <cell r="B101" t="str">
            <v>REDONDO CALIBRADO SAE 1045</v>
          </cell>
        </row>
        <row r="102">
          <cell r="A102" t="str">
            <v>E010</v>
          </cell>
          <cell r="B102" t="str">
            <v>Eje de 3/8"         SAE 1045</v>
          </cell>
          <cell r="C102">
            <v>3.3780000000000001</v>
          </cell>
          <cell r="D102">
            <v>4.3898305084745761</v>
          </cell>
          <cell r="E102">
            <v>0.56300000000000006</v>
          </cell>
          <cell r="F102">
            <v>4.3898305084745761</v>
          </cell>
          <cell r="G102">
            <v>2.9923739999999997E-2</v>
          </cell>
        </row>
        <row r="103">
          <cell r="A103" t="str">
            <v>E011</v>
          </cell>
          <cell r="B103" t="str">
            <v>Eje de 1/2"         SAE 1045</v>
          </cell>
          <cell r="C103">
            <v>5.9880000000000004</v>
          </cell>
          <cell r="D103">
            <v>7.7966101694915251</v>
          </cell>
          <cell r="E103">
            <v>0.99800000000000011</v>
          </cell>
          <cell r="F103">
            <v>7.7966101694915251</v>
          </cell>
          <cell r="G103">
            <v>3.9898320000000001E-2</v>
          </cell>
        </row>
        <row r="104">
          <cell r="A104" t="str">
            <v>E012</v>
          </cell>
          <cell r="B104" t="str">
            <v>Eje de 5/8"         SAE 1045</v>
          </cell>
          <cell r="C104">
            <v>9.5239999999999991</v>
          </cell>
          <cell r="D104">
            <v>12.381355932203389</v>
          </cell>
          <cell r="E104">
            <v>1.5873333333333333</v>
          </cell>
          <cell r="F104">
            <v>12.381355932203389</v>
          </cell>
          <cell r="G104">
            <v>4.9872899999999998E-2</v>
          </cell>
        </row>
        <row r="105">
          <cell r="A105" t="str">
            <v>E013</v>
          </cell>
          <cell r="B105" t="str">
            <v>Eje de 3/4"         SAE 1045</v>
          </cell>
          <cell r="C105">
            <v>13.333</v>
          </cell>
          <cell r="D105">
            <v>17.322033898305087</v>
          </cell>
          <cell r="E105">
            <v>2.2221666666666668</v>
          </cell>
          <cell r="F105">
            <v>17.322033898305087</v>
          </cell>
          <cell r="G105">
            <v>5.9847479999999995E-2</v>
          </cell>
        </row>
        <row r="106">
          <cell r="A106" t="str">
            <v>E014</v>
          </cell>
          <cell r="B106" t="str">
            <v>Eje de 1"             SAE 1045</v>
          </cell>
          <cell r="C106">
            <v>29.411999999999999</v>
          </cell>
          <cell r="D106">
            <v>38.203389830508478</v>
          </cell>
          <cell r="E106">
            <v>4.9020000000000001</v>
          </cell>
          <cell r="F106">
            <v>38.203389830508478</v>
          </cell>
          <cell r="G106">
            <v>7.9796640000000002E-2</v>
          </cell>
        </row>
        <row r="107">
          <cell r="A107" t="str">
            <v>E015</v>
          </cell>
          <cell r="B107" t="str">
            <v>Eje de 1 1/8"      SAE 1045</v>
          </cell>
          <cell r="C107">
            <v>33.113</v>
          </cell>
          <cell r="D107">
            <v>39.372881355932208</v>
          </cell>
          <cell r="E107">
            <v>5.5188333333333333</v>
          </cell>
          <cell r="F107">
            <v>39.372881355932208</v>
          </cell>
          <cell r="G107">
            <v>8.9771219999999999E-2</v>
          </cell>
        </row>
        <row r="108">
          <cell r="A108" t="str">
            <v>E016</v>
          </cell>
          <cell r="B108" t="str">
            <v>Eje de 2"             SAE 1045</v>
          </cell>
          <cell r="C108">
            <v>100</v>
          </cell>
          <cell r="D108">
            <v>130.38135593220341</v>
          </cell>
          <cell r="E108">
            <v>16.666666666666668</v>
          </cell>
          <cell r="F108">
            <v>130.38135593220341</v>
          </cell>
          <cell r="G108">
            <v>0.15959328</v>
          </cell>
        </row>
        <row r="109">
          <cell r="B109" t="str">
            <v>EJES ESPECIALES</v>
          </cell>
        </row>
        <row r="110">
          <cell r="A110" t="str">
            <v>E017</v>
          </cell>
          <cell r="B110" t="str">
            <v>Eje VCL-140 2 1/2" barra 6m</v>
          </cell>
          <cell r="C110">
            <v>150</v>
          </cell>
          <cell r="D110">
            <v>486</v>
          </cell>
          <cell r="E110">
            <v>25</v>
          </cell>
          <cell r="F110">
            <v>486</v>
          </cell>
          <cell r="G110">
            <v>0.2</v>
          </cell>
        </row>
        <row r="111">
          <cell r="A111" t="str">
            <v>E018</v>
          </cell>
          <cell r="B111" t="str">
            <v>Eje VCL-140 70 mm barra 6m</v>
          </cell>
          <cell r="C111">
            <v>181.8</v>
          </cell>
          <cell r="D111">
            <v>589.03200000000004</v>
          </cell>
          <cell r="E111">
            <v>30.3</v>
          </cell>
          <cell r="F111">
            <v>589.03200000000004</v>
          </cell>
          <cell r="G111">
            <v>0.22</v>
          </cell>
        </row>
        <row r="112">
          <cell r="A112" t="str">
            <v>E019</v>
          </cell>
          <cell r="B112" t="str">
            <v>Eje VCL-140 3 1/2" mm barra 6m</v>
          </cell>
          <cell r="C112">
            <v>294</v>
          </cell>
          <cell r="D112">
            <v>1228.92</v>
          </cell>
          <cell r="E112">
            <v>49</v>
          </cell>
          <cell r="F112">
            <v>1228.92</v>
          </cell>
          <cell r="G112">
            <v>0.28000000000000003</v>
          </cell>
        </row>
        <row r="113">
          <cell r="A113" t="str">
            <v>E020</v>
          </cell>
          <cell r="B113" t="str">
            <v>Eje 4140 1" mm barra 6m</v>
          </cell>
          <cell r="C113">
            <v>29.411999999999999</v>
          </cell>
          <cell r="D113">
            <v>79.412400000000005</v>
          </cell>
          <cell r="E113">
            <v>4.9020000000000001</v>
          </cell>
          <cell r="F113">
            <v>79.412400000000005</v>
          </cell>
          <cell r="G113">
            <v>7.9796640000000002E-2</v>
          </cell>
        </row>
        <row r="114">
          <cell r="A114" t="str">
            <v>E021</v>
          </cell>
          <cell r="B114" t="str">
            <v>Eje 4140 1/2" mm barra 6m</v>
          </cell>
          <cell r="C114">
            <v>5.9880000000000004</v>
          </cell>
          <cell r="D114">
            <v>16.167600000000004</v>
          </cell>
          <cell r="E114">
            <v>0.99800000000000011</v>
          </cell>
          <cell r="F114">
            <v>16.167600000000004</v>
          </cell>
          <cell r="G114">
            <v>3.9898320000000001E-2</v>
          </cell>
        </row>
        <row r="115">
          <cell r="A115" t="str">
            <v>E022</v>
          </cell>
          <cell r="B115" t="str">
            <v>Eje 4140 3/4" mm barra 6m</v>
          </cell>
          <cell r="C115">
            <v>13.333</v>
          </cell>
          <cell r="D115">
            <v>35.999100000000006</v>
          </cell>
          <cell r="E115">
            <v>2.2221666666666668</v>
          </cell>
          <cell r="F115">
            <v>35.999100000000006</v>
          </cell>
          <cell r="G115">
            <v>5.9847479999999995E-2</v>
          </cell>
        </row>
        <row r="116">
          <cell r="B116" t="str">
            <v>FIERRO CORRUGADO</v>
          </cell>
        </row>
        <row r="117">
          <cell r="A117" t="str">
            <v>FC001</v>
          </cell>
          <cell r="B117" t="str">
            <v>Fe Corrugado 1/2"</v>
          </cell>
          <cell r="C117">
            <v>5.7466666666666661</v>
          </cell>
          <cell r="D117">
            <v>1.8870056497175143</v>
          </cell>
          <cell r="E117">
            <v>0.95777777777777773</v>
          </cell>
          <cell r="F117">
            <v>1.8870056497175143</v>
          </cell>
          <cell r="G117">
            <v>3.9898320000000001E-2</v>
          </cell>
        </row>
        <row r="118">
          <cell r="A118" t="str">
            <v>FC002</v>
          </cell>
          <cell r="B118" t="str">
            <v>Fe Corrugado 5/8"</v>
          </cell>
          <cell r="C118">
            <v>9.0093333333333341</v>
          </cell>
          <cell r="D118">
            <v>2.9209039548022599</v>
          </cell>
          <cell r="E118">
            <v>1.5015555555555558</v>
          </cell>
          <cell r="F118">
            <v>2.9209039548022599</v>
          </cell>
          <cell r="G118">
            <v>4.9872899999999998E-2</v>
          </cell>
        </row>
        <row r="119">
          <cell r="A119" t="str">
            <v>FC003</v>
          </cell>
          <cell r="B119" t="str">
            <v>Fe Corrugado 3/4"</v>
          </cell>
          <cell r="C119">
            <v>13.071999999999999</v>
          </cell>
          <cell r="D119">
            <v>4.2937853107344628</v>
          </cell>
          <cell r="E119">
            <v>2.1786666666666665</v>
          </cell>
          <cell r="F119">
            <v>4.2937853107344628</v>
          </cell>
          <cell r="G119">
            <v>5.9847479999999995E-2</v>
          </cell>
        </row>
        <row r="120">
          <cell r="B120" t="str">
            <v>BARRAS CUADRADAS</v>
          </cell>
        </row>
        <row r="121">
          <cell r="A121" t="str">
            <v>BC001</v>
          </cell>
          <cell r="B121" t="str">
            <v>Cuadrado 1/4"</v>
          </cell>
          <cell r="C121">
            <v>1.923</v>
          </cell>
          <cell r="D121">
            <v>0.91525423728813571</v>
          </cell>
          <cell r="E121">
            <v>0.32050000000000001</v>
          </cell>
          <cell r="F121">
            <v>0.91525423728813571</v>
          </cell>
          <cell r="G121">
            <v>2.5399999999999999E-2</v>
          </cell>
        </row>
        <row r="122">
          <cell r="A122" t="str">
            <v>BC002</v>
          </cell>
          <cell r="B122" t="str">
            <v>Cuadrado 3/8"</v>
          </cell>
          <cell r="C122">
            <v>3.8460000000000001</v>
          </cell>
          <cell r="D122">
            <v>1.8389830508474576</v>
          </cell>
          <cell r="E122">
            <v>0.64100000000000001</v>
          </cell>
          <cell r="F122">
            <v>1.8389830508474576</v>
          </cell>
          <cell r="G122">
            <v>3.8099999999999995E-2</v>
          </cell>
        </row>
        <row r="123">
          <cell r="A123" t="str">
            <v>BC003</v>
          </cell>
          <cell r="B123" t="str">
            <v>Cuadrado 1/2"</v>
          </cell>
          <cell r="C123">
            <v>6.6669999999999998</v>
          </cell>
          <cell r="D123">
            <v>3.1864406779661016</v>
          </cell>
          <cell r="E123">
            <v>1.1111666666666666</v>
          </cell>
          <cell r="F123">
            <v>3.1864406779661016</v>
          </cell>
          <cell r="G123">
            <v>5.0799999999999998E-2</v>
          </cell>
        </row>
        <row r="124">
          <cell r="A124" t="str">
            <v>BC004</v>
          </cell>
          <cell r="B124" t="str">
            <v>Cuadrado 5/8"</v>
          </cell>
          <cell r="C124">
            <v>10.526</v>
          </cell>
          <cell r="D124">
            <v>5.4406779661016955</v>
          </cell>
          <cell r="E124">
            <v>1.7543333333333333</v>
          </cell>
          <cell r="F124">
            <v>5.4406779661016955</v>
          </cell>
          <cell r="G124">
            <v>6.3500000000000001E-2</v>
          </cell>
        </row>
        <row r="125">
          <cell r="A125" t="str">
            <v>BC005</v>
          </cell>
          <cell r="B125" t="str">
            <v>Cuadrado 3/4"</v>
          </cell>
          <cell r="C125">
            <v>16.667000000000002</v>
          </cell>
          <cell r="D125">
            <v>9.2881355932203409</v>
          </cell>
          <cell r="E125">
            <v>2.7778333333333336</v>
          </cell>
          <cell r="F125">
            <v>9.2881355932203409</v>
          </cell>
          <cell r="G125">
            <v>7.619999999999999E-2</v>
          </cell>
        </row>
        <row r="126">
          <cell r="A126" t="str">
            <v>BC006</v>
          </cell>
          <cell r="B126" t="str">
            <v>Cuadrado 7/8"</v>
          </cell>
          <cell r="C126">
            <v>23.81</v>
          </cell>
          <cell r="D126">
            <v>13.271186440677967</v>
          </cell>
          <cell r="E126">
            <v>3.9683333333333333</v>
          </cell>
          <cell r="F126">
            <v>13.271186440677967</v>
          </cell>
          <cell r="G126">
            <v>8.8899999999999993E-2</v>
          </cell>
        </row>
        <row r="127">
          <cell r="A127" t="str">
            <v>BC007</v>
          </cell>
          <cell r="B127" t="str">
            <v>Cuadrado 1"</v>
          </cell>
          <cell r="C127">
            <v>29.411999999999999</v>
          </cell>
          <cell r="D127">
            <v>16.389830508474578</v>
          </cell>
          <cell r="E127">
            <v>4.9020000000000001</v>
          </cell>
          <cell r="F127">
            <v>16.389830508474578</v>
          </cell>
          <cell r="G127">
            <v>0.1016</v>
          </cell>
        </row>
        <row r="128">
          <cell r="B128" t="str">
            <v>FIERRO REDONDO LISO</v>
          </cell>
        </row>
        <row r="129">
          <cell r="A129" t="str">
            <v>F001</v>
          </cell>
          <cell r="B129" t="str">
            <v>Fe liso 3/8"</v>
          </cell>
          <cell r="C129">
            <v>3.4249999999999998</v>
          </cell>
          <cell r="D129">
            <v>1.5169491525423731</v>
          </cell>
          <cell r="E129">
            <v>0.5708333333333333</v>
          </cell>
          <cell r="F129">
            <v>1.5169491525423731</v>
          </cell>
          <cell r="G129">
            <v>2.9923739999999997E-2</v>
          </cell>
        </row>
        <row r="130">
          <cell r="A130" t="str">
            <v>F002</v>
          </cell>
          <cell r="B130" t="str">
            <v>Fe liso 7/16"</v>
          </cell>
          <cell r="C130">
            <v>4.55</v>
          </cell>
          <cell r="D130">
            <v>2.6016949152542375</v>
          </cell>
          <cell r="E130">
            <v>0.7583333333333333</v>
          </cell>
          <cell r="F130">
            <v>2.6016949152542375</v>
          </cell>
          <cell r="G130">
            <v>3.4911029999999996E-2</v>
          </cell>
        </row>
        <row r="131">
          <cell r="A131" t="str">
            <v>F003</v>
          </cell>
          <cell r="B131" t="str">
            <v>Fe liso  1/2"</v>
          </cell>
          <cell r="C131">
            <v>5.8819999999999997</v>
          </cell>
          <cell r="D131">
            <v>2.6016949152542375</v>
          </cell>
          <cell r="E131">
            <v>0.98033333333333328</v>
          </cell>
          <cell r="F131">
            <v>2.6016949152542375</v>
          </cell>
          <cell r="G131">
            <v>3.9898320000000001E-2</v>
          </cell>
        </row>
        <row r="132">
          <cell r="A132" t="str">
            <v>F004</v>
          </cell>
          <cell r="B132" t="str">
            <v>Fe liso  5/8"</v>
          </cell>
          <cell r="C132">
            <v>9.5239999999999991</v>
          </cell>
          <cell r="D132">
            <v>4.6440677966101704</v>
          </cell>
          <cell r="E132">
            <v>1.5873333333333333</v>
          </cell>
          <cell r="F132">
            <v>4.6440677966101704</v>
          </cell>
          <cell r="G132">
            <v>4.9872899999999998E-2</v>
          </cell>
        </row>
        <row r="133">
          <cell r="A133" t="str">
            <v>F005</v>
          </cell>
          <cell r="B133" t="str">
            <v>Fe liso 3/4"</v>
          </cell>
          <cell r="C133">
            <v>13.333</v>
          </cell>
          <cell r="D133">
            <v>7</v>
          </cell>
          <cell r="E133">
            <v>2.2221666666666668</v>
          </cell>
          <cell r="F133">
            <v>7</v>
          </cell>
          <cell r="G133">
            <v>5.9847479999999995E-2</v>
          </cell>
        </row>
        <row r="134">
          <cell r="A134" t="str">
            <v>F006</v>
          </cell>
          <cell r="B134" t="str">
            <v>Fe liso 7/8"</v>
          </cell>
          <cell r="C134">
            <v>18.518999999999998</v>
          </cell>
          <cell r="D134">
            <v>11.364406779661017</v>
          </cell>
          <cell r="E134">
            <v>3.0864999999999996</v>
          </cell>
          <cell r="F134">
            <v>11.364406779661017</v>
          </cell>
          <cell r="G134">
            <v>6.9822059999999991E-2</v>
          </cell>
        </row>
        <row r="135">
          <cell r="A135" t="str">
            <v>F007</v>
          </cell>
          <cell r="B135" t="str">
            <v>Fe liso 1"</v>
          </cell>
          <cell r="C135">
            <v>23.59</v>
          </cell>
          <cell r="D135">
            <v>14.466101694915256</v>
          </cell>
          <cell r="E135">
            <v>3.9316666666666666</v>
          </cell>
          <cell r="F135">
            <v>14.466101694915256</v>
          </cell>
          <cell r="G135">
            <v>7.9796640000000002E-2</v>
          </cell>
        </row>
        <row r="136">
          <cell r="A136" t="str">
            <v>F008</v>
          </cell>
          <cell r="B136" t="str">
            <v>Fe liso 1 1/8"</v>
          </cell>
          <cell r="C136">
            <v>30.303000000000001</v>
          </cell>
          <cell r="D136">
            <v>19.898305084745765</v>
          </cell>
          <cell r="E136">
            <v>5.0505000000000004</v>
          </cell>
          <cell r="F136">
            <v>19.898305084745765</v>
          </cell>
          <cell r="G136">
            <v>8.9771219999999999E-2</v>
          </cell>
        </row>
        <row r="137">
          <cell r="A137" t="str">
            <v>F009</v>
          </cell>
          <cell r="B137" t="str">
            <v>Fe liso 1 1/4"</v>
          </cell>
          <cell r="C137">
            <v>37.036999999999999</v>
          </cell>
          <cell r="D137">
            <v>24.330508474576273</v>
          </cell>
          <cell r="E137">
            <v>6.1728333333333332</v>
          </cell>
          <cell r="F137">
            <v>24.330508474576273</v>
          </cell>
          <cell r="G137">
            <v>9.9745799999999996E-2</v>
          </cell>
        </row>
        <row r="138">
          <cell r="A138" t="str">
            <v>F010</v>
          </cell>
          <cell r="B138" t="str">
            <v>Fe liso 1 3/8"</v>
          </cell>
          <cell r="C138">
            <v>45.45</v>
          </cell>
          <cell r="D138">
            <v>29.85593220338983</v>
          </cell>
          <cell r="E138">
            <v>7.5750000000000002</v>
          </cell>
          <cell r="F138">
            <v>29.85593220338983</v>
          </cell>
          <cell r="G138">
            <v>0.10972037999999999</v>
          </cell>
        </row>
        <row r="139">
          <cell r="A139" t="str">
            <v>F011</v>
          </cell>
          <cell r="B139" t="str">
            <v>Fe liso 1 1/2"</v>
          </cell>
          <cell r="C139">
            <v>52.631999999999998</v>
          </cell>
          <cell r="D139">
            <v>34.559322033898304</v>
          </cell>
          <cell r="E139">
            <v>8.7720000000000002</v>
          </cell>
          <cell r="F139">
            <v>34.559322033898304</v>
          </cell>
          <cell r="G139">
            <v>0.11969495999999999</v>
          </cell>
        </row>
        <row r="140">
          <cell r="A140" t="str">
            <v>F012</v>
          </cell>
          <cell r="B140" t="str">
            <v>Fe liso 1 5/8"</v>
          </cell>
          <cell r="C140">
            <v>63.1</v>
          </cell>
          <cell r="D140">
            <v>41.440677966101696</v>
          </cell>
          <cell r="E140">
            <v>10.516666666666667</v>
          </cell>
          <cell r="F140">
            <v>41.440677966101696</v>
          </cell>
          <cell r="G140">
            <v>0.12966954</v>
          </cell>
        </row>
        <row r="141">
          <cell r="A141" t="str">
            <v>F013</v>
          </cell>
          <cell r="B141" t="str">
            <v>Fe liso 1 3/4"</v>
          </cell>
          <cell r="C141">
            <v>71.429000000000002</v>
          </cell>
          <cell r="D141">
            <v>46.906779661016955</v>
          </cell>
          <cell r="E141">
            <v>11.904833333333334</v>
          </cell>
          <cell r="F141">
            <v>46.906779661016955</v>
          </cell>
          <cell r="G141">
            <v>0.13964411999999998</v>
          </cell>
        </row>
        <row r="142">
          <cell r="A142" t="str">
            <v>F014</v>
          </cell>
          <cell r="B142" t="str">
            <v>Fe liso 2"</v>
          </cell>
          <cell r="C142">
            <v>100</v>
          </cell>
          <cell r="D142">
            <v>65.669491525423723</v>
          </cell>
          <cell r="E142">
            <v>16.666666666666668</v>
          </cell>
          <cell r="F142">
            <v>65.669491525423723</v>
          </cell>
          <cell r="G142">
            <v>0.15959328</v>
          </cell>
        </row>
        <row r="143">
          <cell r="A143" t="str">
            <v>F015</v>
          </cell>
          <cell r="B143" t="str">
            <v>Fe liso 2 1/4"</v>
          </cell>
          <cell r="C143">
            <v>125</v>
          </cell>
          <cell r="D143">
            <v>82.084745762711862</v>
          </cell>
          <cell r="E143">
            <v>20.833333333333332</v>
          </cell>
          <cell r="F143">
            <v>82.084745762711862</v>
          </cell>
          <cell r="G143">
            <v>0.17954244</v>
          </cell>
        </row>
        <row r="144">
          <cell r="A144" t="str">
            <v>F016</v>
          </cell>
          <cell r="B144" t="str">
            <v>Fe liso 2 1/2"</v>
          </cell>
          <cell r="C144">
            <v>142</v>
          </cell>
          <cell r="D144">
            <v>93.805084745762713</v>
          </cell>
          <cell r="E144">
            <v>23.666666666666668</v>
          </cell>
          <cell r="F144">
            <v>93.805084745762713</v>
          </cell>
          <cell r="G144">
            <v>0.19949159999999999</v>
          </cell>
        </row>
        <row r="145">
          <cell r="B145" t="str">
            <v>MALLAS METALICAS</v>
          </cell>
        </row>
        <row r="146">
          <cell r="A146" t="str">
            <v>MA01</v>
          </cell>
          <cell r="B146" t="str">
            <v>Malla Alambre #8 galv. cripada 1"x1"</v>
          </cell>
          <cell r="G146" t="str">
            <v>$/m2</v>
          </cell>
        </row>
        <row r="147">
          <cell r="A147" t="str">
            <v>MA02</v>
          </cell>
          <cell r="B147" t="str">
            <v>Malla Alambre #8 galv. cripada 2"x2"</v>
          </cell>
          <cell r="F147">
            <v>7.3</v>
          </cell>
          <cell r="G147" t="str">
            <v>$/m2</v>
          </cell>
        </row>
        <row r="148">
          <cell r="A148" t="str">
            <v>MA03</v>
          </cell>
          <cell r="B148" t="str">
            <v>Malla Alambre #10 galv. Cripada 2"x2"</v>
          </cell>
          <cell r="F148">
            <v>5.5</v>
          </cell>
          <cell r="G148" t="str">
            <v>$/m2</v>
          </cell>
        </row>
        <row r="149">
          <cell r="A149" t="str">
            <v>MA04</v>
          </cell>
          <cell r="B149" t="str">
            <v>Malla Alambre #10 galv. Cripada 3"x3"</v>
          </cell>
          <cell r="F149">
            <v>3.4</v>
          </cell>
          <cell r="G149" t="str">
            <v>$/m2</v>
          </cell>
        </row>
        <row r="150">
          <cell r="A150" t="str">
            <v>MA05</v>
          </cell>
          <cell r="B150" t="str">
            <v>Malla Alambre #12 galv. cripada 1"x1"</v>
          </cell>
          <cell r="F150">
            <v>3.5</v>
          </cell>
          <cell r="G150" t="str">
            <v>$/m2</v>
          </cell>
        </row>
        <row r="151">
          <cell r="A151" t="str">
            <v>MA06</v>
          </cell>
          <cell r="B151" t="str">
            <v>Malla Alambre #12 galv. Cripada 2"x2"</v>
          </cell>
          <cell r="F151">
            <v>3.7</v>
          </cell>
          <cell r="G151" t="str">
            <v>$/m2</v>
          </cell>
        </row>
        <row r="152">
          <cell r="A152" t="str">
            <v>MA07</v>
          </cell>
          <cell r="B152" t="str">
            <v>Malla Alambre #14 galv. cripada 1/2"x1/2"</v>
          </cell>
          <cell r="G152" t="str">
            <v>$/m2</v>
          </cell>
        </row>
        <row r="153">
          <cell r="A153" t="str">
            <v>MA08</v>
          </cell>
          <cell r="B153" t="str">
            <v>Malla Alambre #14 galv. cripada 2"x2"</v>
          </cell>
          <cell r="F153">
            <v>2.6</v>
          </cell>
          <cell r="G153" t="str">
            <v>$/m2</v>
          </cell>
        </row>
        <row r="154">
          <cell r="A154" t="str">
            <v>MA09</v>
          </cell>
          <cell r="B154" t="str">
            <v>Malla Alambre #13 galv. cripada 1 1/2"</v>
          </cell>
          <cell r="G154" t="str">
            <v>$/m2</v>
          </cell>
        </row>
        <row r="155">
          <cell r="A155" t="str">
            <v>MA10</v>
          </cell>
          <cell r="B155" t="str">
            <v>Malla tejida galv. 1 1/2" x 1 1/2" # 10</v>
          </cell>
          <cell r="F155">
            <v>6.31</v>
          </cell>
          <cell r="G155" t="str">
            <v>$/m2</v>
          </cell>
          <cell r="H155" t="str">
            <v>puede descontarse 25%</v>
          </cell>
        </row>
        <row r="156">
          <cell r="A156" t="str">
            <v>MA11</v>
          </cell>
          <cell r="B156" t="str">
            <v>Malla tejida galv. 1 1/2" x 1 1/2" # 12</v>
          </cell>
          <cell r="F156">
            <v>3.88</v>
          </cell>
          <cell r="G156" t="str">
            <v>$/m2</v>
          </cell>
          <cell r="H156" t="str">
            <v>puede descontarse 25%</v>
          </cell>
        </row>
        <row r="157">
          <cell r="A157" t="str">
            <v>MA12</v>
          </cell>
          <cell r="B157" t="str">
            <v>Malla plastificada #10 cocada 1 1/2"</v>
          </cell>
          <cell r="F157">
            <v>6</v>
          </cell>
          <cell r="G157" t="str">
            <v>$/m2</v>
          </cell>
        </row>
        <row r="158">
          <cell r="B158" t="str">
            <v>PLANCHAS ESTRIADAS</v>
          </cell>
        </row>
        <row r="159">
          <cell r="A159" t="str">
            <v>PLX01</v>
          </cell>
          <cell r="B159" t="str">
            <v>PL estriada   1/8" (3' x 8')</v>
          </cell>
          <cell r="C159">
            <v>53.04</v>
          </cell>
          <cell r="D159">
            <v>26.025423728813561</v>
          </cell>
          <cell r="E159">
            <v>24.021739130434781</v>
          </cell>
          <cell r="F159">
            <v>0.49067540966843065</v>
          </cell>
          <cell r="G159">
            <v>2</v>
          </cell>
        </row>
        <row r="160">
          <cell r="A160" t="str">
            <v>PLX02</v>
          </cell>
          <cell r="B160" t="str">
            <v>PL estriada   3/16" (4' x 8')</v>
          </cell>
          <cell r="C160">
            <v>105.5</v>
          </cell>
          <cell r="D160">
            <v>50.050847457627121</v>
          </cell>
          <cell r="E160">
            <v>36.031420765027327</v>
          </cell>
          <cell r="F160">
            <v>0.47441561571210539</v>
          </cell>
          <cell r="G160">
            <v>2</v>
          </cell>
        </row>
        <row r="161">
          <cell r="A161" t="str">
            <v>PLX03</v>
          </cell>
          <cell r="B161" t="str">
            <v>PL estriada   1/4" (4' x 8')</v>
          </cell>
          <cell r="C161">
            <v>140.66999999999999</v>
          </cell>
          <cell r="D161">
            <v>67.093220338983059</v>
          </cell>
          <cell r="E161">
            <v>48.043032786885249</v>
          </cell>
          <cell r="F161">
            <v>0.4769547191226492</v>
          </cell>
          <cell r="G161">
            <v>2</v>
          </cell>
        </row>
        <row r="162">
          <cell r="B162" t="str">
            <v>ELEMENTOS INOXIDABLES</v>
          </cell>
        </row>
        <row r="163">
          <cell r="A163" t="str">
            <v>PLIN01</v>
          </cell>
          <cell r="B163" t="str">
            <v>Plancha Inox Calidad 304 0,5x1220x2400</v>
          </cell>
        </row>
        <row r="164">
          <cell r="A164" t="str">
            <v>PLIN02</v>
          </cell>
          <cell r="B164" t="str">
            <v>Plancha Inox Calidad 304 1/16"</v>
          </cell>
        </row>
        <row r="165">
          <cell r="A165" t="str">
            <v>PLIN03</v>
          </cell>
          <cell r="B165" t="str">
            <v>Plancha Inox Calidad 304 1/64"x1220x2400</v>
          </cell>
        </row>
        <row r="166">
          <cell r="A166" t="str">
            <v>PLIN04</v>
          </cell>
          <cell r="B166" t="str">
            <v>Plancha Inox Calidad 316 1/16"x1220x2400</v>
          </cell>
          <cell r="C166">
            <v>37.1</v>
          </cell>
          <cell r="D166">
            <v>194.74</v>
          </cell>
          <cell r="E166">
            <v>12.881944444444445</v>
          </cell>
          <cell r="F166">
            <v>5.2490566037735853</v>
          </cell>
          <cell r="G166">
            <v>2</v>
          </cell>
        </row>
        <row r="167">
          <cell r="A167" t="str">
            <v>PLIN05</v>
          </cell>
          <cell r="B167" t="str">
            <v>Plancha Inox Calidad 316L 13 mm</v>
          </cell>
          <cell r="C167">
            <v>451.72</v>
          </cell>
          <cell r="D167">
            <v>1850</v>
          </cell>
          <cell r="E167">
            <v>99.061403508771932</v>
          </cell>
          <cell r="F167">
            <v>4.0954573629682098</v>
          </cell>
          <cell r="G167">
            <v>2</v>
          </cell>
        </row>
        <row r="168">
          <cell r="A168" t="str">
            <v>PLIN06</v>
          </cell>
          <cell r="B168" t="str">
            <v>L 3" x 3" x 1/4" Inox</v>
          </cell>
          <cell r="C168">
            <v>45.29</v>
          </cell>
          <cell r="D168">
            <v>221.32</v>
          </cell>
          <cell r="E168">
            <v>7.5483333333333329</v>
          </cell>
          <cell r="F168">
            <v>221.32</v>
          </cell>
          <cell r="G168">
            <v>0.30479999999999996</v>
          </cell>
        </row>
        <row r="169">
          <cell r="A169" t="str">
            <v>PLIN07</v>
          </cell>
          <cell r="B169" t="str">
            <v>Plancha Inox Calidad 304L 10 mm</v>
          </cell>
          <cell r="C169">
            <v>231.89760000000001</v>
          </cell>
          <cell r="D169">
            <v>638</v>
          </cell>
          <cell r="E169">
            <v>80.52000000000001</v>
          </cell>
          <cell r="F169">
            <v>2.7512143290831812</v>
          </cell>
          <cell r="G169">
            <v>2</v>
          </cell>
        </row>
        <row r="170">
          <cell r="A170" t="str">
            <v>PLIN08</v>
          </cell>
          <cell r="B170" t="str">
            <v>Platina 1/4" x 2" Inox 316L</v>
          </cell>
          <cell r="C170">
            <v>15.1</v>
          </cell>
          <cell r="D170">
            <v>91</v>
          </cell>
          <cell r="E170">
            <v>2.5166666666666666</v>
          </cell>
          <cell r="F170">
            <v>91</v>
          </cell>
        </row>
        <row r="171">
          <cell r="A171" t="str">
            <v>PLIN09</v>
          </cell>
          <cell r="B171" t="str">
            <v>Plancha Inox 5/16" 316L</v>
          </cell>
          <cell r="C171">
            <v>170.63</v>
          </cell>
          <cell r="D171">
            <v>540</v>
          </cell>
          <cell r="E171">
            <v>54.601599999999998</v>
          </cell>
          <cell r="F171">
            <v>3.1647424251303993</v>
          </cell>
          <cell r="G171">
            <v>2</v>
          </cell>
        </row>
        <row r="172">
          <cell r="A172" t="str">
            <v>PLIN10</v>
          </cell>
          <cell r="B172" t="str">
            <v>Plancha Inox 3/4" 316L</v>
          </cell>
          <cell r="C172">
            <v>737.1</v>
          </cell>
          <cell r="D172">
            <v>3045</v>
          </cell>
          <cell r="E172">
            <v>163.80000000000001</v>
          </cell>
          <cell r="F172">
            <v>4.1310541310541309</v>
          </cell>
          <cell r="G172">
            <v>2</v>
          </cell>
        </row>
        <row r="173">
          <cell r="A173" t="str">
            <v>PLIN11</v>
          </cell>
          <cell r="B173" t="str">
            <v>Fierro 16mm Inox 316L</v>
          </cell>
          <cell r="C173">
            <v>9.4379999999999988</v>
          </cell>
          <cell r="D173">
            <v>47.19</v>
          </cell>
          <cell r="E173">
            <v>1.573</v>
          </cell>
          <cell r="F173">
            <v>47.19</v>
          </cell>
        </row>
        <row r="174">
          <cell r="A174" t="str">
            <v>PLIN12</v>
          </cell>
          <cell r="B174" t="str">
            <v>Platina 3/8" x 4" Inox 304L</v>
          </cell>
          <cell r="C174">
            <v>45.29</v>
          </cell>
          <cell r="D174">
            <v>185</v>
          </cell>
          <cell r="E174">
            <v>7.5483333333333329</v>
          </cell>
          <cell r="F174">
            <v>185</v>
          </cell>
        </row>
        <row r="175">
          <cell r="A175" t="str">
            <v>PLIN13</v>
          </cell>
          <cell r="B175" t="str">
            <v>Fierro 19mm Inox 316L</v>
          </cell>
          <cell r="C175">
            <v>13.596</v>
          </cell>
          <cell r="D175">
            <v>67.98</v>
          </cell>
          <cell r="E175">
            <v>2.266</v>
          </cell>
          <cell r="F175">
            <v>67.98</v>
          </cell>
        </row>
        <row r="176">
          <cell r="A176" t="str">
            <v>PLIN14</v>
          </cell>
          <cell r="B176" t="str">
            <v>Plancha Inox Calidad 316 1/8"</v>
          </cell>
          <cell r="C176">
            <v>75.403000000000006</v>
          </cell>
          <cell r="D176">
            <v>404.58474576271192</v>
          </cell>
          <cell r="E176">
            <v>25.752390710382517</v>
          </cell>
          <cell r="F176">
            <v>5.3656319478364507</v>
          </cell>
          <cell r="G176">
            <v>2</v>
          </cell>
        </row>
        <row r="177">
          <cell r="B177" t="str">
            <v>PLANCHAS GALVANIZADAS</v>
          </cell>
        </row>
        <row r="178">
          <cell r="A178" t="str">
            <v>PLG01</v>
          </cell>
          <cell r="B178" t="str">
            <v>Plancha Galvanizada 0,6mm</v>
          </cell>
          <cell r="C178">
            <v>13.56</v>
          </cell>
          <cell r="D178">
            <v>12.652542372881356</v>
          </cell>
          <cell r="E178">
            <v>4.6311475409836067</v>
          </cell>
          <cell r="F178">
            <v>0.93307834608269591</v>
          </cell>
          <cell r="G178">
            <v>2</v>
          </cell>
        </row>
        <row r="179">
          <cell r="A179" t="str">
            <v>PLG02</v>
          </cell>
          <cell r="B179" t="str">
            <v>Plancha Galvanizada 0,9mm</v>
          </cell>
          <cell r="C179">
            <v>20.69</v>
          </cell>
          <cell r="D179">
            <v>19.296610169491526</v>
          </cell>
          <cell r="E179">
            <v>7.0662568306010938</v>
          </cell>
          <cell r="F179">
            <v>0.9326539472929688</v>
          </cell>
          <cell r="G179">
            <v>2</v>
          </cell>
        </row>
        <row r="180">
          <cell r="A180" t="str">
            <v>PLG03</v>
          </cell>
          <cell r="B180" t="str">
            <v>Plancha Galvanizada 1,0mm</v>
          </cell>
          <cell r="C180">
            <v>22.98</v>
          </cell>
          <cell r="D180">
            <v>21.440677966101696</v>
          </cell>
          <cell r="E180">
            <v>7.8483606557377064</v>
          </cell>
          <cell r="F180">
            <v>0.93301470696700151</v>
          </cell>
          <cell r="G180">
            <v>2</v>
          </cell>
        </row>
        <row r="181">
          <cell r="A181" t="str">
            <v>PLG04</v>
          </cell>
          <cell r="B181" t="str">
            <v>Plancha Galvanizada 1,2mm</v>
          </cell>
          <cell r="C181">
            <v>27.58</v>
          </cell>
          <cell r="D181">
            <v>25.728813559322035</v>
          </cell>
          <cell r="E181">
            <v>9.4193989071038242</v>
          </cell>
          <cell r="F181">
            <v>0.93287938938803616</v>
          </cell>
          <cell r="G181">
            <v>2</v>
          </cell>
        </row>
        <row r="182">
          <cell r="A182" t="str">
            <v>PLG05</v>
          </cell>
          <cell r="B182" t="str">
            <v>Plancha Galvanizada 1,5mm (1.22 x 2.4)</v>
          </cell>
          <cell r="C182">
            <v>34.479999999999997</v>
          </cell>
          <cell r="D182">
            <v>32.152542372881356</v>
          </cell>
          <cell r="E182">
            <v>11.775956284153004</v>
          </cell>
          <cell r="F182">
            <v>0.93249832867985383</v>
          </cell>
          <cell r="G182">
            <v>2</v>
          </cell>
        </row>
        <row r="183">
          <cell r="A183" t="str">
            <v>PLG06</v>
          </cell>
          <cell r="B183" t="str">
            <v>Plancha Galvanizada 1,5mm (1.5 x 3.0 )</v>
          </cell>
          <cell r="C183">
            <v>52.99</v>
          </cell>
          <cell r="D183">
            <v>66.101694915254242</v>
          </cell>
          <cell r="E183">
            <v>11.775555555555556</v>
          </cell>
          <cell r="F183">
            <v>1.2474371563550526</v>
          </cell>
          <cell r="G183">
            <v>2</v>
          </cell>
        </row>
        <row r="184">
          <cell r="B184" t="str">
            <v>PLANCHAS DELGADAS LAC</v>
          </cell>
          <cell r="H184">
            <v>0.38500000000000001</v>
          </cell>
        </row>
        <row r="185">
          <cell r="A185" t="str">
            <v>PLES00</v>
          </cell>
          <cell r="B185" t="str">
            <v>Plancha Estructural 1/8"</v>
          </cell>
          <cell r="C185">
            <v>72.976739999999992</v>
          </cell>
          <cell r="D185">
            <v>26.652542372881356</v>
          </cell>
          <cell r="E185">
            <v>24.923749999999998</v>
          </cell>
          <cell r="F185">
            <v>0.36521969017636796</v>
          </cell>
          <cell r="G185">
            <v>2</v>
          </cell>
          <cell r="H185">
            <v>0.435</v>
          </cell>
        </row>
        <row r="186">
          <cell r="A186" t="str">
            <v>PLES01</v>
          </cell>
          <cell r="B186" t="str">
            <v>Plancha Estructural 5/32"</v>
          </cell>
          <cell r="C186">
            <v>91.220924999999994</v>
          </cell>
          <cell r="D186">
            <v>32.305084745762713</v>
          </cell>
          <cell r="E186">
            <v>31.154687499999998</v>
          </cell>
          <cell r="F186">
            <v>0.35414116602920565</v>
          </cell>
          <cell r="G186">
            <v>2</v>
          </cell>
        </row>
        <row r="187">
          <cell r="A187" t="str">
            <v>PLES02</v>
          </cell>
          <cell r="B187" t="str">
            <v>Plancha Estructural 3/16"</v>
          </cell>
          <cell r="C187">
            <v>109.46510999999997</v>
          </cell>
          <cell r="D187">
            <v>36.347457627118644</v>
          </cell>
          <cell r="E187">
            <v>37.38562499999999</v>
          </cell>
          <cell r="F187">
            <v>0.33204605218154581</v>
          </cell>
          <cell r="G187">
            <v>2</v>
          </cell>
        </row>
        <row r="188">
          <cell r="B188" t="str">
            <v>PLANCHAS ESTRUCTURALES</v>
          </cell>
        </row>
        <row r="189">
          <cell r="A189" t="str">
            <v>PLES03</v>
          </cell>
          <cell r="B189" t="str">
            <v>Plancha Estructural 1/4"</v>
          </cell>
          <cell r="C189">
            <v>454.60919999999999</v>
          </cell>
          <cell r="D189">
            <v>175.024542</v>
          </cell>
          <cell r="E189">
            <v>49.847499999999997</v>
          </cell>
          <cell r="F189">
            <v>0.38500000000000001</v>
          </cell>
          <cell r="G189">
            <v>2</v>
          </cell>
        </row>
        <row r="190">
          <cell r="A190" t="str">
            <v>PLES04</v>
          </cell>
          <cell r="B190" t="str">
            <v>Plancha Estructural 5/16"</v>
          </cell>
          <cell r="C190">
            <v>568.26149999999996</v>
          </cell>
          <cell r="D190">
            <v>218.7806775</v>
          </cell>
          <cell r="E190">
            <v>62.309374999999996</v>
          </cell>
          <cell r="F190">
            <v>0.38500000000000001</v>
          </cell>
          <cell r="G190">
            <v>2</v>
          </cell>
        </row>
        <row r="191">
          <cell r="A191" t="str">
            <v>PLES05</v>
          </cell>
          <cell r="B191" t="str">
            <v>Plancha Estructural 3/8"</v>
          </cell>
          <cell r="C191">
            <v>681.91379999999981</v>
          </cell>
          <cell r="D191">
            <v>262.53681299999994</v>
          </cell>
          <cell r="E191">
            <v>74.771249999999981</v>
          </cell>
          <cell r="F191">
            <v>0.38500000000000001</v>
          </cell>
          <cell r="G191">
            <v>2</v>
          </cell>
        </row>
        <row r="192">
          <cell r="A192" t="str">
            <v>PLES06</v>
          </cell>
          <cell r="B192" t="str">
            <v>Plancha Estructural 1/2"</v>
          </cell>
          <cell r="C192">
            <v>909.21839999999997</v>
          </cell>
          <cell r="D192">
            <v>350.04908399999999</v>
          </cell>
          <cell r="E192">
            <v>99.694999999999993</v>
          </cell>
          <cell r="F192">
            <v>0.38500000000000001</v>
          </cell>
          <cell r="G192">
            <v>2</v>
          </cell>
        </row>
        <row r="193">
          <cell r="A193" t="str">
            <v>PLES07</v>
          </cell>
          <cell r="B193" t="str">
            <v>Plancha Estructural 5/8"</v>
          </cell>
          <cell r="C193">
            <v>1136.5229999999999</v>
          </cell>
          <cell r="D193">
            <v>494.38750499999998</v>
          </cell>
          <cell r="E193">
            <v>124.61874999999999</v>
          </cell>
          <cell r="F193">
            <v>0.435</v>
          </cell>
          <cell r="G193">
            <v>2</v>
          </cell>
        </row>
        <row r="194">
          <cell r="A194" t="str">
            <v>PLES08</v>
          </cell>
          <cell r="B194" t="str">
            <v>Plancha Estructural 3/4"</v>
          </cell>
          <cell r="C194">
            <v>1417.6628999999998</v>
          </cell>
          <cell r="D194">
            <v>616.68336149999993</v>
          </cell>
          <cell r="E194">
            <v>149.54249999999999</v>
          </cell>
          <cell r="F194">
            <v>0.435</v>
          </cell>
          <cell r="G194">
            <v>2</v>
          </cell>
        </row>
        <row r="195">
          <cell r="A195" t="str">
            <v>PLES09</v>
          </cell>
          <cell r="B195" t="str">
            <v>Plancha Estructural 1"</v>
          </cell>
          <cell r="C195">
            <v>1890.2172</v>
          </cell>
          <cell r="D195">
            <v>822.24448200000006</v>
          </cell>
          <cell r="E195">
            <v>199.39</v>
          </cell>
          <cell r="F195">
            <v>0.435</v>
          </cell>
          <cell r="G195">
            <v>2</v>
          </cell>
        </row>
        <row r="196">
          <cell r="A196" t="str">
            <v>PLES10</v>
          </cell>
          <cell r="B196" t="str">
            <v>Plancha Estructural 1 1/4"</v>
          </cell>
          <cell r="C196">
            <v>2273.0459999999998</v>
          </cell>
          <cell r="D196">
            <v>988.77500999999995</v>
          </cell>
          <cell r="E196">
            <v>249.23749999999998</v>
          </cell>
          <cell r="F196">
            <v>0.435</v>
          </cell>
          <cell r="G196">
            <v>2</v>
          </cell>
        </row>
        <row r="197">
          <cell r="B197" t="str">
            <v>PLANCHAS ANTIDESGASTE</v>
          </cell>
        </row>
        <row r="198">
          <cell r="A198" t="str">
            <v>PL01</v>
          </cell>
          <cell r="B198" t="str">
            <v>Plancha Chronit T1  1/4"(Bohler)</v>
          </cell>
          <cell r="C198">
            <v>240</v>
          </cell>
          <cell r="D198">
            <v>504</v>
          </cell>
          <cell r="E198">
            <v>52.631578947368418</v>
          </cell>
          <cell r="F198">
            <v>2.1</v>
          </cell>
          <cell r="G198">
            <v>2</v>
          </cell>
        </row>
        <row r="199">
          <cell r="A199" t="str">
            <v>PL02</v>
          </cell>
          <cell r="B199" t="str">
            <v>Plancha Chronit T1  5/16"(Bohler)</v>
          </cell>
          <cell r="C199">
            <v>298</v>
          </cell>
          <cell r="D199">
            <v>532</v>
          </cell>
          <cell r="E199">
            <v>65.350877192982452</v>
          </cell>
          <cell r="F199">
            <v>1.7852348993288591</v>
          </cell>
          <cell r="G199">
            <v>2</v>
          </cell>
        </row>
        <row r="200">
          <cell r="A200" t="str">
            <v>PL03</v>
          </cell>
          <cell r="B200" t="str">
            <v>Plancha Chronit T1  1/2"(Bohler)</v>
          </cell>
          <cell r="C200">
            <v>480</v>
          </cell>
          <cell r="D200">
            <v>850</v>
          </cell>
          <cell r="E200">
            <v>105.26315789473684</v>
          </cell>
          <cell r="F200">
            <v>1.7708333333333333</v>
          </cell>
          <cell r="G200">
            <v>2</v>
          </cell>
        </row>
        <row r="201">
          <cell r="A201" t="str">
            <v>PL04</v>
          </cell>
          <cell r="B201" t="str">
            <v>Plancha Chronit T1  3/8"(Bohler)</v>
          </cell>
          <cell r="C201">
            <v>336</v>
          </cell>
          <cell r="D201">
            <v>638</v>
          </cell>
          <cell r="E201">
            <v>73.684210526315795</v>
          </cell>
          <cell r="F201">
            <v>1.8988095238095237</v>
          </cell>
          <cell r="G201">
            <v>2</v>
          </cell>
        </row>
        <row r="202">
          <cell r="A202" t="str">
            <v>PL05</v>
          </cell>
          <cell r="B202" t="str">
            <v>Plancha Corten 5/8" (5' x 10')</v>
          </cell>
          <cell r="C202">
            <v>580</v>
          </cell>
          <cell r="D202">
            <v>823.2</v>
          </cell>
          <cell r="E202">
            <v>127.19298245614034</v>
          </cell>
          <cell r="F202">
            <v>1.4193103448275863</v>
          </cell>
          <cell r="G202">
            <v>2</v>
          </cell>
        </row>
        <row r="203">
          <cell r="B203" t="str">
            <v>PLANCHAS NEGRAS LAF IMPORTADAS</v>
          </cell>
        </row>
        <row r="204">
          <cell r="A204" t="str">
            <v>LAF01</v>
          </cell>
          <cell r="B204" t="str">
            <v>Plancha negra LAF de 0.6 mm imp.</v>
          </cell>
          <cell r="C204">
            <v>13.84</v>
          </cell>
          <cell r="D204">
            <v>6.389830508474577</v>
          </cell>
          <cell r="E204">
            <v>4.7083333333333339</v>
          </cell>
          <cell r="F204">
            <v>0.4616929558146371</v>
          </cell>
          <cell r="G204">
            <v>2</v>
          </cell>
        </row>
        <row r="205">
          <cell r="A205" t="str">
            <v>LAF02</v>
          </cell>
          <cell r="B205" t="str">
            <v>Plancha negra LAF de 1.0 mm imp.</v>
          </cell>
          <cell r="C205">
            <v>23.06</v>
          </cell>
          <cell r="D205">
            <v>10.644067796610171</v>
          </cell>
          <cell r="E205">
            <v>8.0069444444444446</v>
          </cell>
          <cell r="F205">
            <v>0.46158143090243592</v>
          </cell>
          <cell r="G205">
            <v>2</v>
          </cell>
        </row>
        <row r="206">
          <cell r="A206" t="str">
            <v>LAF03</v>
          </cell>
          <cell r="B206" t="str">
            <v>Plancha negra LAF de 1.2 mm imp.</v>
          </cell>
          <cell r="C206">
            <v>27.67</v>
          </cell>
          <cell r="D206">
            <v>12.779661016949154</v>
          </cell>
          <cell r="E206">
            <v>9.6076388888888911</v>
          </cell>
          <cell r="F206">
            <v>0.46185981268338105</v>
          </cell>
          <cell r="G206">
            <v>2</v>
          </cell>
        </row>
        <row r="207">
          <cell r="A207" t="str">
            <v>LAF04</v>
          </cell>
          <cell r="B207" t="str">
            <v>Plancha negra LAF de 1.5 mm imp.</v>
          </cell>
          <cell r="C207">
            <v>34.590000000000003</v>
          </cell>
          <cell r="D207">
            <v>15.966101694915254</v>
          </cell>
          <cell r="E207">
            <v>12.010416666666668</v>
          </cell>
          <cell r="F207">
            <v>0.46158143090243575</v>
          </cell>
          <cell r="G207">
            <v>2</v>
          </cell>
        </row>
        <row r="208">
          <cell r="A208" t="str">
            <v>LAF05</v>
          </cell>
          <cell r="B208" t="str">
            <v>Plancha negra LAF de 2.0 mm imp.</v>
          </cell>
          <cell r="C208">
            <v>46.12</v>
          </cell>
          <cell r="D208">
            <v>21.296610169491526</v>
          </cell>
          <cell r="E208">
            <v>16.013888888888889</v>
          </cell>
          <cell r="F208">
            <v>0.46176518147206258</v>
          </cell>
          <cell r="G208">
            <v>2</v>
          </cell>
        </row>
        <row r="209">
          <cell r="B209" t="str">
            <v>PLANCHAS NEGRAS LAC IMPORTADAS</v>
          </cell>
        </row>
        <row r="210">
          <cell r="A210" t="str">
            <v>LAC01</v>
          </cell>
          <cell r="B210" t="str">
            <v>Plancha negra LAC de 2.0 mm imp.</v>
          </cell>
          <cell r="C210">
            <v>46.12</v>
          </cell>
          <cell r="D210">
            <v>15.889830508474578</v>
          </cell>
          <cell r="E210">
            <v>16.013888888888889</v>
          </cell>
          <cell r="F210">
            <v>0.34453231805018603</v>
          </cell>
          <cell r="G210">
            <v>2</v>
          </cell>
        </row>
        <row r="211">
          <cell r="A211" t="str">
            <v>LAC02</v>
          </cell>
          <cell r="B211" t="str">
            <v>Plancha negra LAC de 2.5 mm imp.</v>
          </cell>
          <cell r="C211">
            <v>57.65</v>
          </cell>
          <cell r="D211">
            <v>19.864406779661017</v>
          </cell>
          <cell r="E211">
            <v>19.689207650273225</v>
          </cell>
          <cell r="F211">
            <v>0.34456906816411131</v>
          </cell>
          <cell r="G211">
            <v>2</v>
          </cell>
        </row>
        <row r="212">
          <cell r="A212" t="str">
            <v>LAC03</v>
          </cell>
          <cell r="B212" t="str">
            <v>Plancha negra LAC de 3.0 mm imp.</v>
          </cell>
          <cell r="C212">
            <v>87.92</v>
          </cell>
          <cell r="D212">
            <v>30.288135593220343</v>
          </cell>
          <cell r="E212">
            <v>24.021857923497269</v>
          </cell>
          <cell r="F212">
            <v>0.34449653768448979</v>
          </cell>
          <cell r="G212">
            <v>2</v>
          </cell>
        </row>
        <row r="213">
          <cell r="A213" t="str">
            <v>LAC04</v>
          </cell>
          <cell r="B213" t="str">
            <v>Plancha negra LAC de 4.0 mm imp.</v>
          </cell>
          <cell r="C213">
            <v>92.24</v>
          </cell>
          <cell r="D213">
            <v>31.779661016949156</v>
          </cell>
          <cell r="E213">
            <v>31.502732240437155</v>
          </cell>
          <cell r="F213">
            <v>0.34453231805018603</v>
          </cell>
          <cell r="G213">
            <v>2</v>
          </cell>
        </row>
        <row r="214">
          <cell r="A214" t="str">
            <v>LAC05</v>
          </cell>
          <cell r="B214" t="str">
            <v>Plancha negra LAC de 4.5 mm imp.</v>
          </cell>
          <cell r="C214">
            <v>103.77</v>
          </cell>
          <cell r="D214">
            <v>35.745762711864408</v>
          </cell>
          <cell r="E214">
            <v>36.03125</v>
          </cell>
          <cell r="F214">
            <v>0.3444710678603104</v>
          </cell>
          <cell r="G214">
            <v>2</v>
          </cell>
        </row>
        <row r="215">
          <cell r="A215" t="str">
            <v>LAC06</v>
          </cell>
          <cell r="B215" t="str">
            <v>Plancha negra LAC de 6.0 mm imp.</v>
          </cell>
          <cell r="C215">
            <v>138.36000000000001</v>
          </cell>
          <cell r="D215">
            <v>47.66949152542373</v>
          </cell>
          <cell r="E215">
            <v>48.041666666666671</v>
          </cell>
          <cell r="F215">
            <v>0.34453231805018592</v>
          </cell>
          <cell r="G215">
            <v>2</v>
          </cell>
        </row>
        <row r="216">
          <cell r="A216" t="str">
            <v>LAC07</v>
          </cell>
          <cell r="B216" t="str">
            <v>Plancha negra LAC de 8.0 mm imp.</v>
          </cell>
          <cell r="C216">
            <v>184.48</v>
          </cell>
          <cell r="D216">
            <v>78.262711864406782</v>
          </cell>
          <cell r="E216">
            <v>64.055555555555557</v>
          </cell>
          <cell r="F216">
            <v>0.42423412762579565</v>
          </cell>
          <cell r="G216">
            <v>2</v>
          </cell>
        </row>
        <row r="217">
          <cell r="B217" t="str">
            <v>PLATINAS</v>
          </cell>
        </row>
        <row r="218">
          <cell r="A218" t="str">
            <v>PT001</v>
          </cell>
          <cell r="B218" t="str">
            <v>Platina 1/8" x 1/2"</v>
          </cell>
          <cell r="C218">
            <v>1.786</v>
          </cell>
          <cell r="D218">
            <v>0.88135593220338992</v>
          </cell>
          <cell r="E218">
            <v>0.29766666666666669</v>
          </cell>
          <cell r="F218">
            <v>0.88135593220338992</v>
          </cell>
          <cell r="G218">
            <v>0.03</v>
          </cell>
        </row>
        <row r="219">
          <cell r="A219" t="str">
            <v>PT002</v>
          </cell>
          <cell r="B219" t="str">
            <v>Platina 1/8" x 5/8"</v>
          </cell>
          <cell r="C219">
            <v>2.2730000000000001</v>
          </cell>
          <cell r="D219">
            <v>1.1440677966101696</v>
          </cell>
          <cell r="E219">
            <v>0.37883333333333336</v>
          </cell>
          <cell r="F219">
            <v>1.1440677966101696</v>
          </cell>
          <cell r="G219">
            <v>0.04</v>
          </cell>
        </row>
        <row r="220">
          <cell r="A220" t="str">
            <v>PT003</v>
          </cell>
          <cell r="B220" t="str">
            <v>Platina 1/8" x 3/4"</v>
          </cell>
          <cell r="C220">
            <v>2.7029999999999998</v>
          </cell>
          <cell r="D220">
            <v>1.3474576271186443</v>
          </cell>
          <cell r="E220">
            <v>0.45049999999999996</v>
          </cell>
          <cell r="F220">
            <v>1.3474576271186443</v>
          </cell>
          <cell r="G220">
            <v>0.05</v>
          </cell>
        </row>
        <row r="221">
          <cell r="A221" t="str">
            <v>PT004</v>
          </cell>
          <cell r="B221" t="str">
            <v>Platina 1/8" x 1"</v>
          </cell>
          <cell r="C221">
            <v>3.5710000000000002</v>
          </cell>
          <cell r="D221">
            <v>1.745762711864407</v>
          </cell>
          <cell r="E221">
            <v>0.59516666666666673</v>
          </cell>
          <cell r="F221">
            <v>1.745762711864407</v>
          </cell>
          <cell r="G221">
            <v>0.06</v>
          </cell>
        </row>
        <row r="222">
          <cell r="A222" t="str">
            <v>PT005</v>
          </cell>
          <cell r="B222" t="str">
            <v>Platina 1/8" x 1 1/4"</v>
          </cell>
          <cell r="C222">
            <v>4.5449999999999999</v>
          </cell>
          <cell r="D222">
            <v>3.6355932203389831</v>
          </cell>
          <cell r="E222">
            <v>0.75749999999999995</v>
          </cell>
          <cell r="F222">
            <v>3.6355932203389831</v>
          </cell>
          <cell r="G222">
            <v>7.0000000000000007E-2</v>
          </cell>
        </row>
        <row r="223">
          <cell r="A223" t="str">
            <v>PT006</v>
          </cell>
          <cell r="B223" t="str">
            <v>Platina 1/8" x 1 1/2"</v>
          </cell>
          <cell r="C223">
            <v>5.556</v>
          </cell>
          <cell r="D223">
            <v>3.2372881355932206</v>
          </cell>
          <cell r="E223">
            <v>0.92600000000000005</v>
          </cell>
          <cell r="F223">
            <v>3.2372881355932206</v>
          </cell>
          <cell r="G223">
            <v>0.08</v>
          </cell>
        </row>
        <row r="224">
          <cell r="A224" t="str">
            <v>PT007</v>
          </cell>
          <cell r="B224" t="str">
            <v>Platina 1/8" x 2"</v>
          </cell>
          <cell r="C224">
            <v>7.1429999999999998</v>
          </cell>
          <cell r="D224">
            <v>4.1610169491525424</v>
          </cell>
          <cell r="E224">
            <v>1.1904999999999999</v>
          </cell>
          <cell r="F224">
            <v>4.1610169491525424</v>
          </cell>
          <cell r="G224">
            <v>0.11</v>
          </cell>
        </row>
        <row r="225">
          <cell r="A225" t="str">
            <v>PT008</v>
          </cell>
          <cell r="B225" t="str">
            <v>Platina 3/16" x 1/2"</v>
          </cell>
          <cell r="C225">
            <v>2.7029999999999998</v>
          </cell>
          <cell r="D225">
            <v>1.3050847457627119</v>
          </cell>
          <cell r="E225">
            <v>0.45049999999999996</v>
          </cell>
          <cell r="F225">
            <v>1.3050847457627119</v>
          </cell>
          <cell r="G225">
            <v>0.03</v>
          </cell>
        </row>
        <row r="226">
          <cell r="A226" t="str">
            <v>PT009</v>
          </cell>
          <cell r="B226" t="str">
            <v>Platina 3/16" x 5/8"</v>
          </cell>
          <cell r="C226">
            <v>3.39</v>
          </cell>
          <cell r="D226">
            <v>1.9152542372881356</v>
          </cell>
          <cell r="E226">
            <v>0.56500000000000006</v>
          </cell>
          <cell r="F226">
            <v>1.9152542372881356</v>
          </cell>
          <cell r="G226">
            <v>0.04</v>
          </cell>
        </row>
        <row r="227">
          <cell r="A227" t="str">
            <v>PT010</v>
          </cell>
          <cell r="B227" t="str">
            <v>Platina 3/16" x 3/4"</v>
          </cell>
          <cell r="C227">
            <v>4.0819999999999999</v>
          </cell>
          <cell r="D227">
            <v>2.3050847457627119</v>
          </cell>
          <cell r="E227">
            <v>0.68033333333333335</v>
          </cell>
          <cell r="F227">
            <v>2.3050847457627119</v>
          </cell>
          <cell r="G227">
            <v>0.05</v>
          </cell>
        </row>
        <row r="228">
          <cell r="A228" t="str">
            <v>PT011</v>
          </cell>
          <cell r="B228" t="str">
            <v>Platina 3/16" x 1"</v>
          </cell>
          <cell r="C228">
            <v>5.4050000000000002</v>
          </cell>
          <cell r="D228">
            <v>2.5762711864406782</v>
          </cell>
          <cell r="E228">
            <v>0.90083333333333337</v>
          </cell>
          <cell r="F228">
            <v>2.5762711864406782</v>
          </cell>
          <cell r="G228">
            <v>0.06</v>
          </cell>
        </row>
        <row r="229">
          <cell r="A229" t="str">
            <v>PT012</v>
          </cell>
          <cell r="B229" t="str">
            <v>Platina 3/16" x 1 1/4"</v>
          </cell>
          <cell r="C229">
            <v>6.8970000000000002</v>
          </cell>
          <cell r="D229">
            <v>5.3559322033898313</v>
          </cell>
          <cell r="E229">
            <v>1.1495</v>
          </cell>
          <cell r="F229">
            <v>5.3559322033898313</v>
          </cell>
          <cell r="G229">
            <v>0.08</v>
          </cell>
        </row>
        <row r="230">
          <cell r="A230" t="str">
            <v>PT013</v>
          </cell>
          <cell r="B230" t="str">
            <v>Platina 3/16" x 1 1/2"</v>
          </cell>
          <cell r="C230">
            <v>8</v>
          </cell>
          <cell r="D230">
            <v>4.5169491525423728</v>
          </cell>
          <cell r="E230">
            <v>1.3333333333333333</v>
          </cell>
          <cell r="F230">
            <v>4.5169491525423728</v>
          </cell>
          <cell r="G230">
            <v>0.09</v>
          </cell>
        </row>
        <row r="231">
          <cell r="A231" t="str">
            <v>PT014</v>
          </cell>
          <cell r="B231" t="str">
            <v>Platina 3/16" x 2"</v>
          </cell>
          <cell r="C231">
            <v>10.87</v>
          </cell>
          <cell r="D231">
            <v>6.1355932203389836</v>
          </cell>
          <cell r="E231">
            <v>1.8116666666666665</v>
          </cell>
          <cell r="F231">
            <v>6.1355932203389836</v>
          </cell>
          <cell r="G231">
            <v>0.11</v>
          </cell>
        </row>
        <row r="232">
          <cell r="A232" t="str">
            <v>PT015</v>
          </cell>
          <cell r="B232" t="str">
            <v>Platina 3/16" x 2 1/2"</v>
          </cell>
          <cell r="C232">
            <v>14.286</v>
          </cell>
          <cell r="D232">
            <v>11.076271186440678</v>
          </cell>
          <cell r="E232">
            <v>2.3809999999999998</v>
          </cell>
          <cell r="F232">
            <v>11.076271186440678</v>
          </cell>
          <cell r="G232">
            <v>0.14000000000000001</v>
          </cell>
        </row>
        <row r="233">
          <cell r="A233" t="str">
            <v>PT017</v>
          </cell>
          <cell r="B233" t="str">
            <v>Platina 1/4" x 1/2"</v>
          </cell>
          <cell r="C233">
            <v>3.5710000000000002</v>
          </cell>
          <cell r="D233">
            <v>1.7796610169491527</v>
          </cell>
          <cell r="E233">
            <v>0.59516666666666673</v>
          </cell>
          <cell r="F233">
            <v>1.7796610169491527</v>
          </cell>
          <cell r="G233">
            <v>0.04</v>
          </cell>
        </row>
        <row r="234">
          <cell r="A234" t="str">
            <v>PT018</v>
          </cell>
          <cell r="B234" t="str">
            <v>Platina 1/4" x 5/8"</v>
          </cell>
          <cell r="C234">
            <v>4.7619999999999996</v>
          </cell>
          <cell r="D234">
            <v>3.2627118644067798</v>
          </cell>
          <cell r="E234">
            <v>0.79366666666666663</v>
          </cell>
          <cell r="F234">
            <v>3.2627118644067798</v>
          </cell>
          <cell r="G234">
            <v>4.4999999999999998E-2</v>
          </cell>
        </row>
        <row r="235">
          <cell r="A235" t="str">
            <v>PT019</v>
          </cell>
          <cell r="B235" t="str">
            <v>Platina 1/4" x 3/4"</v>
          </cell>
          <cell r="C235">
            <v>5.4050000000000002</v>
          </cell>
          <cell r="D235">
            <v>3.3474576271186445</v>
          </cell>
          <cell r="E235">
            <v>0.90083333333333337</v>
          </cell>
          <cell r="F235">
            <v>3.3474576271186445</v>
          </cell>
          <cell r="G235">
            <v>5.0999999999999997E-2</v>
          </cell>
        </row>
        <row r="236">
          <cell r="A236" t="str">
            <v>PT020</v>
          </cell>
          <cell r="B236" t="str">
            <v>Platina 1/4" x 1"</v>
          </cell>
          <cell r="C236">
            <v>7.1429999999999998</v>
          </cell>
          <cell r="D236">
            <v>4.8898305084745761</v>
          </cell>
          <cell r="E236">
            <v>1.1904999999999999</v>
          </cell>
          <cell r="F236">
            <v>4.8898305084745761</v>
          </cell>
          <cell r="G236">
            <v>6.4000000000000001E-2</v>
          </cell>
        </row>
        <row r="237">
          <cell r="A237" t="str">
            <v>PT021</v>
          </cell>
          <cell r="B237" t="str">
            <v>Platina 1/4" x 1 1/4"</v>
          </cell>
          <cell r="C237">
            <v>9.0909999999999993</v>
          </cell>
          <cell r="D237">
            <v>6.2118644067796618</v>
          </cell>
          <cell r="E237">
            <v>1.5151666666666666</v>
          </cell>
          <cell r="F237">
            <v>6.2118644067796618</v>
          </cell>
          <cell r="G237">
            <v>0.08</v>
          </cell>
        </row>
        <row r="238">
          <cell r="A238" t="str">
            <v>PT022</v>
          </cell>
          <cell r="B238" t="str">
            <v>Platina 1/4" x 1 1/2"</v>
          </cell>
          <cell r="C238">
            <v>10.87</v>
          </cell>
          <cell r="D238">
            <v>7.3559322033898304</v>
          </cell>
          <cell r="E238">
            <v>1.8116666666666665</v>
          </cell>
          <cell r="F238">
            <v>7.3559322033898304</v>
          </cell>
          <cell r="G238">
            <v>0.09</v>
          </cell>
        </row>
        <row r="239">
          <cell r="A239" t="str">
            <v>PT023</v>
          </cell>
          <cell r="B239" t="str">
            <v>Platina 1/4" x 2"</v>
          </cell>
          <cell r="C239">
            <v>14.286</v>
          </cell>
          <cell r="D239">
            <v>9.6779661016949152</v>
          </cell>
          <cell r="E239">
            <v>2.3809999999999998</v>
          </cell>
          <cell r="F239">
            <v>9.6779661016949152</v>
          </cell>
          <cell r="G239">
            <v>0.115</v>
          </cell>
        </row>
        <row r="240">
          <cell r="A240" t="str">
            <v>PT024</v>
          </cell>
          <cell r="B240" t="str">
            <v>Platina 1/4" x 2 1/2"</v>
          </cell>
          <cell r="C240">
            <v>18.181999999999999</v>
          </cell>
          <cell r="D240">
            <v>12.305084745762713</v>
          </cell>
          <cell r="E240">
            <v>3.0303333333333331</v>
          </cell>
          <cell r="F240">
            <v>12.305084745762713</v>
          </cell>
          <cell r="G240">
            <v>0.14000000000000001</v>
          </cell>
        </row>
        <row r="241">
          <cell r="A241" t="str">
            <v>PT025</v>
          </cell>
          <cell r="B241" t="str">
            <v>Platina 1/4" x 3"</v>
          </cell>
          <cell r="C241">
            <v>21.739000000000001</v>
          </cell>
          <cell r="D241">
            <v>14.72033898305085</v>
          </cell>
          <cell r="E241">
            <v>3.6231666666666666</v>
          </cell>
          <cell r="F241">
            <v>14.72033898305085</v>
          </cell>
          <cell r="G241">
            <v>0.16500000000000001</v>
          </cell>
        </row>
        <row r="242">
          <cell r="A242" t="str">
            <v>PT026</v>
          </cell>
          <cell r="B242" t="str">
            <v>Platina 1/4" x 3 1/2"</v>
          </cell>
          <cell r="C242">
            <v>26.315999999999999</v>
          </cell>
          <cell r="D242">
            <v>17.805084745762713</v>
          </cell>
          <cell r="E242">
            <v>4.3860000000000001</v>
          </cell>
          <cell r="F242">
            <v>17.805084745762713</v>
          </cell>
          <cell r="G242">
            <v>0.19</v>
          </cell>
        </row>
        <row r="243">
          <cell r="A243" t="str">
            <v>PT027</v>
          </cell>
          <cell r="B243" t="str">
            <v>Platina 1/4" x 4"</v>
          </cell>
          <cell r="C243">
            <v>30.3</v>
          </cell>
          <cell r="D243">
            <v>20.508474576271187</v>
          </cell>
          <cell r="E243">
            <v>5.05</v>
          </cell>
          <cell r="F243">
            <v>20.508474576271187</v>
          </cell>
          <cell r="G243">
            <v>0.22</v>
          </cell>
        </row>
        <row r="244">
          <cell r="A244" t="str">
            <v>PT028</v>
          </cell>
          <cell r="B244" t="str">
            <v>Platina 5/16" x 3/4"</v>
          </cell>
          <cell r="C244">
            <v>7.1429999999999998</v>
          </cell>
          <cell r="D244">
            <v>5.4830508474576272</v>
          </cell>
          <cell r="E244">
            <v>1.1904999999999999</v>
          </cell>
          <cell r="F244">
            <v>5.4830508474576272</v>
          </cell>
          <cell r="G244">
            <v>5.3999999999999999E-2</v>
          </cell>
        </row>
        <row r="245">
          <cell r="A245" t="str">
            <v>PT029</v>
          </cell>
          <cell r="B245" t="str">
            <v>Platina 3/8" x 1"</v>
          </cell>
          <cell r="C245">
            <v>10.87</v>
          </cell>
          <cell r="D245">
            <v>7.3559322033898304</v>
          </cell>
          <cell r="E245">
            <v>1.8116666666666665</v>
          </cell>
          <cell r="F245">
            <v>7.3559322033898304</v>
          </cell>
          <cell r="G245">
            <v>7.0000000000000007E-2</v>
          </cell>
        </row>
        <row r="246">
          <cell r="A246" t="str">
            <v>PT030</v>
          </cell>
          <cell r="B246" t="str">
            <v>Platina 3/8" x 1 1/4"</v>
          </cell>
          <cell r="C246">
            <v>13.513999999999999</v>
          </cell>
          <cell r="D246">
            <v>9.1440677966101696</v>
          </cell>
          <cell r="E246">
            <v>2.2523333333333331</v>
          </cell>
          <cell r="F246">
            <v>9.1440677966101696</v>
          </cell>
          <cell r="G246">
            <v>8.3000000000000004E-2</v>
          </cell>
        </row>
        <row r="247">
          <cell r="A247" t="str">
            <v>PT031</v>
          </cell>
          <cell r="B247" t="str">
            <v>Platina 3/8" x 1 1/2"</v>
          </cell>
          <cell r="C247">
            <v>16.129000000000001</v>
          </cell>
          <cell r="D247">
            <v>10.915254237288137</v>
          </cell>
          <cell r="E247">
            <v>2.688166666666667</v>
          </cell>
          <cell r="F247">
            <v>10.915254237288137</v>
          </cell>
          <cell r="G247">
            <v>9.5000000000000001E-2</v>
          </cell>
        </row>
        <row r="248">
          <cell r="A248" t="str">
            <v>PT032</v>
          </cell>
          <cell r="B248" t="str">
            <v>Platina 3/8" x 2"</v>
          </cell>
          <cell r="C248">
            <v>21.739000000000001</v>
          </cell>
          <cell r="D248">
            <v>14.72033898305085</v>
          </cell>
          <cell r="E248">
            <v>3.6231666666666666</v>
          </cell>
          <cell r="F248">
            <v>14.72033898305085</v>
          </cell>
          <cell r="G248">
            <v>0.12</v>
          </cell>
        </row>
        <row r="249">
          <cell r="A249" t="str">
            <v>PT033</v>
          </cell>
          <cell r="B249" t="str">
            <v>Platina 3/8" x 2 1/2"</v>
          </cell>
          <cell r="C249">
            <v>28.571000000000002</v>
          </cell>
          <cell r="D249">
            <v>19.33050847457627</v>
          </cell>
          <cell r="E249">
            <v>4.7618333333333336</v>
          </cell>
          <cell r="F249">
            <v>19.33050847457627</v>
          </cell>
          <cell r="G249">
            <v>0.14599999999999999</v>
          </cell>
        </row>
        <row r="250">
          <cell r="A250" t="str">
            <v>PT034</v>
          </cell>
          <cell r="B250" t="str">
            <v>Platina 3/8" x 3"</v>
          </cell>
          <cell r="C250">
            <v>32.258000000000003</v>
          </cell>
          <cell r="D250">
            <v>21.822033898305087</v>
          </cell>
          <cell r="E250">
            <v>5.3763333333333341</v>
          </cell>
          <cell r="F250">
            <v>21.822033898305087</v>
          </cell>
          <cell r="G250">
            <v>0.17</v>
          </cell>
        </row>
        <row r="251">
          <cell r="A251" t="str">
            <v>PT035</v>
          </cell>
          <cell r="B251" t="str">
            <v>Platina 3/8" x 3 1/2"</v>
          </cell>
          <cell r="C251">
            <v>40</v>
          </cell>
          <cell r="D251">
            <v>27.067796610169495</v>
          </cell>
          <cell r="E251">
            <v>6.666666666666667</v>
          </cell>
          <cell r="F251">
            <v>27.067796610169495</v>
          </cell>
          <cell r="G251">
            <v>0.2</v>
          </cell>
        </row>
        <row r="252">
          <cell r="A252" t="str">
            <v>PT036</v>
          </cell>
          <cell r="B252" t="str">
            <v>Platina 3/8" x 4"</v>
          </cell>
          <cell r="C252">
            <v>45.454999999999998</v>
          </cell>
          <cell r="D252">
            <v>30.762711864406779</v>
          </cell>
          <cell r="E252">
            <v>7.5758333333333328</v>
          </cell>
          <cell r="F252">
            <v>30.762711864406779</v>
          </cell>
          <cell r="G252">
            <v>0.22</v>
          </cell>
        </row>
        <row r="253">
          <cell r="A253" t="str">
            <v>PT037</v>
          </cell>
          <cell r="B253" t="str">
            <v>Platina 1/2" x 1"</v>
          </cell>
          <cell r="C253">
            <v>15.151999999999999</v>
          </cell>
          <cell r="D253">
            <v>9.6101694915254239</v>
          </cell>
          <cell r="E253">
            <v>2.5253333333333332</v>
          </cell>
          <cell r="F253">
            <v>9.6101694915254239</v>
          </cell>
          <cell r="G253">
            <v>0.08</v>
          </cell>
        </row>
        <row r="254">
          <cell r="A254" t="str">
            <v>PT038</v>
          </cell>
          <cell r="B254" t="str">
            <v>Platina 1/2" x 1 1/2"</v>
          </cell>
          <cell r="C254">
            <v>21.739000000000001</v>
          </cell>
          <cell r="D254">
            <v>14.72033898305085</v>
          </cell>
          <cell r="E254">
            <v>3.6231666666666666</v>
          </cell>
          <cell r="F254">
            <v>14.72033898305085</v>
          </cell>
          <cell r="G254">
            <v>0.1</v>
          </cell>
        </row>
        <row r="255">
          <cell r="A255" t="str">
            <v>PT039</v>
          </cell>
          <cell r="B255" t="str">
            <v>Platina 1/2" x 2"</v>
          </cell>
          <cell r="C255">
            <v>29.411999999999999</v>
          </cell>
          <cell r="D255">
            <v>19.898305084745765</v>
          </cell>
          <cell r="E255">
            <v>4.9020000000000001</v>
          </cell>
          <cell r="F255">
            <v>19.898305084745765</v>
          </cell>
          <cell r="G255">
            <v>0.127</v>
          </cell>
        </row>
        <row r="256">
          <cell r="A256" t="str">
            <v>PT040</v>
          </cell>
          <cell r="B256" t="str">
            <v>Platina 1/2" x 2 1/2"</v>
          </cell>
          <cell r="C256">
            <v>35.713999999999999</v>
          </cell>
          <cell r="D256">
            <v>24.161016949152543</v>
          </cell>
          <cell r="E256">
            <v>5.9523333333333328</v>
          </cell>
          <cell r="F256">
            <v>24.161016949152543</v>
          </cell>
          <cell r="G256">
            <v>0.15</v>
          </cell>
        </row>
        <row r="257">
          <cell r="A257" t="str">
            <v>PT041</v>
          </cell>
          <cell r="B257" t="str">
            <v>Platina 1/2" x 3"</v>
          </cell>
          <cell r="C257">
            <v>45.454999999999998</v>
          </cell>
          <cell r="D257">
            <v>30.754237288135595</v>
          </cell>
          <cell r="E257">
            <v>7.5758333333333328</v>
          </cell>
          <cell r="F257">
            <v>30.754237288135595</v>
          </cell>
          <cell r="G257">
            <v>0.18</v>
          </cell>
        </row>
        <row r="258">
          <cell r="A258" t="str">
            <v>PT042</v>
          </cell>
          <cell r="B258" t="str">
            <v>Platina 1/2" x 3 1/2"</v>
          </cell>
          <cell r="C258">
            <v>52.631999999999998</v>
          </cell>
          <cell r="D258">
            <v>35.618644067796616</v>
          </cell>
          <cell r="E258">
            <v>8.7720000000000002</v>
          </cell>
          <cell r="F258">
            <v>35.618644067796616</v>
          </cell>
          <cell r="G258">
            <v>0.2</v>
          </cell>
        </row>
        <row r="259">
          <cell r="A259" t="str">
            <v>PT043</v>
          </cell>
          <cell r="B259" t="str">
            <v>Platina 1/2" x 4"</v>
          </cell>
          <cell r="C259">
            <v>58.823999999999998</v>
          </cell>
          <cell r="D259">
            <v>39.79661016949153</v>
          </cell>
          <cell r="E259">
            <v>9.8040000000000003</v>
          </cell>
          <cell r="F259">
            <v>39.79661016949153</v>
          </cell>
          <cell r="G259">
            <v>0.23</v>
          </cell>
        </row>
        <row r="260">
          <cell r="A260" t="str">
            <v>PT044</v>
          </cell>
          <cell r="B260" t="str">
            <v>Platina 5/8" x 3 1/2"</v>
          </cell>
          <cell r="C260">
            <v>66.667000000000002</v>
          </cell>
          <cell r="D260">
            <v>45.110169491525426</v>
          </cell>
          <cell r="E260">
            <v>11.111166666666668</v>
          </cell>
          <cell r="F260">
            <v>45.110169491525426</v>
          </cell>
          <cell r="G260">
            <v>0.21</v>
          </cell>
        </row>
        <row r="261">
          <cell r="A261" t="str">
            <v>PT045</v>
          </cell>
          <cell r="B261" t="str">
            <v>Platina 5/8" x 4"</v>
          </cell>
          <cell r="C261">
            <v>76.923000000000002</v>
          </cell>
          <cell r="D261">
            <v>52.050847457627121</v>
          </cell>
          <cell r="E261">
            <v>12.820500000000001</v>
          </cell>
          <cell r="F261">
            <v>52.050847457627121</v>
          </cell>
          <cell r="G261">
            <v>0.24</v>
          </cell>
        </row>
        <row r="262">
          <cell r="A262" t="str">
            <v>PT046</v>
          </cell>
          <cell r="B262" t="str">
            <v>Platina 3/4" x 3 1/2"</v>
          </cell>
          <cell r="C262">
            <v>76.917000000000002</v>
          </cell>
          <cell r="D262">
            <v>52.050847457627121</v>
          </cell>
          <cell r="E262">
            <v>12.8195</v>
          </cell>
          <cell r="F262">
            <v>52.050847457627121</v>
          </cell>
          <cell r="G262">
            <v>0.22</v>
          </cell>
        </row>
        <row r="263">
          <cell r="A263" t="str">
            <v>PT047</v>
          </cell>
          <cell r="B263" t="str">
            <v>Platina 3/4" x 4"</v>
          </cell>
          <cell r="C263">
            <v>90.909000000000006</v>
          </cell>
          <cell r="D263">
            <v>61.50847457627119</v>
          </cell>
          <cell r="E263">
            <v>15.1515</v>
          </cell>
          <cell r="F263">
            <v>61.50847457627119</v>
          </cell>
          <cell r="G263">
            <v>0.24099999999999999</v>
          </cell>
        </row>
        <row r="264">
          <cell r="A264" t="str">
            <v>PT048</v>
          </cell>
          <cell r="B264" t="str">
            <v>Platina 1" x 3"</v>
          </cell>
          <cell r="C264">
            <v>90.91</v>
          </cell>
          <cell r="D264">
            <v>61.50847457627119</v>
          </cell>
          <cell r="E264">
            <v>15.151666666666666</v>
          </cell>
          <cell r="F264">
            <v>61.50847457627119</v>
          </cell>
          <cell r="G264">
            <v>0.20319999999999999</v>
          </cell>
        </row>
        <row r="265">
          <cell r="A265" t="str">
            <v>PT049</v>
          </cell>
          <cell r="B265" t="str">
            <v>Platina 1" x 3 1/2"</v>
          </cell>
          <cell r="C265">
            <v>100</v>
          </cell>
          <cell r="D265">
            <v>67.754237288135599</v>
          </cell>
          <cell r="E265">
            <v>16.666666666666668</v>
          </cell>
          <cell r="F265">
            <v>67.754237288135599</v>
          </cell>
          <cell r="G265">
            <v>0.23</v>
          </cell>
        </row>
        <row r="266">
          <cell r="A266" t="str">
            <v>PT050</v>
          </cell>
          <cell r="B266" t="str">
            <v>Platina 1" x 4"</v>
          </cell>
          <cell r="C266">
            <v>125</v>
          </cell>
          <cell r="D266">
            <v>84.576271186440678</v>
          </cell>
          <cell r="E266">
            <v>20.833333333333332</v>
          </cell>
          <cell r="F266">
            <v>84.576271186440678</v>
          </cell>
          <cell r="G266">
            <v>0.254</v>
          </cell>
        </row>
        <row r="267">
          <cell r="B267" t="str">
            <v>TEE</v>
          </cell>
        </row>
        <row r="268">
          <cell r="A268" t="str">
            <v>TE001</v>
          </cell>
          <cell r="B268" t="str">
            <v>Tee 1/8"x3/4"</v>
          </cell>
          <cell r="C268">
            <v>5.2629999999999999</v>
          </cell>
          <cell r="D268">
            <v>3.0847457627118646</v>
          </cell>
          <cell r="E268">
            <v>0.87716666666666665</v>
          </cell>
          <cell r="F268">
            <v>3.0847457627118646</v>
          </cell>
          <cell r="G268">
            <v>0.08</v>
          </cell>
        </row>
        <row r="269">
          <cell r="A269" t="str">
            <v>TE002</v>
          </cell>
          <cell r="B269" t="str">
            <v>Tee 1/8"x1"</v>
          </cell>
          <cell r="C269">
            <v>7.43</v>
          </cell>
          <cell r="D269">
            <v>4.8389830508474576</v>
          </cell>
          <cell r="E269">
            <v>1.2383333333333333</v>
          </cell>
          <cell r="F269">
            <v>4.8389830508474576</v>
          </cell>
          <cell r="G269">
            <v>0.1</v>
          </cell>
        </row>
        <row r="270">
          <cell r="A270" t="str">
            <v>TE003</v>
          </cell>
          <cell r="B270" t="str">
            <v>Tee 1/8"x1 1/4"</v>
          </cell>
          <cell r="C270">
            <v>9.0909999999999993</v>
          </cell>
          <cell r="D270">
            <v>6.9745762711864412</v>
          </cell>
          <cell r="E270">
            <v>1.5151666666666666</v>
          </cell>
          <cell r="F270">
            <v>6.9745762711864412</v>
          </cell>
          <cell r="G270">
            <v>0.13</v>
          </cell>
        </row>
        <row r="271">
          <cell r="A271" t="str">
            <v>TE004</v>
          </cell>
          <cell r="B271" t="str">
            <v>Tee 1/8"x1 1/2"</v>
          </cell>
          <cell r="C271">
            <v>11.904999999999999</v>
          </cell>
          <cell r="D271">
            <v>8.7288135593220346</v>
          </cell>
          <cell r="E271">
            <v>1.9841666666666666</v>
          </cell>
          <cell r="F271">
            <v>8.7288135593220346</v>
          </cell>
          <cell r="G271">
            <v>0.152</v>
          </cell>
        </row>
        <row r="272">
          <cell r="A272" t="str">
            <v>TE005</v>
          </cell>
          <cell r="B272" t="str">
            <v>Tee 3/16"x1 1/2"</v>
          </cell>
          <cell r="C272">
            <v>16.669</v>
          </cell>
          <cell r="D272">
            <v>14.305084745762711</v>
          </cell>
          <cell r="E272">
            <v>2.7781666666666669</v>
          </cell>
          <cell r="F272">
            <v>14.305084745762711</v>
          </cell>
          <cell r="G272">
            <v>0.16</v>
          </cell>
        </row>
        <row r="273">
          <cell r="A273" t="str">
            <v>TE006</v>
          </cell>
          <cell r="B273" t="str">
            <v>Tee 1/4"x2"</v>
          </cell>
          <cell r="C273">
            <v>28.571000000000002</v>
          </cell>
          <cell r="D273">
            <v>24.525423728813561</v>
          </cell>
          <cell r="E273">
            <v>4.7618333333333336</v>
          </cell>
          <cell r="F273">
            <v>24.525423728813561</v>
          </cell>
          <cell r="G273">
            <v>0.20319999999999999</v>
          </cell>
        </row>
        <row r="274">
          <cell r="B274" t="str">
            <v>TUBOS CUADRADOS</v>
          </cell>
        </row>
        <row r="275">
          <cell r="A275" t="str">
            <v>TC001</v>
          </cell>
          <cell r="B275" t="str">
            <v>Tubo cuadrado 1/2"x 1,0 mm</v>
          </cell>
          <cell r="C275">
            <v>2.3199999999999998</v>
          </cell>
          <cell r="D275">
            <v>1.9406779661016951</v>
          </cell>
          <cell r="E275">
            <v>0.38666666666666666</v>
          </cell>
          <cell r="F275">
            <v>1.9406779661016951</v>
          </cell>
          <cell r="G275">
            <v>5.0799999999999998E-2</v>
          </cell>
        </row>
        <row r="276">
          <cell r="A276" t="str">
            <v>TC002</v>
          </cell>
          <cell r="B276" t="str">
            <v>Tubo cuadrado 1/2"x 1.5 mm</v>
          </cell>
          <cell r="C276">
            <v>3.42</v>
          </cell>
          <cell r="D276">
            <v>2.7881355932203391</v>
          </cell>
          <cell r="E276">
            <v>0.56999999999999995</v>
          </cell>
          <cell r="F276">
            <v>2.7881355932203391</v>
          </cell>
          <cell r="G276">
            <v>5.0799999999999998E-2</v>
          </cell>
        </row>
        <row r="277">
          <cell r="A277" t="str">
            <v>TC003</v>
          </cell>
          <cell r="B277" t="str">
            <v>Tubo cuadrado 1/2"x 2.0 mm</v>
          </cell>
          <cell r="C277">
            <v>4.51</v>
          </cell>
          <cell r="D277">
            <v>3.6271186440677972</v>
          </cell>
          <cell r="E277">
            <v>0.75166666666666659</v>
          </cell>
          <cell r="F277">
            <v>3.6271186440677972</v>
          </cell>
          <cell r="G277">
            <v>5.0799999999999998E-2</v>
          </cell>
        </row>
        <row r="278">
          <cell r="A278" t="str">
            <v>TC004</v>
          </cell>
          <cell r="B278" t="str">
            <v>Tubo cuadrado 5/8"x 1,0 mm</v>
          </cell>
          <cell r="C278">
            <v>2.8330000000000002</v>
          </cell>
          <cell r="D278">
            <v>2.2796610169491527</v>
          </cell>
          <cell r="E278">
            <v>0.47216666666666668</v>
          </cell>
          <cell r="F278">
            <v>2.2796610169491527</v>
          </cell>
          <cell r="G278">
            <v>6.3500000000000001E-2</v>
          </cell>
        </row>
        <row r="279">
          <cell r="A279" t="str">
            <v>TC005</v>
          </cell>
          <cell r="B279" t="str">
            <v>Tubo cuadrado 5/8"x 1.5 mm</v>
          </cell>
          <cell r="C279">
            <v>4.2430000000000003</v>
          </cell>
          <cell r="D279">
            <v>3.3983050847457625</v>
          </cell>
          <cell r="E279">
            <v>0.70716666666666672</v>
          </cell>
          <cell r="F279">
            <v>3.3983050847457625</v>
          </cell>
          <cell r="G279">
            <v>6.3500000000000001E-2</v>
          </cell>
        </row>
        <row r="280">
          <cell r="A280" t="str">
            <v>TC006</v>
          </cell>
          <cell r="B280" t="str">
            <v>Tubo cuadrado 5/8"x 2.0 mm</v>
          </cell>
          <cell r="C280">
            <v>5.46</v>
          </cell>
          <cell r="D280">
            <v>4.4576271186440675</v>
          </cell>
          <cell r="E280">
            <v>0.91</v>
          </cell>
          <cell r="F280">
            <v>4.4576271186440675</v>
          </cell>
          <cell r="G280">
            <v>6.3500000000000001E-2</v>
          </cell>
        </row>
        <row r="281">
          <cell r="A281" t="str">
            <v>TC007</v>
          </cell>
          <cell r="B281" t="str">
            <v>Tubo cuadrado 3/4"x 1,0 mm</v>
          </cell>
          <cell r="C281">
            <v>3.7759999999999998</v>
          </cell>
          <cell r="D281">
            <v>3.0593220338983049</v>
          </cell>
          <cell r="E281">
            <v>0.6293333333333333</v>
          </cell>
          <cell r="F281">
            <v>3.0593220338983049</v>
          </cell>
          <cell r="G281">
            <v>7.619999999999999E-2</v>
          </cell>
        </row>
        <row r="282">
          <cell r="A282" t="str">
            <v>TC008</v>
          </cell>
          <cell r="B282" t="str">
            <v>Tubo cuadrado 3/4"x 1.5 mm</v>
          </cell>
          <cell r="C282">
            <v>5.617</v>
          </cell>
          <cell r="D282">
            <v>4.5677966101694913</v>
          </cell>
          <cell r="E282">
            <v>0.9361666666666667</v>
          </cell>
          <cell r="F282">
            <v>4.5677966101694913</v>
          </cell>
          <cell r="G282">
            <v>7.619999999999999E-2</v>
          </cell>
        </row>
        <row r="283">
          <cell r="A283" t="str">
            <v>TC009</v>
          </cell>
          <cell r="B283" t="str">
            <v>Tubo cuadrado 3/4"x 2.0 mm</v>
          </cell>
          <cell r="C283">
            <v>7.5439999999999996</v>
          </cell>
          <cell r="D283">
            <v>6.5254237288135597</v>
          </cell>
          <cell r="E283">
            <v>1.2573333333333332</v>
          </cell>
          <cell r="F283">
            <v>6.5254237288135597</v>
          </cell>
          <cell r="G283">
            <v>7.619999999999999E-2</v>
          </cell>
        </row>
        <row r="284">
          <cell r="A284" t="str">
            <v>TC010</v>
          </cell>
          <cell r="B284" t="str">
            <v>Tubo cuadrado 1"x 1,0 mm</v>
          </cell>
          <cell r="C284">
            <v>4.7220000000000004</v>
          </cell>
          <cell r="D284">
            <v>3.8305084745762712</v>
          </cell>
          <cell r="E284">
            <v>0.78700000000000003</v>
          </cell>
          <cell r="F284">
            <v>3.8305084745762712</v>
          </cell>
          <cell r="G284">
            <v>0.1016</v>
          </cell>
        </row>
        <row r="285">
          <cell r="A285" t="str">
            <v>TC011</v>
          </cell>
          <cell r="B285" t="str">
            <v>Tubo cuadrado 1"x 1.5 mm</v>
          </cell>
          <cell r="C285">
            <v>7.0119999999999996</v>
          </cell>
          <cell r="D285">
            <v>5.7033898305084749</v>
          </cell>
          <cell r="E285">
            <v>1.1686666666666665</v>
          </cell>
          <cell r="F285">
            <v>5.7033898305084749</v>
          </cell>
          <cell r="G285">
            <v>0.1016</v>
          </cell>
        </row>
        <row r="286">
          <cell r="A286" t="str">
            <v>TC012</v>
          </cell>
          <cell r="B286" t="str">
            <v>Tubo cuadrado 1"x 2.0 mm</v>
          </cell>
          <cell r="C286">
            <v>9.2270000000000003</v>
          </cell>
          <cell r="D286">
            <v>7.5677966101694913</v>
          </cell>
          <cell r="E286">
            <v>1.5378333333333334</v>
          </cell>
          <cell r="F286">
            <v>7.5677966101694913</v>
          </cell>
          <cell r="G286">
            <v>0.1016</v>
          </cell>
        </row>
        <row r="287">
          <cell r="A287" t="str">
            <v>TC013</v>
          </cell>
          <cell r="B287" t="str">
            <v>Tubo cuadrado 1 1/4"x 1,0 mm</v>
          </cell>
          <cell r="C287">
            <v>6.1340000000000003</v>
          </cell>
          <cell r="D287">
            <v>5.0000000000000009</v>
          </cell>
          <cell r="E287">
            <v>1.0223333333333333</v>
          </cell>
          <cell r="F287">
            <v>5.0000000000000009</v>
          </cell>
          <cell r="G287">
            <v>0.127</v>
          </cell>
        </row>
        <row r="288">
          <cell r="A288" t="str">
            <v>TC014</v>
          </cell>
          <cell r="B288" t="str">
            <v>Tubo cuadrado 1 1/4"x 1.5 mm</v>
          </cell>
          <cell r="C288">
            <v>8.73</v>
          </cell>
          <cell r="D288">
            <v>8.1779661016949152</v>
          </cell>
          <cell r="E288">
            <v>1.4550000000000001</v>
          </cell>
          <cell r="F288">
            <v>8.1779661016949152</v>
          </cell>
          <cell r="G288">
            <v>0.127</v>
          </cell>
        </row>
        <row r="289">
          <cell r="A289" t="str">
            <v>TC015</v>
          </cell>
          <cell r="B289" t="str">
            <v>Tubo cuadrado 1 1/4"x 2.0 mm</v>
          </cell>
          <cell r="C289">
            <v>11.5</v>
          </cell>
          <cell r="D289">
            <v>10.898305084745763</v>
          </cell>
          <cell r="E289">
            <v>1.9166666666666667</v>
          </cell>
          <cell r="F289">
            <v>10.898305084745763</v>
          </cell>
          <cell r="G289">
            <v>0.127</v>
          </cell>
        </row>
        <row r="290">
          <cell r="A290" t="str">
            <v>TC016</v>
          </cell>
          <cell r="B290" t="str">
            <v>Tubo cuadrado 1 1/2"x 1,0 mm</v>
          </cell>
          <cell r="C290">
            <v>7.17</v>
          </cell>
          <cell r="D290">
            <v>6.3644067796610173</v>
          </cell>
          <cell r="E290">
            <v>1.1950000000000001</v>
          </cell>
          <cell r="F290">
            <v>6.3644067796610173</v>
          </cell>
          <cell r="G290">
            <v>0.15239999999999998</v>
          </cell>
        </row>
        <row r="291">
          <cell r="A291" t="str">
            <v>TC017</v>
          </cell>
          <cell r="B291" t="str">
            <v>Tubo cuadrado 1 1/2"x 1.5 mm</v>
          </cell>
          <cell r="C291">
            <v>10.68</v>
          </cell>
          <cell r="D291">
            <v>9.5254237288135606</v>
          </cell>
          <cell r="E291">
            <v>1.78</v>
          </cell>
          <cell r="F291">
            <v>9.5254237288135606</v>
          </cell>
          <cell r="G291">
            <v>0.15239999999999998</v>
          </cell>
        </row>
        <row r="292">
          <cell r="A292" t="str">
            <v>TC018</v>
          </cell>
          <cell r="B292" t="str">
            <v>Tubo cuadrado 1 1/2"x 2.0 mm</v>
          </cell>
          <cell r="C292">
            <v>14</v>
          </cell>
          <cell r="D292">
            <v>12.686440677966102</v>
          </cell>
          <cell r="E292">
            <v>2.3333333333333335</v>
          </cell>
          <cell r="F292">
            <v>12.686440677966102</v>
          </cell>
          <cell r="G292">
            <v>0.15239999999999998</v>
          </cell>
        </row>
        <row r="293">
          <cell r="A293" t="str">
            <v>TC019</v>
          </cell>
          <cell r="B293" t="str">
            <v>Tubo cuadrado 2"x 1.5 mm</v>
          </cell>
          <cell r="C293">
            <v>14.138</v>
          </cell>
          <cell r="D293">
            <v>11.694915254237289</v>
          </cell>
          <cell r="E293">
            <v>2.3563333333333332</v>
          </cell>
          <cell r="F293">
            <v>11.694915254237289</v>
          </cell>
          <cell r="G293">
            <v>0.20319999999999999</v>
          </cell>
        </row>
        <row r="294">
          <cell r="A294" t="str">
            <v>TC020</v>
          </cell>
          <cell r="B294" t="str">
            <v>Tubo cuadrado 2"x 2,0 mm</v>
          </cell>
          <cell r="C294">
            <v>18.64</v>
          </cell>
          <cell r="D294">
            <v>14.539830508474575</v>
          </cell>
          <cell r="E294">
            <v>3.1066666666666669</v>
          </cell>
          <cell r="F294">
            <v>14.539830508474575</v>
          </cell>
          <cell r="G294">
            <v>0.20319999999999999</v>
          </cell>
        </row>
        <row r="295">
          <cell r="A295" t="str">
            <v>TC021</v>
          </cell>
          <cell r="B295" t="str">
            <v>Tubo cuadrado 2"x 3,0 mm</v>
          </cell>
          <cell r="C295">
            <v>22.5</v>
          </cell>
          <cell r="D295">
            <v>18.262711864406782</v>
          </cell>
          <cell r="E295">
            <v>3.75</v>
          </cell>
          <cell r="F295">
            <v>18.262711864406782</v>
          </cell>
          <cell r="G295">
            <v>0.20319999999999999</v>
          </cell>
        </row>
        <row r="296">
          <cell r="A296" t="str">
            <v>TC022</v>
          </cell>
          <cell r="B296" t="str">
            <v>Tubo cuadrado 3"x 2.50 mm</v>
          </cell>
          <cell r="C296">
            <v>35.4</v>
          </cell>
          <cell r="D296">
            <v>22.429661016949154</v>
          </cell>
          <cell r="E296">
            <v>5.8999999999999995</v>
          </cell>
          <cell r="F296">
            <v>22.429661016949154</v>
          </cell>
          <cell r="G296">
            <v>0.30479999999999996</v>
          </cell>
        </row>
        <row r="297">
          <cell r="A297" t="str">
            <v>TC023</v>
          </cell>
          <cell r="B297" t="str">
            <v>Tubo cuadrado 3"x 3,00 mm</v>
          </cell>
          <cell r="C297">
            <v>42.2</v>
          </cell>
          <cell r="D297">
            <v>27.944491525423729</v>
          </cell>
          <cell r="E297">
            <v>7.0333333333333341</v>
          </cell>
          <cell r="F297">
            <v>27.944491525423729</v>
          </cell>
          <cell r="G297">
            <v>0.30479999999999996</v>
          </cell>
        </row>
        <row r="298">
          <cell r="A298" t="str">
            <v>TC024</v>
          </cell>
          <cell r="B298" t="str">
            <v>Tubo cuadrado 4"x 2.50 mm</v>
          </cell>
          <cell r="C298">
            <v>47.28</v>
          </cell>
          <cell r="D298">
            <v>25.392372881355932</v>
          </cell>
          <cell r="E298">
            <v>7.88</v>
          </cell>
          <cell r="F298">
            <v>25.392372881355932</v>
          </cell>
          <cell r="G298">
            <v>0.40639999999999998</v>
          </cell>
        </row>
        <row r="299">
          <cell r="A299" t="str">
            <v>TC025</v>
          </cell>
          <cell r="B299" t="str">
            <v>Tubo cuadrado 4"x 3,00 mm</v>
          </cell>
          <cell r="C299">
            <v>56.5</v>
          </cell>
          <cell r="D299">
            <v>38.59576271186441</v>
          </cell>
          <cell r="E299">
            <v>9.4166666666666661</v>
          </cell>
          <cell r="F299">
            <v>38.59576271186441</v>
          </cell>
          <cell r="G299">
            <v>0.40639999999999998</v>
          </cell>
        </row>
        <row r="300">
          <cell r="B300" t="str">
            <v>TUBOS ELECTROSOLDADOS RECTANG.</v>
          </cell>
        </row>
        <row r="301">
          <cell r="A301" t="str">
            <v>TR001</v>
          </cell>
          <cell r="B301" t="str">
            <v>Tubo rectangular 1 1/2"x 1/2"x 1,0 mm</v>
          </cell>
          <cell r="C301">
            <v>4.7220000000000004</v>
          </cell>
          <cell r="D301">
            <v>3.8305084745762712</v>
          </cell>
          <cell r="E301">
            <v>0.78700000000000003</v>
          </cell>
          <cell r="F301">
            <v>3.8305084745762712</v>
          </cell>
          <cell r="G301">
            <v>0.1016</v>
          </cell>
        </row>
        <row r="302">
          <cell r="A302" t="str">
            <v>TR002</v>
          </cell>
          <cell r="B302" t="str">
            <v>Tubo rectangular 1 1/2"x 1/2"x 1,5 mm</v>
          </cell>
          <cell r="C302">
            <v>7.0119999999999996</v>
          </cell>
          <cell r="D302">
            <v>5.7033898305084749</v>
          </cell>
          <cell r="E302">
            <v>1.1686666666666665</v>
          </cell>
          <cell r="F302">
            <v>5.7033898305084749</v>
          </cell>
          <cell r="G302">
            <v>0.1016</v>
          </cell>
        </row>
        <row r="303">
          <cell r="A303" t="str">
            <v>TR003</v>
          </cell>
          <cell r="B303" t="str">
            <v>Tubo rectangular 1 1/2"x 1/2"x 2,0 mm</v>
          </cell>
          <cell r="C303">
            <v>9.43</v>
          </cell>
          <cell r="D303">
            <v>7.5677966101694913</v>
          </cell>
          <cell r="E303">
            <v>1.5716666666666665</v>
          </cell>
          <cell r="F303">
            <v>7.5677966101694913</v>
          </cell>
          <cell r="G303">
            <v>0.1016</v>
          </cell>
        </row>
        <row r="304">
          <cell r="A304" t="str">
            <v>TR004</v>
          </cell>
          <cell r="B304" t="str">
            <v>Tubo rectangular 2"x 1"x 1,0 mm</v>
          </cell>
          <cell r="C304">
            <v>7.5449999999999999</v>
          </cell>
          <cell r="D304">
            <v>5.7627118644067794</v>
          </cell>
          <cell r="E304">
            <v>1.2575000000000001</v>
          </cell>
          <cell r="F304">
            <v>5.7627118644067794</v>
          </cell>
          <cell r="G304">
            <v>0.15239999999999998</v>
          </cell>
        </row>
        <row r="305">
          <cell r="A305" t="str">
            <v>TR005</v>
          </cell>
          <cell r="B305" t="str">
            <v>Tubo rectangular 2"x 1"x 1,5 mm</v>
          </cell>
          <cell r="C305">
            <v>11.311</v>
          </cell>
          <cell r="D305">
            <v>8.6525423728813564</v>
          </cell>
          <cell r="E305">
            <v>1.8851666666666667</v>
          </cell>
          <cell r="F305">
            <v>8.6525423728813564</v>
          </cell>
          <cell r="G305">
            <v>0.15239999999999998</v>
          </cell>
        </row>
        <row r="306">
          <cell r="A306" t="str">
            <v>TR006</v>
          </cell>
          <cell r="B306" t="str">
            <v>Tubo rectangular 2"x 1"x 2,0 mm</v>
          </cell>
          <cell r="C306">
            <v>14.930999999999999</v>
          </cell>
          <cell r="D306">
            <v>11.516949152542374</v>
          </cell>
          <cell r="E306">
            <v>2.4884999999999997</v>
          </cell>
          <cell r="F306">
            <v>11.516949152542374</v>
          </cell>
          <cell r="G306">
            <v>0.15239999999999998</v>
          </cell>
        </row>
        <row r="307">
          <cell r="A307" t="str">
            <v>TR007</v>
          </cell>
          <cell r="B307" t="str">
            <v>Tubo rectangular 40x60x2,0 mm</v>
          </cell>
          <cell r="C307">
            <v>18.638000000000002</v>
          </cell>
          <cell r="D307">
            <v>15.305084745762711</v>
          </cell>
          <cell r="E307">
            <v>3.1063333333333336</v>
          </cell>
          <cell r="F307">
            <v>15.305084745762711</v>
          </cell>
          <cell r="G307">
            <v>0.2</v>
          </cell>
        </row>
        <row r="308">
          <cell r="A308" t="str">
            <v>TR008</v>
          </cell>
          <cell r="B308" t="str">
            <v>Tubo rectangular 40x80x1.5 mm</v>
          </cell>
          <cell r="C308">
            <v>16.960999999999999</v>
          </cell>
          <cell r="D308">
            <v>14.042372881355933</v>
          </cell>
          <cell r="E308">
            <v>2.8268333333333331</v>
          </cell>
          <cell r="F308">
            <v>14.042372881355933</v>
          </cell>
          <cell r="G308">
            <v>0.24</v>
          </cell>
        </row>
        <row r="309">
          <cell r="A309" t="str">
            <v>TR009</v>
          </cell>
          <cell r="B309" t="str">
            <v>Tubo rectangular 40x80x2,0 mm</v>
          </cell>
          <cell r="C309">
            <v>22.620999999999999</v>
          </cell>
          <cell r="D309">
            <v>18.686440677966104</v>
          </cell>
          <cell r="E309">
            <v>3.7701666666666664</v>
          </cell>
          <cell r="F309">
            <v>18.686440677966104</v>
          </cell>
          <cell r="G309">
            <v>0.24</v>
          </cell>
        </row>
        <row r="310">
          <cell r="A310" t="str">
            <v>TR010</v>
          </cell>
          <cell r="B310" t="str">
            <v>Tubo rectangular 50x70x2,0 mm</v>
          </cell>
          <cell r="C310">
            <v>22.62</v>
          </cell>
          <cell r="D310">
            <v>18.686440677966104</v>
          </cell>
          <cell r="E310">
            <v>3.77</v>
          </cell>
          <cell r="F310">
            <v>18.686440677966104</v>
          </cell>
          <cell r="G310">
            <v>0.24000000000000002</v>
          </cell>
        </row>
        <row r="311">
          <cell r="A311" t="str">
            <v>TR011</v>
          </cell>
          <cell r="B311" t="str">
            <v>Tubo rectangular 100x50x2,5 mm</v>
          </cell>
          <cell r="C311">
            <v>33.36</v>
          </cell>
          <cell r="D311">
            <v>23.720338983050848</v>
          </cell>
          <cell r="E311">
            <v>5.56</v>
          </cell>
          <cell r="F311">
            <v>23.720338983050848</v>
          </cell>
          <cell r="G311">
            <v>0.30000000000000004</v>
          </cell>
        </row>
        <row r="312">
          <cell r="A312" t="str">
            <v>TR012</v>
          </cell>
          <cell r="B312" t="str">
            <v>Tubo rectangular 100x50x3,0 mm</v>
          </cell>
          <cell r="C312">
            <v>39.6</v>
          </cell>
          <cell r="D312">
            <v>28.245762711864408</v>
          </cell>
          <cell r="E312">
            <v>6.6000000000000005</v>
          </cell>
          <cell r="F312">
            <v>28.245762711864408</v>
          </cell>
          <cell r="G312">
            <v>0.30000000000000004</v>
          </cell>
        </row>
        <row r="313">
          <cell r="A313" t="str">
            <v>TR013</v>
          </cell>
          <cell r="B313" t="str">
            <v>Tubo rectangular 150x50x2,5 mm</v>
          </cell>
          <cell r="C313">
            <v>45.12</v>
          </cell>
          <cell r="D313">
            <v>33.652542372881356</v>
          </cell>
          <cell r="E313">
            <v>7.52</v>
          </cell>
          <cell r="F313">
            <v>33.652542372881356</v>
          </cell>
          <cell r="G313">
            <v>0.4</v>
          </cell>
        </row>
        <row r="314">
          <cell r="A314" t="str">
            <v>TR014</v>
          </cell>
          <cell r="B314" t="str">
            <v>Tubo rectangular 150x50x3,0 mm</v>
          </cell>
          <cell r="C314">
            <v>50.42</v>
          </cell>
          <cell r="D314">
            <v>40.288135593220339</v>
          </cell>
          <cell r="E314">
            <v>8.4033333333333342</v>
          </cell>
          <cell r="F314">
            <v>40.288135593220339</v>
          </cell>
          <cell r="G314">
            <v>0.4</v>
          </cell>
        </row>
        <row r="315">
          <cell r="A315" t="str">
            <v>TR015</v>
          </cell>
          <cell r="B315" t="str">
            <v>Tubo rectangular 150x50x4,0 mm</v>
          </cell>
          <cell r="C315">
            <v>68.388000000000005</v>
          </cell>
          <cell r="D315">
            <v>52.711864406779668</v>
          </cell>
          <cell r="E315">
            <v>11.398000000000001</v>
          </cell>
          <cell r="F315">
            <v>52.711864406779668</v>
          </cell>
          <cell r="G315">
            <v>0.4</v>
          </cell>
        </row>
        <row r="316">
          <cell r="B316" t="str">
            <v>TUBO CUADRADO INOXIDABLE</v>
          </cell>
        </row>
        <row r="317">
          <cell r="A317" t="str">
            <v>TCI001</v>
          </cell>
          <cell r="B317" t="str">
            <v>Tubo cuadrado inox 304 30mm</v>
          </cell>
        </row>
        <row r="318">
          <cell r="B318" t="str">
            <v>TUBOS INOXIDABLES</v>
          </cell>
        </row>
        <row r="319">
          <cell r="A319" t="str">
            <v>TI001</v>
          </cell>
          <cell r="B319" t="str">
            <v>Tubo de acero inox 1/2"</v>
          </cell>
        </row>
        <row r="320">
          <cell r="A320" t="str">
            <v>TI002</v>
          </cell>
          <cell r="B320" t="str">
            <v>Tubo 3/4" C304 Sch40 con costura e=3.37 mm</v>
          </cell>
        </row>
        <row r="321">
          <cell r="A321" t="str">
            <v>TI003</v>
          </cell>
          <cell r="B321" t="str">
            <v>Tubo 3/4" C304 Sch40 sin costura e=3.37 mm</v>
          </cell>
        </row>
        <row r="322">
          <cell r="A322" t="str">
            <v>TI004</v>
          </cell>
          <cell r="B322" t="str">
            <v>Tubo 3/4" C316 Sch40 con costura e=3.37 mm</v>
          </cell>
        </row>
        <row r="323">
          <cell r="A323" t="str">
            <v>TI005</v>
          </cell>
          <cell r="B323" t="str">
            <v>Tubo 3/4" C316 Sch40 sin costura e=3.37 mm</v>
          </cell>
        </row>
        <row r="324">
          <cell r="A324" t="str">
            <v>TI006</v>
          </cell>
          <cell r="B324" t="str">
            <v>Tubo 3/4" ODE x 1.0 mm</v>
          </cell>
        </row>
        <row r="325">
          <cell r="B325" t="str">
            <v>TUBOS SCH 40</v>
          </cell>
        </row>
        <row r="326">
          <cell r="A326" t="str">
            <v>SCH401</v>
          </cell>
          <cell r="B326" t="str">
            <v>Tubo de acero SCH 40 1/4"</v>
          </cell>
          <cell r="E326">
            <v>0</v>
          </cell>
          <cell r="G326">
            <v>1.9949160000000001E-2</v>
          </cell>
        </row>
        <row r="327">
          <cell r="A327" t="str">
            <v>SCH402</v>
          </cell>
          <cell r="B327" t="str">
            <v>Tubo de acero SCH 40 3/8"</v>
          </cell>
          <cell r="E327">
            <v>0</v>
          </cell>
          <cell r="G327">
            <v>2.9923739999999994E-2</v>
          </cell>
        </row>
        <row r="328">
          <cell r="A328" t="str">
            <v>SCH403</v>
          </cell>
          <cell r="B328" t="str">
            <v>Tubo de acero SCH 40 1/2"</v>
          </cell>
          <cell r="E328">
            <v>1.26735</v>
          </cell>
          <cell r="G328">
            <v>3.9898320000000001E-2</v>
          </cell>
        </row>
        <row r="329">
          <cell r="A329" t="str">
            <v>SCH404</v>
          </cell>
          <cell r="B329" t="str">
            <v>Tubo de acero SCH 40 3/4"</v>
          </cell>
          <cell r="E329">
            <v>1.68483</v>
          </cell>
          <cell r="G329">
            <v>5.9847479999999988E-2</v>
          </cell>
        </row>
        <row r="330">
          <cell r="A330" t="str">
            <v>SCH405</v>
          </cell>
          <cell r="B330" t="str">
            <v>Tubo de acero SCH 40 1"</v>
          </cell>
          <cell r="E330">
            <v>2.50488</v>
          </cell>
          <cell r="G330">
            <v>7.9796640000000002E-2</v>
          </cell>
        </row>
        <row r="331">
          <cell r="A331" t="str">
            <v>SCH406</v>
          </cell>
          <cell r="B331" t="str">
            <v>Tubo de acero SCH 40 1 1/4"</v>
          </cell>
          <cell r="E331">
            <v>3.3845700000000001</v>
          </cell>
          <cell r="G331">
            <v>9.9745800000000009E-2</v>
          </cell>
        </row>
        <row r="332">
          <cell r="A332" t="str">
            <v>SCH407</v>
          </cell>
          <cell r="B332" t="str">
            <v>Tubo de acero SCH 40 1 1/2"</v>
          </cell>
          <cell r="E332">
            <v>4.0555200000000005</v>
          </cell>
          <cell r="G332">
            <v>0.11969495999999998</v>
          </cell>
        </row>
        <row r="333">
          <cell r="A333" t="str">
            <v>SCH408</v>
          </cell>
          <cell r="B333" t="str">
            <v>Tubo de acero SCH 40 2"</v>
          </cell>
          <cell r="C333">
            <v>33.195090909090908</v>
          </cell>
          <cell r="D333">
            <v>36.599999999999994</v>
          </cell>
          <cell r="E333">
            <v>5.4418181818181814</v>
          </cell>
          <cell r="F333">
            <v>36.599999999999994</v>
          </cell>
          <cell r="G333">
            <v>0.15959328</v>
          </cell>
        </row>
        <row r="334">
          <cell r="A334" t="str">
            <v>SCH409</v>
          </cell>
          <cell r="B334" t="str">
            <v>Tubo de acero SCH 40 2 1/2"</v>
          </cell>
          <cell r="C334">
            <v>52.657418181818173</v>
          </cell>
          <cell r="D334">
            <v>52.459999999999994</v>
          </cell>
          <cell r="E334">
            <v>8.6323636363636354</v>
          </cell>
          <cell r="F334">
            <v>52.459999999999994</v>
          </cell>
          <cell r="G334">
            <v>0.19949160000000002</v>
          </cell>
        </row>
        <row r="335">
          <cell r="A335" t="str">
            <v>SCH410</v>
          </cell>
          <cell r="B335" t="str">
            <v>Tubo de acero SCH 40 3"</v>
          </cell>
          <cell r="C335">
            <v>68.93665454545453</v>
          </cell>
          <cell r="D335">
            <v>65.88</v>
          </cell>
          <cell r="E335">
            <v>11.301090909090908</v>
          </cell>
          <cell r="F335">
            <v>65.88</v>
          </cell>
          <cell r="G335">
            <v>0.23938991999999995</v>
          </cell>
        </row>
        <row r="336">
          <cell r="A336" t="str">
            <v>SCH411</v>
          </cell>
          <cell r="B336" t="str">
            <v>Tubo de acero SCH 40 3 1/2"</v>
          </cell>
          <cell r="C336">
            <v>81.493090909090895</v>
          </cell>
          <cell r="E336">
            <v>13.582181818181816</v>
          </cell>
          <cell r="F336">
            <v>0</v>
          </cell>
          <cell r="G336">
            <v>0.27928823999999997</v>
          </cell>
        </row>
        <row r="337">
          <cell r="A337" t="str">
            <v>SCH412</v>
          </cell>
          <cell r="B337" t="str">
            <v>Tubo de acero SCH 40 4"</v>
          </cell>
          <cell r="C337">
            <v>98.130145454545428</v>
          </cell>
          <cell r="D337">
            <v>103.69999999999999</v>
          </cell>
          <cell r="E337">
            <v>16.086909090909089</v>
          </cell>
          <cell r="F337">
            <v>103.69999999999999</v>
          </cell>
          <cell r="G337">
            <v>0.31918656000000001</v>
          </cell>
        </row>
        <row r="338">
          <cell r="A338" t="str">
            <v>SCH413</v>
          </cell>
          <cell r="B338" t="str">
            <v>Tubo de acero SCH 40 5"</v>
          </cell>
          <cell r="E338">
            <v>21.783799999999999</v>
          </cell>
          <cell r="G338">
            <v>0.39898320000000004</v>
          </cell>
        </row>
        <row r="339">
          <cell r="A339" t="str">
            <v>SCH414</v>
          </cell>
          <cell r="B339" t="str">
            <v>Tubo de acero SCH 40 6"</v>
          </cell>
          <cell r="E339">
            <v>28.2653</v>
          </cell>
          <cell r="G339">
            <v>0.4787798399999999</v>
          </cell>
        </row>
        <row r="340">
          <cell r="A340" t="str">
            <v>SCH415</v>
          </cell>
          <cell r="B340" t="str">
            <v>Tubo de acero SCH 40 8"</v>
          </cell>
          <cell r="E340">
            <v>42.539500000000004</v>
          </cell>
          <cell r="G340">
            <v>0.63837312000000002</v>
          </cell>
        </row>
        <row r="341">
          <cell r="A341" t="str">
            <v>SCH416</v>
          </cell>
          <cell r="B341" t="str">
            <v>Tubo de acero SCH 40 10"</v>
          </cell>
          <cell r="E341">
            <v>60.315199999999997</v>
          </cell>
          <cell r="G341">
            <v>0.79796640000000008</v>
          </cell>
        </row>
        <row r="342">
          <cell r="A342" t="str">
            <v>SCH417</v>
          </cell>
          <cell r="B342" t="str">
            <v>Tubo de acero SCH 40  12"</v>
          </cell>
          <cell r="E342">
            <v>73.844400000000007</v>
          </cell>
          <cell r="G342">
            <v>0.9575596799999998</v>
          </cell>
        </row>
        <row r="343">
          <cell r="B343" t="str">
            <v>TUBOS SCH 80</v>
          </cell>
        </row>
        <row r="344">
          <cell r="A344" t="str">
            <v>SCH801</v>
          </cell>
          <cell r="B344" t="str">
            <v>Tubo de acero SCH 80 3/4"</v>
          </cell>
          <cell r="E344">
            <v>2.1903000000000001</v>
          </cell>
          <cell r="G344">
            <v>5.9847479999999988E-2</v>
          </cell>
        </row>
        <row r="345">
          <cell r="A345" t="str">
            <v>SCH802</v>
          </cell>
          <cell r="B345" t="str">
            <v>Tubo de acero SCH 80  2 "</v>
          </cell>
          <cell r="E345">
            <v>7.4797999999999991</v>
          </cell>
          <cell r="G345">
            <v>0.15959328</v>
          </cell>
        </row>
        <row r="346">
          <cell r="A346" t="str">
            <v>SCH803</v>
          </cell>
          <cell r="B346" t="str">
            <v>Tubo de acero SCH 80  3 "</v>
          </cell>
          <cell r="E346">
            <v>15.272499999999999</v>
          </cell>
          <cell r="G346">
            <v>0.23938991999999995</v>
          </cell>
        </row>
        <row r="347">
          <cell r="A347" t="str">
            <v>SCH804</v>
          </cell>
          <cell r="B347" t="str">
            <v>Tubo de acero SCH 80  4 "</v>
          </cell>
          <cell r="E347">
            <v>22.3202</v>
          </cell>
          <cell r="G347">
            <v>0.31918656000000001</v>
          </cell>
        </row>
        <row r="348">
          <cell r="A348" t="str">
            <v>SCH805</v>
          </cell>
          <cell r="B348" t="str">
            <v>Tubo de acero SCH 80  5"</v>
          </cell>
          <cell r="E348">
            <v>30.962200000000003</v>
          </cell>
          <cell r="G348">
            <v>0.39898320000000004</v>
          </cell>
        </row>
        <row r="349">
          <cell r="A349" t="str">
            <v>SCH806</v>
          </cell>
          <cell r="B349" t="str">
            <v>Tubo de acero SCH 80  6"</v>
          </cell>
          <cell r="E349">
            <v>42.569299999999998</v>
          </cell>
          <cell r="G349">
            <v>0.4787798399999999</v>
          </cell>
        </row>
        <row r="350">
          <cell r="A350" t="str">
            <v>SCH807</v>
          </cell>
          <cell r="B350" t="str">
            <v>Tubo de acero SCH 80  8"</v>
          </cell>
          <cell r="E350">
            <v>64.6511</v>
          </cell>
          <cell r="G350">
            <v>0.63837312000000002</v>
          </cell>
        </row>
        <row r="351">
          <cell r="A351" t="str">
            <v>SCH808</v>
          </cell>
          <cell r="B351" t="str">
            <v>Tubo de acero SCH 80  10"</v>
          </cell>
          <cell r="E351">
            <v>81.562600000000003</v>
          </cell>
          <cell r="G351">
            <v>0.79796640000000008</v>
          </cell>
        </row>
        <row r="352">
          <cell r="A352" t="str">
            <v>SCH809</v>
          </cell>
          <cell r="B352" t="str">
            <v>Tubo de acero SCH 80  12"</v>
          </cell>
          <cell r="E352">
            <v>97.475800000000007</v>
          </cell>
          <cell r="G352">
            <v>0.9575596799999998</v>
          </cell>
        </row>
        <row r="353">
          <cell r="B353" t="str">
            <v>TUBOS ELECTROSOLDADOS</v>
          </cell>
        </row>
        <row r="354">
          <cell r="A354" t="str">
            <v>TES01</v>
          </cell>
          <cell r="B354" t="str">
            <v>Tubo electrosoldado 1/2" x 0,9mm</v>
          </cell>
          <cell r="C354">
            <v>1.7130000000000001</v>
          </cell>
          <cell r="D354">
            <v>1.3389830508474578</v>
          </cell>
          <cell r="E354">
            <v>0.28550000000000003</v>
          </cell>
          <cell r="F354">
            <v>1.3389830508474578</v>
          </cell>
          <cell r="G354">
            <v>3.9898320000000001E-2</v>
          </cell>
        </row>
        <row r="355">
          <cell r="A355" t="str">
            <v>TES02</v>
          </cell>
          <cell r="B355" t="str">
            <v>Tubo electrosoldado 1/2" x 1.0mm</v>
          </cell>
          <cell r="C355">
            <v>1.895</v>
          </cell>
          <cell r="D355">
            <v>1.5762711864406782</v>
          </cell>
          <cell r="E355">
            <v>0.31583333333333335</v>
          </cell>
          <cell r="F355">
            <v>1.5762711864406782</v>
          </cell>
          <cell r="G355">
            <v>3.9898320000000001E-2</v>
          </cell>
        </row>
        <row r="356">
          <cell r="A356" t="str">
            <v>TES03</v>
          </cell>
          <cell r="B356" t="str">
            <v>Tubo electrosoldado 1/2" x 1.2mm</v>
          </cell>
          <cell r="C356">
            <v>2.2599999999999998</v>
          </cell>
          <cell r="D356">
            <v>1.898305084745763</v>
          </cell>
          <cell r="E356">
            <v>0.37666666666666665</v>
          </cell>
          <cell r="F356">
            <v>1.898305084745763</v>
          </cell>
          <cell r="G356">
            <v>3.9898320000000001E-2</v>
          </cell>
        </row>
        <row r="357">
          <cell r="A357" t="str">
            <v>TES04</v>
          </cell>
          <cell r="B357" t="str">
            <v>Tubo electrosoldado 1/2" x 1.5mm</v>
          </cell>
          <cell r="C357">
            <v>2.7709999999999999</v>
          </cell>
          <cell r="D357">
            <v>2.3305084745762712</v>
          </cell>
          <cell r="E357">
            <v>0.46183333333333332</v>
          </cell>
          <cell r="F357">
            <v>2.3305084745762712</v>
          </cell>
          <cell r="G357">
            <v>3.9898320000000001E-2</v>
          </cell>
        </row>
        <row r="358">
          <cell r="A358" t="str">
            <v>TES05</v>
          </cell>
          <cell r="B358" t="str">
            <v>Tubo electrosoldado 1/2" x 2.0mm</v>
          </cell>
          <cell r="C358">
            <v>3.53</v>
          </cell>
          <cell r="D358">
            <v>2.9406779661016951</v>
          </cell>
          <cell r="E358">
            <v>0.58833333333333326</v>
          </cell>
          <cell r="F358">
            <v>2.9406779661016951</v>
          </cell>
          <cell r="G358">
            <v>3.9898320000000001E-2</v>
          </cell>
        </row>
        <row r="359">
          <cell r="A359" t="str">
            <v>TES06</v>
          </cell>
          <cell r="B359" t="str">
            <v>Tubo electrosoldado 5/8" x 0,9mm</v>
          </cell>
          <cell r="C359">
            <v>2.1379999999999999</v>
          </cell>
          <cell r="D359">
            <v>1.6016949152542372</v>
          </cell>
          <cell r="E359">
            <v>0.35633333333333334</v>
          </cell>
          <cell r="F359">
            <v>1.6016949152542372</v>
          </cell>
          <cell r="G359">
            <v>4.9872900000000005E-2</v>
          </cell>
        </row>
        <row r="360">
          <cell r="A360" t="str">
            <v>TES07</v>
          </cell>
          <cell r="B360" t="str">
            <v>Tubo electrosoldado 5/8" x 1.0mm</v>
          </cell>
          <cell r="C360">
            <v>2.3620000000000001</v>
          </cell>
          <cell r="D360">
            <v>1.9237288135593222</v>
          </cell>
          <cell r="E360">
            <v>0.39366666666666666</v>
          </cell>
          <cell r="F360">
            <v>1.9237288135593222</v>
          </cell>
          <cell r="G360">
            <v>4.9872900000000005E-2</v>
          </cell>
        </row>
        <row r="361">
          <cell r="A361" t="str">
            <v>TES08</v>
          </cell>
          <cell r="B361" t="str">
            <v>Tubo electrosoldado 5/8" x 1.2mm</v>
          </cell>
          <cell r="C361">
            <v>2.8210000000000002</v>
          </cell>
          <cell r="D361">
            <v>2.2966101694915255</v>
          </cell>
          <cell r="E361">
            <v>0.47016666666666668</v>
          </cell>
          <cell r="F361">
            <v>2.2966101694915255</v>
          </cell>
          <cell r="G361">
            <v>4.9872900000000005E-2</v>
          </cell>
        </row>
        <row r="362">
          <cell r="A362" t="str">
            <v>TES09</v>
          </cell>
          <cell r="B362" t="str">
            <v>Tubo electrosoldado 5/8" x 1.5mm</v>
          </cell>
          <cell r="C362">
            <v>3.4710000000000001</v>
          </cell>
          <cell r="D362">
            <v>2.8220338983050848</v>
          </cell>
          <cell r="E362">
            <v>0.57850000000000001</v>
          </cell>
          <cell r="F362">
            <v>2.8220338983050848</v>
          </cell>
          <cell r="G362">
            <v>4.9872900000000005E-2</v>
          </cell>
        </row>
        <row r="363">
          <cell r="A363" t="str">
            <v>TES10</v>
          </cell>
          <cell r="B363" t="str">
            <v>Tubo electrosoldado 3/4" x 0,9mm</v>
          </cell>
          <cell r="C363">
            <v>3.423</v>
          </cell>
          <cell r="D363">
            <v>1.9152542372881356</v>
          </cell>
          <cell r="E363">
            <v>0.57050000000000001</v>
          </cell>
          <cell r="F363">
            <v>1.9152542372881356</v>
          </cell>
          <cell r="G363">
            <v>5.9847479999999988E-2</v>
          </cell>
        </row>
        <row r="364">
          <cell r="A364" t="str">
            <v>TES11</v>
          </cell>
          <cell r="B364" t="str">
            <v>Tubo electrosoldado 3/4" x 1.0mm</v>
          </cell>
          <cell r="C364">
            <v>2.8330000000000002</v>
          </cell>
          <cell r="D364">
            <v>2.2796610169491527</v>
          </cell>
          <cell r="E364">
            <v>0.47216666666666668</v>
          </cell>
          <cell r="F364">
            <v>2.2796610169491527</v>
          </cell>
          <cell r="G364">
            <v>5.9847479999999988E-2</v>
          </cell>
        </row>
        <row r="365">
          <cell r="A365" t="str">
            <v>TES12</v>
          </cell>
          <cell r="B365" t="str">
            <v>Tubo electrosoldado 3/4" x 1.2mm</v>
          </cell>
          <cell r="C365">
            <v>3.3769999999999998</v>
          </cell>
          <cell r="D365">
            <v>2.7203389830508478</v>
          </cell>
          <cell r="E365">
            <v>0.5628333333333333</v>
          </cell>
          <cell r="F365">
            <v>2.7203389830508478</v>
          </cell>
          <cell r="G365">
            <v>5.9847479999999988E-2</v>
          </cell>
        </row>
        <row r="366">
          <cell r="A366" t="str">
            <v>TES13</v>
          </cell>
          <cell r="B366" t="str">
            <v>Tubo electrosoldado 3/4" x 1.5mm</v>
          </cell>
          <cell r="C366">
            <v>4.2</v>
          </cell>
          <cell r="D366">
            <v>3.3983050847457625</v>
          </cell>
          <cell r="E366">
            <v>0.70000000000000007</v>
          </cell>
          <cell r="F366">
            <v>3.3983050847457625</v>
          </cell>
          <cell r="G366">
            <v>5.9847479999999988E-2</v>
          </cell>
        </row>
        <row r="367">
          <cell r="A367" t="str">
            <v>TES14</v>
          </cell>
          <cell r="B367" t="str">
            <v>Tubo electrosoldado 3/4" x 2.0mm</v>
          </cell>
          <cell r="C367">
            <v>5.4580000000000002</v>
          </cell>
          <cell r="D367">
            <v>4.4576271186440675</v>
          </cell>
          <cell r="E367">
            <v>0.90966666666666673</v>
          </cell>
          <cell r="F367">
            <v>4.4576271186440675</v>
          </cell>
          <cell r="G367">
            <v>5.9847479999999988E-2</v>
          </cell>
        </row>
        <row r="368">
          <cell r="A368" t="str">
            <v>TES15</v>
          </cell>
          <cell r="B368" t="str">
            <v>Tubo electrosoldado 7/8" x 0,9mm</v>
          </cell>
          <cell r="C368">
            <v>2.99</v>
          </cell>
          <cell r="D368">
            <v>2.1610169491525424</v>
          </cell>
          <cell r="E368">
            <v>0.49833333333333335</v>
          </cell>
          <cell r="F368">
            <v>2.1610169491525424</v>
          </cell>
          <cell r="G368">
            <v>6.9822059999999991E-2</v>
          </cell>
        </row>
        <row r="369">
          <cell r="A369" t="str">
            <v>TES16</v>
          </cell>
          <cell r="B369" t="str">
            <v>Tubo electrosoldado 7/8" x 1.0mm</v>
          </cell>
          <cell r="C369">
            <v>3.31</v>
          </cell>
          <cell r="D369">
            <v>2.6610169491525428</v>
          </cell>
          <cell r="E369">
            <v>0.55166666666666664</v>
          </cell>
          <cell r="F369">
            <v>2.6610169491525428</v>
          </cell>
          <cell r="G369">
            <v>6.9822059999999991E-2</v>
          </cell>
        </row>
        <row r="370">
          <cell r="A370" t="str">
            <v>TES17</v>
          </cell>
          <cell r="B370" t="str">
            <v>Tubo electrosoldado 7/8" x 1,2mm</v>
          </cell>
          <cell r="C370">
            <v>3.956</v>
          </cell>
          <cell r="D370">
            <v>3.1779661016949152</v>
          </cell>
          <cell r="E370">
            <v>0.65933333333333333</v>
          </cell>
          <cell r="F370">
            <v>3.1779661016949152</v>
          </cell>
          <cell r="G370">
            <v>6.9822059999999991E-2</v>
          </cell>
        </row>
        <row r="371">
          <cell r="A371" t="str">
            <v>TES18</v>
          </cell>
          <cell r="B371" t="str">
            <v>Tubo electrosoldado 7/8" x 1,5mm</v>
          </cell>
          <cell r="C371">
            <v>4.9080000000000004</v>
          </cell>
          <cell r="D371">
            <v>3.9745762711864412</v>
          </cell>
          <cell r="E371">
            <v>0.81800000000000006</v>
          </cell>
          <cell r="F371">
            <v>3.9745762711864412</v>
          </cell>
          <cell r="G371">
            <v>6.9822059999999991E-2</v>
          </cell>
        </row>
        <row r="372">
          <cell r="A372" t="str">
            <v>TES19</v>
          </cell>
          <cell r="B372" t="str">
            <v>Tubo electrosoldado 7/8" x 2,0mm</v>
          </cell>
          <cell r="C372">
            <v>6.45</v>
          </cell>
          <cell r="D372">
            <v>5.2288135593220337</v>
          </cell>
          <cell r="E372">
            <v>1.075</v>
          </cell>
          <cell r="F372">
            <v>5.2288135593220337</v>
          </cell>
          <cell r="G372">
            <v>6.9822059999999991E-2</v>
          </cell>
        </row>
        <row r="373">
          <cell r="A373" t="str">
            <v>TES20</v>
          </cell>
          <cell r="B373" t="str">
            <v>Tubo electrosoldado 1" x 2,0mm</v>
          </cell>
          <cell r="C373">
            <v>7.45</v>
          </cell>
          <cell r="D373">
            <v>6.0847457627118642</v>
          </cell>
          <cell r="E373">
            <v>1.2416666666666667</v>
          </cell>
          <cell r="F373">
            <v>6.0847457627118642</v>
          </cell>
          <cell r="G373">
            <v>7.9796640000000002E-2</v>
          </cell>
        </row>
        <row r="374">
          <cell r="A374" t="str">
            <v>TES21</v>
          </cell>
          <cell r="B374" t="str">
            <v>Tubo electrosoldado 1 1/4" x 2,0mm</v>
          </cell>
          <cell r="C374">
            <v>9.2270000000000003</v>
          </cell>
          <cell r="D374">
            <v>7.5677966101694913</v>
          </cell>
          <cell r="E374">
            <v>1.5378333333333334</v>
          </cell>
          <cell r="F374">
            <v>7.5677966101694913</v>
          </cell>
          <cell r="G374">
            <v>7.9796640000000002E-2</v>
          </cell>
        </row>
        <row r="375">
          <cell r="A375" t="str">
            <v>TES22</v>
          </cell>
          <cell r="B375" t="str">
            <v>Tubo electrosoldado 1 1/2" x 2,0mm</v>
          </cell>
          <cell r="C375">
            <v>11.106</v>
          </cell>
          <cell r="D375">
            <v>9.07627118644068</v>
          </cell>
          <cell r="E375">
            <v>1.851</v>
          </cell>
          <cell r="F375">
            <v>9.07627118644068</v>
          </cell>
          <cell r="G375">
            <v>7.9796640000000002E-2</v>
          </cell>
        </row>
        <row r="376">
          <cell r="A376" t="str">
            <v>TES23</v>
          </cell>
          <cell r="B376" t="str">
            <v>Tubo electrosoldado 2" x 1,0mm</v>
          </cell>
          <cell r="C376">
            <v>7.5449999999999999</v>
          </cell>
          <cell r="D376">
            <v>6.1610169491525424</v>
          </cell>
          <cell r="E376">
            <v>1.2575000000000001</v>
          </cell>
          <cell r="F376">
            <v>6.1610169491525424</v>
          </cell>
          <cell r="G376">
            <v>0.15959328</v>
          </cell>
        </row>
        <row r="377">
          <cell r="A377" t="str">
            <v>TES24</v>
          </cell>
          <cell r="B377" t="str">
            <v>Tubo electrosoldado 2" x 1.5mm</v>
          </cell>
          <cell r="C377">
            <v>11.31</v>
          </cell>
          <cell r="D377">
            <v>9.2203389830508478</v>
          </cell>
          <cell r="E377">
            <v>1.885</v>
          </cell>
          <cell r="F377">
            <v>9.2203389830508478</v>
          </cell>
          <cell r="G377">
            <v>0.15959328</v>
          </cell>
        </row>
        <row r="378">
          <cell r="A378" t="str">
            <v>TES25</v>
          </cell>
          <cell r="B378" t="str">
            <v>Tubo electrosoldado 2" x 2,0mm</v>
          </cell>
          <cell r="C378">
            <v>14.93</v>
          </cell>
          <cell r="D378">
            <v>12.26271186440678</v>
          </cell>
          <cell r="E378">
            <v>2.4883333333333333</v>
          </cell>
          <cell r="F378">
            <v>12.26271186440678</v>
          </cell>
          <cell r="G378">
            <v>0.15959328</v>
          </cell>
        </row>
        <row r="379">
          <cell r="A379" t="str">
            <v>TES26</v>
          </cell>
          <cell r="B379" t="str">
            <v>Tubo electrosoldado 3" x 1.5mm</v>
          </cell>
          <cell r="C379">
            <v>16.902000000000001</v>
          </cell>
          <cell r="D379">
            <v>13.830508474576272</v>
          </cell>
          <cell r="E379">
            <v>2.8170000000000002</v>
          </cell>
          <cell r="F379">
            <v>13.830508474576272</v>
          </cell>
          <cell r="G379">
            <v>0.23938991999999995</v>
          </cell>
        </row>
        <row r="380">
          <cell r="A380" t="str">
            <v>TES27</v>
          </cell>
          <cell r="B380" t="str">
            <v>Tubo electrosoldado 3" x 2,0mm</v>
          </cell>
          <cell r="C380">
            <v>22.62</v>
          </cell>
          <cell r="D380">
            <v>18.398305084745765</v>
          </cell>
          <cell r="E380">
            <v>3.77</v>
          </cell>
          <cell r="F380">
            <v>18.398305084745765</v>
          </cell>
          <cell r="G380">
            <v>0.23938991999999995</v>
          </cell>
        </row>
        <row r="381">
          <cell r="B381" t="str">
            <v>TUBOS GALVANIZADOS STD.</v>
          </cell>
        </row>
        <row r="382">
          <cell r="A382" t="str">
            <v>TG01</v>
          </cell>
          <cell r="B382" t="str">
            <v>Tubo galv STD 1/4" x 2.0 mm</v>
          </cell>
          <cell r="C382">
            <v>3.7875000000000001</v>
          </cell>
          <cell r="D382">
            <v>3.9883474576271185</v>
          </cell>
          <cell r="E382">
            <v>0.63124999999999998</v>
          </cell>
          <cell r="F382">
            <v>3.9883474576271185</v>
          </cell>
          <cell r="G382">
            <v>1.9949160000000001E-2</v>
          </cell>
        </row>
        <row r="383">
          <cell r="A383" t="str">
            <v>TG02</v>
          </cell>
          <cell r="B383" t="str">
            <v>Tubo galv STD 3/8" x 2.0 mm</v>
          </cell>
          <cell r="C383">
            <v>4.9312499999999995</v>
          </cell>
          <cell r="D383">
            <v>4.8781779661016946</v>
          </cell>
          <cell r="E383">
            <v>0.82187499999999991</v>
          </cell>
          <cell r="F383">
            <v>4.8781779661016946</v>
          </cell>
          <cell r="G383">
            <v>2.9923739999999994E-2</v>
          </cell>
        </row>
        <row r="384">
          <cell r="A384" t="str">
            <v>TG03</v>
          </cell>
          <cell r="B384" t="str">
            <v>Tubo galv STD 1/2" x 2.3 mm</v>
          </cell>
          <cell r="C384">
            <v>7.2562499999999996</v>
          </cell>
          <cell r="D384">
            <v>6.9835805084745761</v>
          </cell>
          <cell r="E384">
            <v>1.2093749999999999</v>
          </cell>
          <cell r="F384">
            <v>6.9835805084745761</v>
          </cell>
          <cell r="G384">
            <v>3.9898320000000001E-2</v>
          </cell>
        </row>
        <row r="385">
          <cell r="A385" t="str">
            <v>TG04</v>
          </cell>
          <cell r="B385" t="str">
            <v>Tubo galv STD 3/4" x 2.3 mm</v>
          </cell>
          <cell r="C385">
            <v>9.2999999999999989</v>
          </cell>
          <cell r="D385">
            <v>9.1128177966101713</v>
          </cell>
          <cell r="E385">
            <v>1.5499999999999998</v>
          </cell>
          <cell r="F385">
            <v>9.1128177966101713</v>
          </cell>
          <cell r="G385">
            <v>5.9847479999999988E-2</v>
          </cell>
        </row>
        <row r="386">
          <cell r="A386" t="str">
            <v>TG05</v>
          </cell>
          <cell r="B386" t="str">
            <v>Tubo galv STD 1" x 3.0 mm</v>
          </cell>
          <cell r="C386">
            <v>14.578125000000002</v>
          </cell>
          <cell r="D386">
            <v>13.601694915254237</v>
          </cell>
          <cell r="E386">
            <v>2.4296875000000004</v>
          </cell>
          <cell r="F386">
            <v>13.601694915254237</v>
          </cell>
          <cell r="G386">
            <v>7.9796640000000002E-2</v>
          </cell>
        </row>
        <row r="387">
          <cell r="A387" t="str">
            <v>TG06</v>
          </cell>
          <cell r="B387" t="str">
            <v>Tubo galv STD 1 1/4" x 3.0 mm</v>
          </cell>
          <cell r="C387">
            <v>18.75</v>
          </cell>
          <cell r="D387">
            <v>18.20180084745763</v>
          </cell>
          <cell r="E387">
            <v>3.125</v>
          </cell>
          <cell r="F387">
            <v>18.20180084745763</v>
          </cell>
          <cell r="G387">
            <v>9.9745800000000009E-2</v>
          </cell>
        </row>
        <row r="388">
          <cell r="A388" t="str">
            <v>TG07</v>
          </cell>
          <cell r="B388" t="str">
            <v>Tubo galv STD 1 1/2" x 3.0 mm</v>
          </cell>
          <cell r="C388">
            <v>21.515624999999996</v>
          </cell>
          <cell r="D388">
            <v>21.17319915254237</v>
          </cell>
          <cell r="E388">
            <v>3.5859374999999996</v>
          </cell>
          <cell r="F388">
            <v>21.17319915254237</v>
          </cell>
          <cell r="G388">
            <v>0.11969495999999998</v>
          </cell>
        </row>
        <row r="389">
          <cell r="A389" t="str">
            <v>TG08</v>
          </cell>
          <cell r="B389" t="str">
            <v>Tubo galv STD 2" x 3.2 mm</v>
          </cell>
          <cell r="C389">
            <v>30.093750000000004</v>
          </cell>
          <cell r="D389">
            <v>29.396186440677969</v>
          </cell>
          <cell r="E389">
            <v>5.0156250000000009</v>
          </cell>
          <cell r="F389">
            <v>29.396186440677969</v>
          </cell>
          <cell r="G389">
            <v>0.15959328</v>
          </cell>
        </row>
        <row r="390">
          <cell r="A390" t="str">
            <v>TG09</v>
          </cell>
          <cell r="B390" t="str">
            <v>Tubo galv STD 2 1/2" x 3.2 mm</v>
          </cell>
          <cell r="C390">
            <v>38.343749999999993</v>
          </cell>
          <cell r="D390">
            <v>38.850635593220339</v>
          </cell>
          <cell r="E390">
            <v>6.3906249999999991</v>
          </cell>
          <cell r="F390">
            <v>38.850635593220339</v>
          </cell>
          <cell r="G390">
            <v>0.19949160000000002</v>
          </cell>
        </row>
        <row r="391">
          <cell r="A391" t="str">
            <v>TG10</v>
          </cell>
          <cell r="B391" t="str">
            <v>Tubo galv STD 3" x 3.6 mm</v>
          </cell>
          <cell r="C391">
            <v>50.493749999999991</v>
          </cell>
          <cell r="D391">
            <v>50.926906779661017</v>
          </cell>
          <cell r="E391">
            <v>8.4156249999999986</v>
          </cell>
          <cell r="F391">
            <v>50.926906779661017</v>
          </cell>
          <cell r="G391">
            <v>0.23938991999999995</v>
          </cell>
        </row>
        <row r="392">
          <cell r="A392" t="str">
            <v>TG11</v>
          </cell>
          <cell r="B392" t="str">
            <v>Tubo galv STD 4" x 4.0 mm</v>
          </cell>
          <cell r="C392">
            <v>72.599999999999994</v>
          </cell>
          <cell r="D392">
            <v>71.790254237288138</v>
          </cell>
          <cell r="E392">
            <v>12.1</v>
          </cell>
          <cell r="F392">
            <v>71.790254237288138</v>
          </cell>
          <cell r="G392">
            <v>0.31918656000000001</v>
          </cell>
        </row>
        <row r="393">
          <cell r="B393" t="str">
            <v>TUBOS NEGROS STD.</v>
          </cell>
        </row>
        <row r="394">
          <cell r="A394" t="str">
            <v>STD1</v>
          </cell>
          <cell r="B394" t="str">
            <v>Tubo STD 1/4" x 2.0 mm</v>
          </cell>
          <cell r="C394">
            <v>3.4406249999999998</v>
          </cell>
          <cell r="D394">
            <v>3.3289194915254239</v>
          </cell>
          <cell r="E394">
            <v>0.57343749999999993</v>
          </cell>
          <cell r="F394">
            <v>3.3289194915254239</v>
          </cell>
          <cell r="G394">
            <v>1.9949160000000001E-2</v>
          </cell>
        </row>
        <row r="395">
          <cell r="A395" t="str">
            <v>STD2</v>
          </cell>
          <cell r="B395" t="str">
            <v>Tubo STD 3/8" x 2.0 mm</v>
          </cell>
          <cell r="C395">
            <v>4.4812499999999993</v>
          </cell>
          <cell r="D395">
            <v>3.8215042372881358</v>
          </cell>
          <cell r="E395">
            <v>0.74687499999999984</v>
          </cell>
          <cell r="F395">
            <v>3.8215042372881358</v>
          </cell>
          <cell r="G395">
            <v>2.9923739999999994E-2</v>
          </cell>
        </row>
        <row r="396">
          <cell r="A396" t="str">
            <v>STD3</v>
          </cell>
          <cell r="B396" t="str">
            <v>Tubo STD 1/2" x 2.3 mm</v>
          </cell>
          <cell r="C396">
            <v>6.6</v>
          </cell>
          <cell r="D396">
            <v>4.9179025423728815</v>
          </cell>
          <cell r="E396">
            <v>1.0999999999999999</v>
          </cell>
          <cell r="F396">
            <v>4.9179025423728815</v>
          </cell>
          <cell r="G396">
            <v>3.9898320000000001E-2</v>
          </cell>
        </row>
        <row r="397">
          <cell r="A397" t="str">
            <v>STD4</v>
          </cell>
          <cell r="B397" t="str">
            <v>Tubo STD 3/4" x 2.3 mm</v>
          </cell>
          <cell r="C397">
            <v>8.4562499999999989</v>
          </cell>
          <cell r="D397">
            <v>5.8554025423728815</v>
          </cell>
          <cell r="E397">
            <v>1.4093749999999998</v>
          </cell>
          <cell r="F397">
            <v>5.8554025423728815</v>
          </cell>
          <cell r="G397">
            <v>5.9847479999999988E-2</v>
          </cell>
        </row>
        <row r="398">
          <cell r="A398" t="str">
            <v>STD5</v>
          </cell>
          <cell r="B398" t="str">
            <v>Tubo STD 1" x 3.0 mm</v>
          </cell>
          <cell r="C398">
            <v>13.25625</v>
          </cell>
          <cell r="D398">
            <v>8.9698093220338979</v>
          </cell>
          <cell r="E398">
            <v>2.2093750000000001</v>
          </cell>
          <cell r="F398">
            <v>8.9698093220338979</v>
          </cell>
          <cell r="G398">
            <v>7.9796640000000002E-2</v>
          </cell>
        </row>
        <row r="399">
          <cell r="A399" t="str">
            <v>STD6</v>
          </cell>
          <cell r="B399" t="str">
            <v>Tubo STD 1 1/4" x 3.0 mm</v>
          </cell>
          <cell r="C399">
            <v>17.043749999999999</v>
          </cell>
          <cell r="D399">
            <v>11.496292372881358</v>
          </cell>
          <cell r="E399">
            <v>2.8406249999999997</v>
          </cell>
          <cell r="F399">
            <v>11.496292372881358</v>
          </cell>
          <cell r="G399">
            <v>9.9745800000000009E-2</v>
          </cell>
        </row>
        <row r="400">
          <cell r="A400" t="str">
            <v>STD7</v>
          </cell>
          <cell r="B400" t="str">
            <v>Tubo STD 1 1/2" x 3.0 mm</v>
          </cell>
          <cell r="C400">
            <v>19.556249999999999</v>
          </cell>
          <cell r="D400">
            <v>13.554025423728813</v>
          </cell>
          <cell r="E400">
            <v>3.2593749999999999</v>
          </cell>
          <cell r="F400">
            <v>13.554025423728813</v>
          </cell>
          <cell r="G400">
            <v>0.11969495999999998</v>
          </cell>
        </row>
        <row r="401">
          <cell r="A401" t="str">
            <v>STD8</v>
          </cell>
          <cell r="B401" t="str">
            <v>Tubo STD 2" x 3.2 mm</v>
          </cell>
          <cell r="C401">
            <v>27.356249999999996</v>
          </cell>
          <cell r="D401">
            <v>18.646716101694917</v>
          </cell>
          <cell r="E401">
            <v>4.5593749999999993</v>
          </cell>
          <cell r="F401">
            <v>18.646716101694917</v>
          </cell>
          <cell r="G401">
            <v>0.15959328</v>
          </cell>
        </row>
        <row r="402">
          <cell r="A402" t="str">
            <v>STD9</v>
          </cell>
          <cell r="B402" t="str">
            <v>Tubo STD 2 1/2" x 3.2 mm</v>
          </cell>
          <cell r="C402">
            <v>34.856249999999996</v>
          </cell>
          <cell r="D402">
            <v>24.954978813559325</v>
          </cell>
          <cell r="E402">
            <v>5.8093749999999993</v>
          </cell>
          <cell r="F402">
            <v>24.954978813559325</v>
          </cell>
          <cell r="G402">
            <v>0.19949160000000002</v>
          </cell>
        </row>
        <row r="403">
          <cell r="A403" t="str">
            <v>STD10</v>
          </cell>
          <cell r="B403" t="str">
            <v>Tubo STD 3" x 3.6 mm</v>
          </cell>
          <cell r="C403">
            <v>45.9</v>
          </cell>
          <cell r="D403">
            <v>34.234639830508478</v>
          </cell>
          <cell r="E403">
            <v>7.6499999999999995</v>
          </cell>
          <cell r="F403">
            <v>34.234639830508478</v>
          </cell>
          <cell r="G403">
            <v>0.23938991999999995</v>
          </cell>
        </row>
        <row r="404">
          <cell r="A404" t="str">
            <v>STD11</v>
          </cell>
          <cell r="B404" t="str">
            <v>Tubo STD 4" x 4.0 mm</v>
          </cell>
          <cell r="C404">
            <v>66</v>
          </cell>
          <cell r="D404">
            <v>46.843220338983052</v>
          </cell>
          <cell r="E404">
            <v>11</v>
          </cell>
          <cell r="F404">
            <v>46.843220338983052</v>
          </cell>
          <cell r="G404">
            <v>0.31918656000000001</v>
          </cell>
        </row>
        <row r="405">
          <cell r="B405" t="str">
            <v>TUBOS EST. COND. RED.</v>
          </cell>
        </row>
        <row r="406">
          <cell r="A406" t="str">
            <v>TB01</v>
          </cell>
          <cell r="B406" t="str">
            <v>Tubo EST COND 3/8" x 2.0 mm</v>
          </cell>
          <cell r="C406">
            <v>5.0774999999999997</v>
          </cell>
          <cell r="D406">
            <v>3.6784957627118646</v>
          </cell>
          <cell r="E406">
            <v>0.84624999999999995</v>
          </cell>
          <cell r="F406">
            <v>3.6784957627118646</v>
          </cell>
          <cell r="G406">
            <v>2.9923739999999994E-2</v>
          </cell>
        </row>
        <row r="407">
          <cell r="A407" t="str">
            <v>TB02</v>
          </cell>
          <cell r="B407" t="str">
            <v>Tubo EST COND 1/2" x 2.5 mm</v>
          </cell>
          <cell r="C407">
            <v>7.6874999999999991</v>
          </cell>
          <cell r="D407">
            <v>5.6647245762711869</v>
          </cell>
          <cell r="E407">
            <v>1.2812499999999998</v>
          </cell>
          <cell r="F407">
            <v>5.6647245762711869</v>
          </cell>
          <cell r="G407">
            <v>3.9898320000000001E-2</v>
          </cell>
        </row>
        <row r="408">
          <cell r="A408" t="str">
            <v>TB03</v>
          </cell>
          <cell r="B408" t="str">
            <v>Tubo EST COND 3/4" x 3.0 mm</v>
          </cell>
          <cell r="C408">
            <v>11.286562499999999</v>
          </cell>
          <cell r="D408">
            <v>8.318326271186443</v>
          </cell>
          <cell r="E408">
            <v>1.8810937499999998</v>
          </cell>
          <cell r="F408">
            <v>8.318326271186443</v>
          </cell>
          <cell r="G408">
            <v>5.9847479999999988E-2</v>
          </cell>
        </row>
        <row r="409">
          <cell r="A409" t="str">
            <v>TB04</v>
          </cell>
          <cell r="B409" t="str">
            <v>Tubo EST COND 1" x 3.0 mm</v>
          </cell>
          <cell r="C409">
            <v>14.343750000000002</v>
          </cell>
          <cell r="D409">
            <v>10.542902542372882</v>
          </cell>
          <cell r="E409">
            <v>2.3906250000000004</v>
          </cell>
          <cell r="F409">
            <v>10.542902542372882</v>
          </cell>
          <cell r="G409">
            <v>7.9796640000000002E-2</v>
          </cell>
        </row>
        <row r="410">
          <cell r="A410" t="str">
            <v>TB05</v>
          </cell>
          <cell r="B410" t="str">
            <v>Tubo EST COND 1 1/4" x 3.0 mm</v>
          </cell>
          <cell r="C410">
            <v>15.9375</v>
          </cell>
          <cell r="D410">
            <v>13.411016949152543</v>
          </cell>
          <cell r="E410">
            <v>2.65625</v>
          </cell>
          <cell r="F410">
            <v>13.411016949152543</v>
          </cell>
          <cell r="G410">
            <v>9.9745800000000009E-2</v>
          </cell>
        </row>
        <row r="411">
          <cell r="A411" t="str">
            <v>TB06</v>
          </cell>
          <cell r="B411" t="str">
            <v>Tubo EST COND 1 1/2" x 3.0 mm</v>
          </cell>
          <cell r="C411">
            <v>21.032812499999995</v>
          </cell>
          <cell r="D411">
            <v>15.357521186440678</v>
          </cell>
          <cell r="E411">
            <v>3.505468749999999</v>
          </cell>
          <cell r="F411">
            <v>15.357521186440678</v>
          </cell>
          <cell r="G411">
            <v>0.11969495999999998</v>
          </cell>
        </row>
        <row r="412">
          <cell r="A412" t="str">
            <v>TB07</v>
          </cell>
          <cell r="B412" t="str">
            <v>Tubo EST COND 2" x 3.0 mm</v>
          </cell>
          <cell r="C412">
            <v>26.3709375</v>
          </cell>
          <cell r="D412">
            <v>19.163135593220339</v>
          </cell>
          <cell r="E412">
            <v>4.3951562500000003</v>
          </cell>
          <cell r="F412">
            <v>19.163135593220339</v>
          </cell>
          <cell r="G412">
            <v>0.15959328</v>
          </cell>
        </row>
        <row r="413">
          <cell r="B413" t="str">
            <v>TUERCAS</v>
          </cell>
        </row>
        <row r="414">
          <cell r="A414" t="str">
            <v>TU01</v>
          </cell>
          <cell r="B414" t="str">
            <v>Tuerca fi 1/4"</v>
          </cell>
        </row>
        <row r="415">
          <cell r="A415" t="str">
            <v>TU02</v>
          </cell>
          <cell r="B415" t="str">
            <v>Tuerca fi 5/16"</v>
          </cell>
        </row>
        <row r="416">
          <cell r="A416" t="str">
            <v>TU03</v>
          </cell>
          <cell r="B416" t="str">
            <v>Tuerca fi 3/8"</v>
          </cell>
        </row>
        <row r="417">
          <cell r="A417" t="str">
            <v>TU04</v>
          </cell>
          <cell r="B417" t="str">
            <v>Tuerca fi 1/2"</v>
          </cell>
        </row>
        <row r="418">
          <cell r="A418" t="str">
            <v>TU05</v>
          </cell>
          <cell r="B418" t="str">
            <v>Tuerca fi 5/8"</v>
          </cell>
        </row>
        <row r="419">
          <cell r="A419" t="str">
            <v>TU06</v>
          </cell>
          <cell r="B419" t="str">
            <v>Tuerca fi 3/4"</v>
          </cell>
        </row>
        <row r="420">
          <cell r="A420" t="str">
            <v>TU07</v>
          </cell>
          <cell r="B420" t="str">
            <v>Tuerca fi 1"</v>
          </cell>
        </row>
        <row r="421">
          <cell r="A421" t="str">
            <v>TU08</v>
          </cell>
          <cell r="B421" t="str">
            <v>Tuerca fi 1 1/4"</v>
          </cell>
        </row>
        <row r="422">
          <cell r="A422" t="str">
            <v>TU09</v>
          </cell>
          <cell r="B422" t="str">
            <v>Tuerca fi 1 1/2"</v>
          </cell>
        </row>
        <row r="423">
          <cell r="B423" t="str">
            <v>VIGAS I</v>
          </cell>
        </row>
        <row r="424">
          <cell r="A424" t="str">
            <v>I001</v>
          </cell>
          <cell r="B424" t="str">
            <v xml:space="preserve">Viga I   4"x 7,7# </v>
          </cell>
          <cell r="E424">
            <v>11.480700000000001</v>
          </cell>
        </row>
        <row r="425">
          <cell r="A425" t="str">
            <v>I002</v>
          </cell>
          <cell r="B425" t="str">
            <v xml:space="preserve">Viga I   6"x 12,5# </v>
          </cell>
          <cell r="E425">
            <v>18.637500000000003</v>
          </cell>
        </row>
        <row r="426">
          <cell r="A426" t="str">
            <v>I003</v>
          </cell>
          <cell r="B426" t="str">
            <v>Viga I  12" X 39#</v>
          </cell>
          <cell r="E426">
            <v>58.149000000000001</v>
          </cell>
        </row>
        <row r="427">
          <cell r="A427" t="str">
            <v>I004</v>
          </cell>
          <cell r="B427" t="str">
            <v>Viga I  10" X 41,9#</v>
          </cell>
          <cell r="E427">
            <v>62.472900000000003</v>
          </cell>
        </row>
        <row r="428">
          <cell r="A428" t="str">
            <v>I005</v>
          </cell>
          <cell r="B428" t="str">
            <v>Viga I  11" X 47,9#</v>
          </cell>
          <cell r="E428">
            <v>71.418900000000008</v>
          </cell>
        </row>
        <row r="429">
          <cell r="A429" t="str">
            <v>I006</v>
          </cell>
          <cell r="B429" t="str">
            <v>Viga I  12" X 60,7#</v>
          </cell>
          <cell r="E429">
            <v>90.503700000000009</v>
          </cell>
        </row>
        <row r="430">
          <cell r="A430" t="str">
            <v>I007</v>
          </cell>
          <cell r="B430" t="str">
            <v>Viga I  20" X 86#</v>
          </cell>
          <cell r="E430">
            <v>128.226</v>
          </cell>
        </row>
        <row r="431">
          <cell r="A431" t="str">
            <v>I008</v>
          </cell>
          <cell r="B431" t="str">
            <v>IPN 200</v>
          </cell>
        </row>
        <row r="432">
          <cell r="B432" t="str">
            <v>VIGAS WF</v>
          </cell>
        </row>
        <row r="433">
          <cell r="A433" t="str">
            <v>WF001</v>
          </cell>
          <cell r="B433" t="str">
            <v>Viga WF 4" x 13#</v>
          </cell>
          <cell r="E433">
            <v>19.383000000000003</v>
          </cell>
          <cell r="G433">
            <v>0.60502800000000001</v>
          </cell>
        </row>
        <row r="434">
          <cell r="A434" t="str">
            <v>WF002</v>
          </cell>
          <cell r="B434" t="str">
            <v>Viga WF  6" X 15#</v>
          </cell>
          <cell r="E434">
            <v>22.365000000000002</v>
          </cell>
          <cell r="G434">
            <v>0.90169999999999983</v>
          </cell>
        </row>
        <row r="435">
          <cell r="A435" t="str">
            <v>WF003</v>
          </cell>
          <cell r="B435" t="str">
            <v>Viga WF  6" X 15.5#</v>
          </cell>
          <cell r="E435">
            <v>23.110500000000002</v>
          </cell>
          <cell r="G435">
            <v>0</v>
          </cell>
        </row>
        <row r="436">
          <cell r="A436" t="str">
            <v>WF004</v>
          </cell>
          <cell r="B436" t="str">
            <v>Viga WF  6" X 20#</v>
          </cell>
          <cell r="E436">
            <v>29.82</v>
          </cell>
          <cell r="G436">
            <v>0.91439999999999988</v>
          </cell>
        </row>
        <row r="437">
          <cell r="A437" t="str">
            <v>WF005</v>
          </cell>
          <cell r="B437" t="str">
            <v>Viga WF  6" X 22#</v>
          </cell>
          <cell r="E437">
            <v>32.802</v>
          </cell>
          <cell r="G437">
            <v>0</v>
          </cell>
        </row>
        <row r="438">
          <cell r="A438" t="str">
            <v>WF006</v>
          </cell>
          <cell r="B438" t="str">
            <v>Viga WF  8"x 10#</v>
          </cell>
          <cell r="E438">
            <v>14.91</v>
          </cell>
          <cell r="G438">
            <v>0.79857599999999995</v>
          </cell>
        </row>
        <row r="439">
          <cell r="A439" t="str">
            <v>WF007</v>
          </cell>
          <cell r="B439" t="str">
            <v>Viga WF  8"x 13#</v>
          </cell>
          <cell r="E439">
            <v>19.383000000000003</v>
          </cell>
          <cell r="G439">
            <v>0.80009999999999992</v>
          </cell>
        </row>
        <row r="440">
          <cell r="A440" t="str">
            <v>WF008</v>
          </cell>
          <cell r="B440" t="str">
            <v>Viga WF  8"x 18#</v>
          </cell>
          <cell r="E440">
            <v>26.838000000000001</v>
          </cell>
          <cell r="G440">
            <v>0.93421199999999993</v>
          </cell>
        </row>
        <row r="441">
          <cell r="A441" t="str">
            <v>WF009</v>
          </cell>
          <cell r="B441" t="str">
            <v>Viga WF  8" X 24#</v>
          </cell>
          <cell r="E441">
            <v>35.784000000000006</v>
          </cell>
          <cell r="G441">
            <v>1.0505439999999999</v>
          </cell>
        </row>
        <row r="442">
          <cell r="A442" t="str">
            <v>WF010</v>
          </cell>
          <cell r="B442" t="str">
            <v>Viga WF  8" X 27#</v>
          </cell>
          <cell r="E442">
            <v>40.257000000000005</v>
          </cell>
          <cell r="G442">
            <v>0</v>
          </cell>
        </row>
        <row r="443">
          <cell r="A443" t="str">
            <v>WF011</v>
          </cell>
          <cell r="B443" t="str">
            <v>Viga WF  8" X 28#</v>
          </cell>
          <cell r="E443">
            <v>41.748000000000005</v>
          </cell>
          <cell r="G443">
            <v>1.052322</v>
          </cell>
        </row>
        <row r="444">
          <cell r="A444" t="str">
            <v>WF012</v>
          </cell>
          <cell r="B444" t="str">
            <v>Viga WF  8"x 31#</v>
          </cell>
          <cell r="E444">
            <v>46.221000000000004</v>
          </cell>
          <cell r="G444">
            <v>1.2047219999999998</v>
          </cell>
        </row>
        <row r="445">
          <cell r="A445" t="str">
            <v>WF013</v>
          </cell>
          <cell r="B445" t="str">
            <v>Viga WF  8" X 35#</v>
          </cell>
          <cell r="E445">
            <v>52.185000000000002</v>
          </cell>
          <cell r="G445">
            <v>1.2095479999999998</v>
          </cell>
        </row>
        <row r="446">
          <cell r="A446" t="str">
            <v>WF014</v>
          </cell>
          <cell r="B446" t="str">
            <v>Viga WF  8" X 36#</v>
          </cell>
          <cell r="E446">
            <v>53.676000000000002</v>
          </cell>
          <cell r="G446">
            <v>0</v>
          </cell>
        </row>
        <row r="447">
          <cell r="A447" t="str">
            <v>WF015</v>
          </cell>
          <cell r="B447" t="str">
            <v>Viga WF  10"x 12#</v>
          </cell>
          <cell r="E447">
            <v>17.892000000000003</v>
          </cell>
          <cell r="G447">
            <v>0.89814399999999994</v>
          </cell>
        </row>
        <row r="448">
          <cell r="A448" t="str">
            <v>WF016</v>
          </cell>
          <cell r="B448" t="str">
            <v>Viga WF  10"x 22#</v>
          </cell>
          <cell r="E448">
            <v>32.802</v>
          </cell>
          <cell r="G448">
            <v>1.088136</v>
          </cell>
        </row>
        <row r="449">
          <cell r="A449" t="str">
            <v>WF017</v>
          </cell>
          <cell r="B449" t="str">
            <v>Viga WF  10"x 26#</v>
          </cell>
          <cell r="E449">
            <v>38.766000000000005</v>
          </cell>
          <cell r="G449">
            <v>1.0962639999999999</v>
          </cell>
        </row>
        <row r="450">
          <cell r="A450" t="str">
            <v>WF018</v>
          </cell>
          <cell r="B450" t="str">
            <v>Viga WF  10"x 30#</v>
          </cell>
          <cell r="E450">
            <v>44.730000000000004</v>
          </cell>
          <cell r="G450">
            <v>1.10236</v>
          </cell>
        </row>
        <row r="451">
          <cell r="A451" t="str">
            <v>WF019</v>
          </cell>
          <cell r="B451" t="str">
            <v>Viga WF 10"x33#</v>
          </cell>
          <cell r="E451">
            <v>49.203000000000003</v>
          </cell>
          <cell r="G451">
            <v>1.2933680000000001</v>
          </cell>
        </row>
        <row r="452">
          <cell r="A452" t="str">
            <v>WF020</v>
          </cell>
          <cell r="B452" t="str">
            <v>Viga WF 10"x49#</v>
          </cell>
          <cell r="E452">
            <v>73.059000000000012</v>
          </cell>
          <cell r="G452">
            <v>1.5067280000000001</v>
          </cell>
        </row>
        <row r="453">
          <cell r="A453" t="str">
            <v>WF021</v>
          </cell>
          <cell r="B453" t="str">
            <v>Viga WF  12" X 14#</v>
          </cell>
          <cell r="E453">
            <v>20.874000000000002</v>
          </cell>
          <cell r="G453">
            <v>1.001268</v>
          </cell>
        </row>
        <row r="454">
          <cell r="A454" t="str">
            <v>WF022</v>
          </cell>
          <cell r="B454" t="str">
            <v>Viga WF  12" X 16#</v>
          </cell>
          <cell r="E454">
            <v>23.856000000000002</v>
          </cell>
          <cell r="G454">
            <v>1.0033000000000001</v>
          </cell>
        </row>
        <row r="455">
          <cell r="A455" t="str">
            <v>WF023</v>
          </cell>
          <cell r="B455" t="str">
            <v>Viga WF  12" X 26#</v>
          </cell>
          <cell r="E455">
            <v>38.766000000000005</v>
          </cell>
          <cell r="G455">
            <v>1.27</v>
          </cell>
        </row>
        <row r="456">
          <cell r="A456" t="str">
            <v>WF024</v>
          </cell>
          <cell r="B456" t="str">
            <v>Viga WF  12" X 30#</v>
          </cell>
          <cell r="E456">
            <v>44.730000000000004</v>
          </cell>
          <cell r="G456">
            <v>1.274572</v>
          </cell>
        </row>
        <row r="457">
          <cell r="A457" t="str">
            <v>WF025</v>
          </cell>
          <cell r="B457" t="str">
            <v>Viga WF  12" X 39#</v>
          </cell>
          <cell r="E457">
            <v>58.149000000000001</v>
          </cell>
          <cell r="G457">
            <v>0</v>
          </cell>
        </row>
        <row r="458">
          <cell r="A458" t="str">
            <v>WF026</v>
          </cell>
          <cell r="B458" t="str">
            <v>Viga WF  12" X 40#</v>
          </cell>
          <cell r="E458">
            <v>59.64</v>
          </cell>
          <cell r="G458">
            <v>1.4074139999999999</v>
          </cell>
        </row>
        <row r="459">
          <cell r="A459" t="str">
            <v>WF027</v>
          </cell>
          <cell r="B459" t="str">
            <v>Viga WF  12" X 65#</v>
          </cell>
          <cell r="E459">
            <v>96.915000000000006</v>
          </cell>
          <cell r="G459">
            <v>1.8150839999999997</v>
          </cell>
        </row>
        <row r="460">
          <cell r="A460" t="str">
            <v>WF028</v>
          </cell>
          <cell r="B460" t="str">
            <v>Viga WF  12" X 79#</v>
          </cell>
          <cell r="E460">
            <v>117.789</v>
          </cell>
          <cell r="G460">
            <v>1.8308319999999998</v>
          </cell>
        </row>
        <row r="461">
          <cell r="A461" t="str">
            <v>WF029</v>
          </cell>
          <cell r="B461" t="str">
            <v>Viga WF  14" X 30#</v>
          </cell>
          <cell r="E461">
            <v>44.730000000000004</v>
          </cell>
          <cell r="G461">
            <v>1.3761720000000002</v>
          </cell>
        </row>
        <row r="462">
          <cell r="A462" t="str">
            <v>WF030</v>
          </cell>
          <cell r="B462" t="str">
            <v>Viga WF  14" X 53#</v>
          </cell>
          <cell r="E462">
            <v>79.02300000000001</v>
          </cell>
          <cell r="G462">
            <v>1.5011399999999999</v>
          </cell>
        </row>
        <row r="463">
          <cell r="A463" t="str">
            <v>WF031</v>
          </cell>
          <cell r="B463" t="str">
            <v>Viga WF  14" X 61#</v>
          </cell>
          <cell r="E463">
            <v>90.951000000000008</v>
          </cell>
          <cell r="G463">
            <v>1.7025619999999999</v>
          </cell>
        </row>
        <row r="464">
          <cell r="A464" t="str">
            <v>WF032</v>
          </cell>
          <cell r="B464" t="str">
            <v>Viga WF  14" X 99#</v>
          </cell>
          <cell r="E464">
            <v>147.60900000000001</v>
          </cell>
          <cell r="G464">
            <v>2.1737319999999998</v>
          </cell>
        </row>
        <row r="465">
          <cell r="A465" t="str">
            <v>WF033</v>
          </cell>
          <cell r="B465" t="str">
            <v>Viga WF  14" X 120#</v>
          </cell>
          <cell r="E465">
            <v>178.92000000000002</v>
          </cell>
          <cell r="G465">
            <v>2.1970999999999998</v>
          </cell>
        </row>
        <row r="466">
          <cell r="A466" t="str">
            <v>WF034</v>
          </cell>
          <cell r="B466" t="str">
            <v>Viga WF  14" X 145#</v>
          </cell>
          <cell r="E466">
            <v>216.19500000000002</v>
          </cell>
          <cell r="G466">
            <v>2.29108</v>
          </cell>
        </row>
        <row r="467">
          <cell r="A467" t="str">
            <v>WF035</v>
          </cell>
          <cell r="B467" t="str">
            <v>Viga WF  14" X 176#</v>
          </cell>
          <cell r="E467">
            <v>262.416</v>
          </cell>
          <cell r="G467">
            <v>2.3225759999999998</v>
          </cell>
        </row>
        <row r="468">
          <cell r="A468" t="str">
            <v>WF036</v>
          </cell>
          <cell r="B468" t="str">
            <v>Viga WF  16" X 26#</v>
          </cell>
          <cell r="E468">
            <v>38.766000000000005</v>
          </cell>
          <cell r="G468">
            <v>1.3461999999999998</v>
          </cell>
        </row>
        <row r="469">
          <cell r="A469" t="str">
            <v>WF037</v>
          </cell>
          <cell r="B469" t="str">
            <v>Viga WF  16" X 31#</v>
          </cell>
          <cell r="E469">
            <v>46.221000000000004</v>
          </cell>
          <cell r="G469">
            <v>1.3535659999999998</v>
          </cell>
        </row>
        <row r="470">
          <cell r="A470" t="str">
            <v>WF038</v>
          </cell>
          <cell r="B470" t="str">
            <v>Viga WF  16" X 36#</v>
          </cell>
          <cell r="E470">
            <v>53.676000000000002</v>
          </cell>
          <cell r="G470">
            <v>1.5019019999999998</v>
          </cell>
        </row>
        <row r="471">
          <cell r="A471" t="str">
            <v>WF039</v>
          </cell>
          <cell r="B471" t="str">
            <v>Viga WF  16" X 40#</v>
          </cell>
          <cell r="E471">
            <v>59.64</v>
          </cell>
          <cell r="G471">
            <v>1.5085060000000001</v>
          </cell>
        </row>
        <row r="472">
          <cell r="A472" t="str">
            <v>WF040</v>
          </cell>
          <cell r="B472" t="str">
            <v>Viga WF  16" X 46#</v>
          </cell>
          <cell r="E472">
            <v>68.585999999999999</v>
          </cell>
          <cell r="G472">
            <v>0</v>
          </cell>
        </row>
        <row r="473">
          <cell r="A473" t="str">
            <v>WF041</v>
          </cell>
          <cell r="B473" t="str">
            <v>Viga WF  18" X 40#</v>
          </cell>
          <cell r="E473">
            <v>59.64</v>
          </cell>
          <cell r="G473">
            <v>1.5029179999999995</v>
          </cell>
        </row>
        <row r="474">
          <cell r="A474" t="str">
            <v>WF042</v>
          </cell>
          <cell r="B474" t="str">
            <v>Viga WF  18" X 50#</v>
          </cell>
          <cell r="E474">
            <v>74.550000000000011</v>
          </cell>
          <cell r="G474">
            <v>1.658366</v>
          </cell>
        </row>
        <row r="475">
          <cell r="A475" t="str">
            <v>WF043</v>
          </cell>
          <cell r="B475" t="str">
            <v>Viga WF  18"x 55#</v>
          </cell>
          <cell r="E475">
            <v>82.00500000000001</v>
          </cell>
          <cell r="G475">
            <v>1.6621760000000001</v>
          </cell>
        </row>
        <row r="476">
          <cell r="A476" t="str">
            <v>WF044</v>
          </cell>
          <cell r="B476" t="str">
            <v>Viga WF  18"x 60#</v>
          </cell>
          <cell r="E476">
            <v>89.460000000000008</v>
          </cell>
          <cell r="G476">
            <v>1.6680179999999998</v>
          </cell>
        </row>
        <row r="477">
          <cell r="A477" t="str">
            <v>WF045</v>
          </cell>
          <cell r="B477" t="str">
            <v>Viga WF  21" X 62#</v>
          </cell>
          <cell r="E477">
            <v>92.442000000000007</v>
          </cell>
          <cell r="G477">
            <v>1.8846799999999999</v>
          </cell>
        </row>
        <row r="478">
          <cell r="A478" t="str">
            <v>WF046</v>
          </cell>
          <cell r="B478" t="str">
            <v>Viga WF  24" X 68#</v>
          </cell>
          <cell r="E478">
            <v>101.38800000000001</v>
          </cell>
          <cell r="G478">
            <v>2.099818</v>
          </cell>
        </row>
        <row r="479">
          <cell r="A479" t="str">
            <v>WF047</v>
          </cell>
          <cell r="B479" t="str">
            <v>Viga WF  24" X 76#</v>
          </cell>
          <cell r="E479">
            <v>113.316</v>
          </cell>
          <cell r="G479">
            <v>2.1071839999999997</v>
          </cell>
        </row>
        <row r="480">
          <cell r="A480" t="str">
            <v>WF048</v>
          </cell>
          <cell r="B480" t="str">
            <v>Viga WF  24" X 94#</v>
          </cell>
          <cell r="E480">
            <v>140.154</v>
          </cell>
          <cell r="G480">
            <v>2.1275039999999996</v>
          </cell>
        </row>
        <row r="481">
          <cell r="A481" t="str">
            <v>WF049</v>
          </cell>
          <cell r="B481" t="str">
            <v>Viga WF  27" X 84#</v>
          </cell>
          <cell r="E481">
            <v>125.24400000000001</v>
          </cell>
          <cell r="G481">
            <v>2.3515319999999997</v>
          </cell>
        </row>
        <row r="482">
          <cell r="A482" t="str">
            <v>WF050</v>
          </cell>
          <cell r="B482" t="str">
            <v>Viga WF  30" X 99#</v>
          </cell>
          <cell r="E482">
            <v>147.60900000000001</v>
          </cell>
          <cell r="G482">
            <v>2.5476199999999998</v>
          </cell>
        </row>
        <row r="483">
          <cell r="A483" t="str">
            <v>WF051</v>
          </cell>
          <cell r="B483" t="str">
            <v>Viga WF  33" X 118#</v>
          </cell>
          <cell r="E483">
            <v>175.93800000000002</v>
          </cell>
          <cell r="G483">
            <v>2.8097479999999999</v>
          </cell>
        </row>
        <row r="484">
          <cell r="A484" t="str">
            <v>WF052</v>
          </cell>
          <cell r="B484" t="str">
            <v>Viga WF  40" X 199#</v>
          </cell>
          <cell r="E484">
            <v>296.709</v>
          </cell>
          <cell r="G484">
            <v>3.5316159999999996</v>
          </cell>
        </row>
        <row r="485">
          <cell r="A485" t="str">
            <v>WF053</v>
          </cell>
          <cell r="B485" t="str">
            <v>Viga WF  40" X 215#</v>
          </cell>
          <cell r="E485">
            <v>320.565</v>
          </cell>
          <cell r="G485">
            <v>3.5483799999999994</v>
          </cell>
        </row>
        <row r="486">
          <cell r="A486" t="str">
            <v>WF054</v>
          </cell>
          <cell r="B486" t="str">
            <v>Viga WF  40" X 249#</v>
          </cell>
          <cell r="E486">
            <v>371.25900000000001</v>
          </cell>
          <cell r="G486">
            <v>3.5676839999999994</v>
          </cell>
        </row>
        <row r="487">
          <cell r="A487" t="str">
            <v>WF055</v>
          </cell>
          <cell r="B487" t="str">
            <v>Viga WF  18"x 65#</v>
          </cell>
          <cell r="E487">
            <v>96.915000000000006</v>
          </cell>
          <cell r="G487">
            <v>1.6804639999999997</v>
          </cell>
        </row>
        <row r="488">
          <cell r="A488" t="str">
            <v>WF056</v>
          </cell>
          <cell r="B488" t="str">
            <v>Viga WF  14" X 26#</v>
          </cell>
          <cell r="E488">
            <v>38.766000000000005</v>
          </cell>
          <cell r="G488">
            <v>1.2042140000000001</v>
          </cell>
        </row>
        <row r="489">
          <cell r="A489" t="str">
            <v>WF057</v>
          </cell>
          <cell r="B489" t="str">
            <v>Viga WF  8"x 15#</v>
          </cell>
          <cell r="E489">
            <v>22.365000000000002</v>
          </cell>
          <cell r="G489">
            <v>0.80746599999999991</v>
          </cell>
        </row>
        <row r="490">
          <cell r="B490" t="str">
            <v>ZETA PRECOR</v>
          </cell>
        </row>
        <row r="491">
          <cell r="A491" t="str">
            <v>Z001</v>
          </cell>
          <cell r="B491" t="str">
            <v>Zeta Precor  4" x 2" x 3.0 mm</v>
          </cell>
          <cell r="E491">
            <v>5.7697499999999993</v>
          </cell>
          <cell r="G491">
            <v>0.49</v>
          </cell>
        </row>
        <row r="492">
          <cell r="A492" t="str">
            <v>Z002</v>
          </cell>
          <cell r="B492" t="str">
            <v>Zeta Precor  6" x 2" x 2.0 mm</v>
          </cell>
          <cell r="E492">
            <v>4.6315</v>
          </cell>
          <cell r="G492">
            <v>0.59</v>
          </cell>
        </row>
        <row r="493">
          <cell r="A493" t="str">
            <v>Z003</v>
          </cell>
          <cell r="B493" t="str">
            <v>Zeta Precor  6" x 3" x 3.0 mm</v>
          </cell>
          <cell r="E493">
            <v>8.1247499999999988</v>
          </cell>
          <cell r="G493">
            <v>0.69</v>
          </cell>
        </row>
        <row r="494">
          <cell r="A494" t="str">
            <v>Z004</v>
          </cell>
          <cell r="B494" t="str">
            <v>Zeta Precor  7" x 3" x 2.0 mm</v>
          </cell>
          <cell r="E494">
            <v>5.8089999999999993</v>
          </cell>
          <cell r="G494">
            <v>0.74</v>
          </cell>
        </row>
        <row r="495">
          <cell r="A495" t="str">
            <v>Z005</v>
          </cell>
          <cell r="B495" t="str">
            <v>Zeta Precor  8" x 2" x 2,5  mm</v>
          </cell>
          <cell r="E495">
            <v>6.7706249999999999</v>
          </cell>
          <cell r="G495">
            <v>0.69</v>
          </cell>
        </row>
        <row r="496">
          <cell r="A496" t="str">
            <v>Z006</v>
          </cell>
          <cell r="B496" t="str">
            <v>Zeta Precor  8" x 2 " x  3.0  mm</v>
          </cell>
          <cell r="E496">
            <v>8.1247499999999988</v>
          </cell>
          <cell r="G496">
            <v>0.69</v>
          </cell>
        </row>
        <row r="497">
          <cell r="A497" t="str">
            <v>Z007</v>
          </cell>
          <cell r="B497" t="str">
            <v>Zeta Precor  8" x 2" x 4,5  mm</v>
          </cell>
          <cell r="E497">
            <v>12.187124999999998</v>
          </cell>
          <cell r="G497">
            <v>0.69</v>
          </cell>
        </row>
        <row r="498">
          <cell r="A498" t="str">
            <v>Z008</v>
          </cell>
          <cell r="B498" t="str">
            <v>Zeta Precor  10" x 3" x 3 mm</v>
          </cell>
          <cell r="E498">
            <v>10.479749999999999</v>
          </cell>
          <cell r="G498">
            <v>0.89</v>
          </cell>
        </row>
        <row r="499">
          <cell r="B499" t="str">
            <v>CONSUMIBLES</v>
          </cell>
        </row>
        <row r="500">
          <cell r="A500" t="str">
            <v>SO001</v>
          </cell>
          <cell r="B500" t="str">
            <v>Flujo POP  - 185</v>
          </cell>
          <cell r="F500">
            <v>2.98</v>
          </cell>
          <cell r="G500" t="str">
            <v>kg</v>
          </cell>
        </row>
        <row r="501">
          <cell r="A501" t="str">
            <v>SO002</v>
          </cell>
          <cell r="B501" t="str">
            <v>Soldadura E7018 1/8"</v>
          </cell>
          <cell r="F501">
            <v>1.7627118644067798</v>
          </cell>
          <cell r="G501" t="str">
            <v>kg</v>
          </cell>
        </row>
        <row r="502">
          <cell r="A502" t="str">
            <v>SO003</v>
          </cell>
          <cell r="B502" t="str">
            <v>Soldadura E6011 1/16"</v>
          </cell>
          <cell r="F502">
            <v>3.0423728813559321</v>
          </cell>
          <cell r="G502" t="str">
            <v>kg</v>
          </cell>
        </row>
        <row r="503">
          <cell r="A503" t="str">
            <v>SO004</v>
          </cell>
          <cell r="B503" t="str">
            <v>Soldadura E6011 1/8"</v>
          </cell>
          <cell r="F503">
            <v>1.6016949152542372</v>
          </cell>
          <cell r="G503" t="str">
            <v>kg</v>
          </cell>
        </row>
        <row r="504">
          <cell r="A504" t="str">
            <v>SO005</v>
          </cell>
          <cell r="B504" t="str">
            <v>Soldadura MIG 1,2</v>
          </cell>
          <cell r="F504">
            <v>2.14</v>
          </cell>
          <cell r="G504" t="str">
            <v>kg</v>
          </cell>
        </row>
        <row r="505">
          <cell r="A505" t="str">
            <v>SO006</v>
          </cell>
          <cell r="B505" t="str">
            <v>Soldadura E6011 5/32"</v>
          </cell>
          <cell r="F505">
            <v>1.5762711864406782</v>
          </cell>
          <cell r="G505" t="str">
            <v>kg</v>
          </cell>
        </row>
        <row r="506">
          <cell r="A506" t="str">
            <v>SO007</v>
          </cell>
          <cell r="B506" t="str">
            <v>Soldadura E7018 5/32"</v>
          </cell>
          <cell r="F506">
            <v>1.728813559322034</v>
          </cell>
          <cell r="G506" t="str">
            <v>kg</v>
          </cell>
        </row>
        <row r="507">
          <cell r="A507" t="str">
            <v>SO008</v>
          </cell>
          <cell r="B507" t="str">
            <v>Soldadura E7018 3/32"</v>
          </cell>
          <cell r="F507">
            <v>2.093220338983051</v>
          </cell>
          <cell r="G507" t="str">
            <v>kg</v>
          </cell>
        </row>
        <row r="508">
          <cell r="A508" t="str">
            <v>SO009</v>
          </cell>
          <cell r="B508" t="str">
            <v>Soldadura Inox 308 1/8"</v>
          </cell>
          <cell r="F508">
            <v>11.7</v>
          </cell>
          <cell r="G508" t="str">
            <v>kg</v>
          </cell>
          <cell r="H508" t="str">
            <v>viene lata 5kg</v>
          </cell>
        </row>
        <row r="509">
          <cell r="A509" t="str">
            <v>H001</v>
          </cell>
          <cell r="B509" t="str">
            <v>Hilti KBII 3/8" x 3 3/4"</v>
          </cell>
          <cell r="F509">
            <v>1.01</v>
          </cell>
          <cell r="G509" t="str">
            <v>und</v>
          </cell>
          <cell r="H509" t="str">
            <v>$101.00 el ciento</v>
          </cell>
        </row>
        <row r="510">
          <cell r="A510" t="str">
            <v>H002</v>
          </cell>
          <cell r="B510" t="str">
            <v>Hilti HDI-P 3/8"</v>
          </cell>
          <cell r="F510">
            <v>0.76</v>
          </cell>
          <cell r="G510" t="str">
            <v>und</v>
          </cell>
          <cell r="H510" t="str">
            <v>$76.00 el ciento</v>
          </cell>
        </row>
        <row r="511">
          <cell r="A511" t="str">
            <v>H003</v>
          </cell>
          <cell r="B511" t="str">
            <v>Punzonador para HDI-P 3/8"</v>
          </cell>
          <cell r="F511">
            <v>4.7699999999999996</v>
          </cell>
          <cell r="G511" t="str">
            <v>und</v>
          </cell>
          <cell r="H511" t="str">
            <v>$4.77 unidad</v>
          </cell>
        </row>
        <row r="512">
          <cell r="A512" t="str">
            <v>H004</v>
          </cell>
          <cell r="B512" t="str">
            <v>Hilti KBII 5/8" x 4 3/4"</v>
          </cell>
          <cell r="F512">
            <v>2.88</v>
          </cell>
          <cell r="G512" t="str">
            <v>und</v>
          </cell>
        </row>
        <row r="513">
          <cell r="A513" t="str">
            <v>H005</v>
          </cell>
          <cell r="B513" t="str">
            <v>Hilti KBII 5/8" x 6"</v>
          </cell>
          <cell r="F513">
            <v>3.24</v>
          </cell>
          <cell r="G513" t="str">
            <v>und</v>
          </cell>
        </row>
        <row r="514">
          <cell r="A514" t="str">
            <v>H006</v>
          </cell>
          <cell r="B514" t="str">
            <v>Hilti KBII 1/2" x 4 1/2"</v>
          </cell>
          <cell r="F514">
            <v>1.65</v>
          </cell>
          <cell r="G514" t="str">
            <v>und</v>
          </cell>
        </row>
        <row r="515">
          <cell r="A515" t="str">
            <v>H007</v>
          </cell>
          <cell r="B515" t="str">
            <v>Hilti KBII 3/4" x 5 1/2"</v>
          </cell>
          <cell r="F515">
            <v>4.4000000000000004</v>
          </cell>
          <cell r="G515" t="str">
            <v>und</v>
          </cell>
        </row>
        <row r="516">
          <cell r="A516" t="str">
            <v>H008</v>
          </cell>
          <cell r="B516" t="str">
            <v>Hiti HVA M12 Inox (capsula HVU 1/2" + barra inox)</v>
          </cell>
          <cell r="D516" t="str">
            <v>4.22 HVU</v>
          </cell>
          <cell r="E516" t="str">
            <v>14.71 barra</v>
          </cell>
          <cell r="F516">
            <v>18.93</v>
          </cell>
          <cell r="G516" t="str">
            <v>und</v>
          </cell>
        </row>
        <row r="517">
          <cell r="A517" t="str">
            <v>H009</v>
          </cell>
          <cell r="B517" t="str">
            <v>Broca de 9/16" para barra inox HVA M12</v>
          </cell>
          <cell r="F517">
            <v>37</v>
          </cell>
          <cell r="G517" t="str">
            <v>und</v>
          </cell>
        </row>
        <row r="518">
          <cell r="A518" t="str">
            <v>H010</v>
          </cell>
          <cell r="B518" t="str">
            <v>HVA(capsulaHVU 5/8"x5"+barra HAS SUPER 5/8"x7 5/8")</v>
          </cell>
          <cell r="D518" t="str">
            <v>5.90 HVU</v>
          </cell>
          <cell r="E518" t="str">
            <v>5.45 barra</v>
          </cell>
          <cell r="F518">
            <v>11.350000000000001</v>
          </cell>
          <cell r="G518" t="str">
            <v>und</v>
          </cell>
        </row>
        <row r="519">
          <cell r="A519" t="str">
            <v>H011</v>
          </cell>
          <cell r="B519" t="str">
            <v>HVA(capsulaHVU 3/8"x3 1/2"+barra HAS STD 3/8"x5 1/8")</v>
          </cell>
          <cell r="D519" t="str">
            <v>2.27 HVU</v>
          </cell>
          <cell r="E519" t="str">
            <v>3.54 barra</v>
          </cell>
          <cell r="F519">
            <v>5.8100000000000005</v>
          </cell>
          <cell r="G519" t="str">
            <v>und</v>
          </cell>
        </row>
        <row r="520">
          <cell r="A520" t="str">
            <v>H012</v>
          </cell>
          <cell r="B520" t="str">
            <v>HVA(capsulaHVU 1/2"x4 1/2"+barra HAS SUPER 1/2"x6 1/2")</v>
          </cell>
          <cell r="D520" t="str">
            <v>4.22 HVU</v>
          </cell>
          <cell r="E520" t="str">
            <v>3.00 barra</v>
          </cell>
          <cell r="F520">
            <v>7.22</v>
          </cell>
          <cell r="G520" t="str">
            <v>und</v>
          </cell>
        </row>
        <row r="521">
          <cell r="A521" t="str">
            <v>H013</v>
          </cell>
          <cell r="B521" t="str">
            <v>HVA(capsulaHVU 1/2"x4 1/2"+barra HAS 1/2"x6 1/2")</v>
          </cell>
          <cell r="D521" t="str">
            <v>4.22 HVU</v>
          </cell>
          <cell r="E521" t="str">
            <v>3.00 barra</v>
          </cell>
          <cell r="F521">
            <v>7.22</v>
          </cell>
          <cell r="G521" t="str">
            <v>und</v>
          </cell>
        </row>
        <row r="522">
          <cell r="A522" t="str">
            <v>SO010</v>
          </cell>
          <cell r="B522" t="str">
            <v>Soldadura BOHLER-UTP 62</v>
          </cell>
          <cell r="F522">
            <v>7.4</v>
          </cell>
          <cell r="G522" t="str">
            <v>kg</v>
          </cell>
        </row>
        <row r="523">
          <cell r="B523" t="str">
            <v>PINTURAS</v>
          </cell>
        </row>
        <row r="524">
          <cell r="A524" t="str">
            <v>pi001</v>
          </cell>
          <cell r="B524" t="str">
            <v xml:space="preserve">Wash Primer </v>
          </cell>
          <cell r="F524">
            <v>15.2</v>
          </cell>
          <cell r="G524" t="str">
            <v>por galón</v>
          </cell>
        </row>
        <row r="525">
          <cell r="A525" t="str">
            <v>pi002</v>
          </cell>
          <cell r="B525" t="str">
            <v>Antic. Epoxi cromato de zinc</v>
          </cell>
          <cell r="F525">
            <v>21.83</v>
          </cell>
          <cell r="G525" t="str">
            <v>por galón</v>
          </cell>
        </row>
        <row r="526">
          <cell r="A526" t="str">
            <v>pi003</v>
          </cell>
          <cell r="B526" t="str">
            <v xml:space="preserve">Esmalte epoxi </v>
          </cell>
          <cell r="F526">
            <v>23.89</v>
          </cell>
          <cell r="G526" t="str">
            <v>por galón</v>
          </cell>
        </row>
        <row r="527">
          <cell r="A527" t="str">
            <v>pi004</v>
          </cell>
          <cell r="B527" t="str">
            <v>Disolvente Wash Primer</v>
          </cell>
          <cell r="F527">
            <v>6.35</v>
          </cell>
          <cell r="G527" t="str">
            <v>por galón</v>
          </cell>
        </row>
        <row r="528">
          <cell r="A528" t="str">
            <v>pi005</v>
          </cell>
          <cell r="B528" t="str">
            <v>Disolvente epoxi</v>
          </cell>
          <cell r="F528">
            <v>8.4700000000000006</v>
          </cell>
          <cell r="G528" t="str">
            <v>por galón</v>
          </cell>
        </row>
        <row r="529">
          <cell r="A529" t="str">
            <v>pi006</v>
          </cell>
          <cell r="B529" t="str">
            <v>Anticorrosivo rojo oxido alquidico</v>
          </cell>
          <cell r="F529">
            <v>8.8000000000000007</v>
          </cell>
          <cell r="G529" t="str">
            <v>por galón</v>
          </cell>
        </row>
        <row r="530">
          <cell r="A530" t="str">
            <v>pi007</v>
          </cell>
          <cell r="B530" t="str">
            <v>Esmalte sintetico alquidico</v>
          </cell>
          <cell r="F530">
            <v>9</v>
          </cell>
          <cell r="G530" t="str">
            <v>por galón</v>
          </cell>
        </row>
        <row r="531">
          <cell r="A531" t="str">
            <v>pi008</v>
          </cell>
          <cell r="B531" t="str">
            <v>Disolvente para esmalte sintetico alquidico</v>
          </cell>
          <cell r="F531">
            <v>5</v>
          </cell>
          <cell r="G531" t="str">
            <v>por galón</v>
          </cell>
        </row>
        <row r="532">
          <cell r="A532" t="str">
            <v>pi009</v>
          </cell>
          <cell r="B532" t="str">
            <v>Auromastic 85 epoxico</v>
          </cell>
          <cell r="F532">
            <v>29.35</v>
          </cell>
          <cell r="G532" t="str">
            <v>por galón</v>
          </cell>
        </row>
        <row r="533">
          <cell r="A533" t="str">
            <v>pi010</v>
          </cell>
          <cell r="B533" t="str">
            <v>Disolvente para Auromastic 85 epoxico</v>
          </cell>
          <cell r="F533">
            <v>8.4700000000000006</v>
          </cell>
          <cell r="G533" t="str">
            <v>por galón</v>
          </cell>
        </row>
        <row r="534">
          <cell r="A534" t="str">
            <v>pi011</v>
          </cell>
          <cell r="B534" t="str">
            <v>Anticorrosivo Kem Kromik</v>
          </cell>
          <cell r="F534">
            <v>16.760000000000002</v>
          </cell>
          <cell r="G534" t="str">
            <v>por galón</v>
          </cell>
          <cell r="H534" t="str">
            <v>46.7 m2/gln</v>
          </cell>
        </row>
        <row r="535">
          <cell r="A535" t="str">
            <v>pi012</v>
          </cell>
          <cell r="B535" t="str">
            <v>Anticorrosivo epóxico Tile Clad II</v>
          </cell>
          <cell r="F535">
            <v>18.75</v>
          </cell>
          <cell r="G535" t="str">
            <v>por galón</v>
          </cell>
        </row>
        <row r="536">
          <cell r="A536" t="str">
            <v>pi013</v>
          </cell>
          <cell r="B536" t="str">
            <v>Esmalte epóxico Tile Clad II</v>
          </cell>
          <cell r="F536">
            <v>18.75</v>
          </cell>
          <cell r="G536" t="str">
            <v>por galón</v>
          </cell>
        </row>
        <row r="537">
          <cell r="A537" t="str">
            <v>pi014</v>
          </cell>
          <cell r="B537" t="str">
            <v>Primer epoxi repintable</v>
          </cell>
          <cell r="F537">
            <v>32.58</v>
          </cell>
          <cell r="G537" t="str">
            <v>por galón</v>
          </cell>
        </row>
        <row r="538">
          <cell r="A538" t="str">
            <v>pi015</v>
          </cell>
          <cell r="B538" t="str">
            <v>Disolvente epóxico R7K58</v>
          </cell>
          <cell r="F538">
            <v>9.18</v>
          </cell>
          <cell r="G538" t="str">
            <v>por galón</v>
          </cell>
        </row>
        <row r="539">
          <cell r="A539" t="str">
            <v>pi016</v>
          </cell>
          <cell r="B539" t="str">
            <v>Disolvente epóxico R7K54</v>
          </cell>
          <cell r="F539">
            <v>9.23</v>
          </cell>
          <cell r="G539" t="str">
            <v>por galón</v>
          </cell>
        </row>
        <row r="540">
          <cell r="A540" t="str">
            <v>pi017</v>
          </cell>
          <cell r="B540" t="str">
            <v>Disolvente R1K4</v>
          </cell>
          <cell r="F540">
            <v>5.65</v>
          </cell>
          <cell r="G540" t="str">
            <v>por galón</v>
          </cell>
        </row>
        <row r="541">
          <cell r="A541" t="str">
            <v>pi018</v>
          </cell>
          <cell r="B541" t="str">
            <v>Epoxi Zinc Clad 6</v>
          </cell>
          <cell r="F541">
            <v>53.35</v>
          </cell>
          <cell r="G541" t="str">
            <v>por galón</v>
          </cell>
        </row>
        <row r="542">
          <cell r="A542" t="str">
            <v>pi019</v>
          </cell>
          <cell r="B542" t="str">
            <v>Esmalte Epoxi Mastic</v>
          </cell>
          <cell r="F542">
            <v>39.74</v>
          </cell>
          <cell r="G542" t="str">
            <v>por galón</v>
          </cell>
        </row>
        <row r="543">
          <cell r="A543" t="str">
            <v>pi020</v>
          </cell>
          <cell r="B543" t="str">
            <v>Esmalte Kem Lustral</v>
          </cell>
          <cell r="F543">
            <v>15.4</v>
          </cell>
          <cell r="G543" t="str">
            <v>por galón</v>
          </cell>
          <cell r="H543" t="str">
            <v>37.7 m2/gln</v>
          </cell>
        </row>
        <row r="544">
          <cell r="A544" t="str">
            <v>pi021</v>
          </cell>
          <cell r="B544" t="str">
            <v>Esmalte Poliuretano Kem</v>
          </cell>
          <cell r="F544">
            <v>67.900000000000006</v>
          </cell>
          <cell r="G544" t="str">
            <v>por galón</v>
          </cell>
        </row>
        <row r="545">
          <cell r="A545" t="str">
            <v>pi022</v>
          </cell>
          <cell r="B545" t="str">
            <v>Esmalte epóxico Kem Hi Bild</v>
          </cell>
          <cell r="F545">
            <v>28.07</v>
          </cell>
          <cell r="G545" t="str">
            <v>por galón</v>
          </cell>
        </row>
        <row r="546">
          <cell r="A546" t="str">
            <v>pi023</v>
          </cell>
          <cell r="B546" t="str">
            <v xml:space="preserve">Anticorrosivo alquídico Metal Primer </v>
          </cell>
          <cell r="F546">
            <v>8.0500000000000007</v>
          </cell>
          <cell r="G546" t="str">
            <v>por galón</v>
          </cell>
          <cell r="H546" t="str">
            <v>46 m2/gln</v>
          </cell>
        </row>
        <row r="547">
          <cell r="A547" t="str">
            <v>pi024</v>
          </cell>
          <cell r="B547" t="str">
            <v>Esmalte sintético alquídico Sher Lux</v>
          </cell>
          <cell r="F547">
            <v>12.9</v>
          </cell>
          <cell r="G547" t="str">
            <v>por galón</v>
          </cell>
          <cell r="H547" t="str">
            <v>26.8 m2/gln</v>
          </cell>
        </row>
        <row r="548">
          <cell r="A548" t="str">
            <v>pi025</v>
          </cell>
          <cell r="B548" t="str">
            <v>Anticorrosivo Elastex II HB 911</v>
          </cell>
          <cell r="F548">
            <v>22.5</v>
          </cell>
          <cell r="G548" t="str">
            <v>por galón</v>
          </cell>
        </row>
        <row r="549">
          <cell r="A549" t="str">
            <v>pi026</v>
          </cell>
          <cell r="B549" t="str">
            <v>Esmalte Elastex II HB 949</v>
          </cell>
          <cell r="F549">
            <v>24.85</v>
          </cell>
          <cell r="G549" t="str">
            <v>por galón</v>
          </cell>
        </row>
        <row r="550">
          <cell r="A550" t="str">
            <v>pi027</v>
          </cell>
          <cell r="B550" t="str">
            <v>Solvente B8-J45</v>
          </cell>
          <cell r="F550">
            <v>8.9</v>
          </cell>
          <cell r="G550" t="str">
            <v>por galón</v>
          </cell>
        </row>
        <row r="551">
          <cell r="A551" t="str">
            <v>pi028</v>
          </cell>
          <cell r="B551" t="str">
            <v>Intumescente Promapaint E</v>
          </cell>
          <cell r="F551">
            <v>178.90576271186438</v>
          </cell>
          <cell r="G551" t="str">
            <v>por envase de 25 kg</v>
          </cell>
        </row>
        <row r="552">
          <cell r="A552" t="str">
            <v>pi029</v>
          </cell>
          <cell r="B552" t="str">
            <v>Anticorrosivo cromato de zinc secado rápido</v>
          </cell>
          <cell r="F552">
            <v>14</v>
          </cell>
          <cell r="G552" t="str">
            <v>por galón</v>
          </cell>
        </row>
        <row r="553">
          <cell r="A553" t="str">
            <v>pi030</v>
          </cell>
          <cell r="B553" t="str">
            <v>Esmalte industrial de secado rápido</v>
          </cell>
          <cell r="F553">
            <v>14</v>
          </cell>
          <cell r="G553" t="str">
            <v>por galón</v>
          </cell>
        </row>
        <row r="554">
          <cell r="A554" t="str">
            <v>pi031</v>
          </cell>
          <cell r="B554" t="str">
            <v>Disolvente especial xilol</v>
          </cell>
          <cell r="F554">
            <v>6.56</v>
          </cell>
          <cell r="G554" t="str">
            <v>por galón</v>
          </cell>
        </row>
        <row r="555">
          <cell r="A555" t="str">
            <v>pi032</v>
          </cell>
          <cell r="B555" t="str">
            <v>Wash Primer Verde Ameron</v>
          </cell>
          <cell r="F555">
            <v>21.15</v>
          </cell>
          <cell r="G555" t="str">
            <v>por galón</v>
          </cell>
        </row>
        <row r="556">
          <cell r="A556" t="str">
            <v>pi033</v>
          </cell>
          <cell r="B556" t="str">
            <v>Anticorrosivo Amercoat 71</v>
          </cell>
          <cell r="F556">
            <v>26</v>
          </cell>
          <cell r="G556" t="str">
            <v>por galón</v>
          </cell>
        </row>
        <row r="557">
          <cell r="A557" t="str">
            <v>pi034</v>
          </cell>
          <cell r="B557" t="str">
            <v>Esmalte Amerlock 400</v>
          </cell>
          <cell r="F557">
            <v>41</v>
          </cell>
          <cell r="G557" t="str">
            <v>por galón</v>
          </cell>
        </row>
        <row r="558">
          <cell r="A558" t="str">
            <v>pi035</v>
          </cell>
          <cell r="B558" t="str">
            <v>Solvente B33J24 (para Amerlock 400)</v>
          </cell>
          <cell r="F558">
            <v>9.65</v>
          </cell>
          <cell r="G558" t="str">
            <v>por galón</v>
          </cell>
        </row>
        <row r="559">
          <cell r="A559" t="str">
            <v>pi036</v>
          </cell>
          <cell r="B559" t="str">
            <v>Solvente B8J45 (para Amercoat 71)</v>
          </cell>
          <cell r="F559">
            <v>8.9</v>
          </cell>
          <cell r="G559" t="str">
            <v>por galón</v>
          </cell>
        </row>
        <row r="560">
          <cell r="A560" t="str">
            <v>pi037</v>
          </cell>
          <cell r="B560" t="str">
            <v>Wash Primer Vencedor 1</v>
          </cell>
          <cell r="F560">
            <v>16.77</v>
          </cell>
          <cell r="G560" t="str">
            <v>por galón</v>
          </cell>
        </row>
        <row r="561">
          <cell r="A561" t="str">
            <v>pi038</v>
          </cell>
          <cell r="B561" t="str">
            <v>Wash Primer catalizador Vencedor</v>
          </cell>
          <cell r="F561">
            <v>2.1800000000000002</v>
          </cell>
          <cell r="G561" t="str">
            <v>por galón</v>
          </cell>
        </row>
        <row r="562">
          <cell r="A562" t="str">
            <v>pi039</v>
          </cell>
          <cell r="B562" t="str">
            <v>Vencepoxi Primer cromatizado A</v>
          </cell>
          <cell r="F562">
            <v>24.54</v>
          </cell>
          <cell r="G562" t="str">
            <v>por galón</v>
          </cell>
        </row>
        <row r="563">
          <cell r="A563" t="str">
            <v>pi040</v>
          </cell>
          <cell r="B563" t="str">
            <v>Vencepoxi Endur. Primer crom.B</v>
          </cell>
          <cell r="F563">
            <v>16.16</v>
          </cell>
          <cell r="G563" t="str">
            <v>por galón</v>
          </cell>
        </row>
        <row r="564">
          <cell r="A564" t="str">
            <v>pi041</v>
          </cell>
          <cell r="B564" t="str">
            <v>Vencepoxi Esmalte A</v>
          </cell>
          <cell r="F564">
            <v>21.53</v>
          </cell>
          <cell r="G564" t="str">
            <v>por galón</v>
          </cell>
        </row>
        <row r="565">
          <cell r="A565" t="str">
            <v>pi042</v>
          </cell>
          <cell r="B565" t="str">
            <v>Vencepoxi Endurec. Esmalte B</v>
          </cell>
          <cell r="F565">
            <v>14.8</v>
          </cell>
          <cell r="G565" t="str">
            <v>por galón</v>
          </cell>
        </row>
        <row r="566">
          <cell r="A566" t="str">
            <v>pi043</v>
          </cell>
          <cell r="B566" t="str">
            <v>Diluyente Wash Primer Vencedor</v>
          </cell>
          <cell r="F566">
            <v>7.82</v>
          </cell>
          <cell r="G566" t="str">
            <v>por galón</v>
          </cell>
        </row>
        <row r="567">
          <cell r="A567" t="str">
            <v>pi044</v>
          </cell>
          <cell r="B567" t="str">
            <v>Diluyente Industrial Vencedor</v>
          </cell>
          <cell r="F567">
            <v>7.84</v>
          </cell>
          <cell r="G567" t="str">
            <v>por galón</v>
          </cell>
        </row>
        <row r="568">
          <cell r="A568" t="str">
            <v>pi045</v>
          </cell>
          <cell r="B568" t="str">
            <v>Epoxi polvo de zinc</v>
          </cell>
          <cell r="F568">
            <v>47.22</v>
          </cell>
          <cell r="G568" t="str">
            <v>por galón</v>
          </cell>
        </row>
        <row r="569">
          <cell r="A569" t="str">
            <v>pi046</v>
          </cell>
          <cell r="B569" t="str">
            <v>Coaltar Epoxi C200 marrón</v>
          </cell>
          <cell r="F569">
            <v>18.7</v>
          </cell>
          <cell r="G569" t="str">
            <v>por galón</v>
          </cell>
        </row>
        <row r="570">
          <cell r="A570" t="str">
            <v>pi047</v>
          </cell>
          <cell r="B570" t="str">
            <v>Coaltar Epoxi C200 negro</v>
          </cell>
          <cell r="F570">
            <v>18.7</v>
          </cell>
          <cell r="G570" t="str">
            <v>por galón</v>
          </cell>
        </row>
        <row r="571">
          <cell r="A571" t="str">
            <v>pi048</v>
          </cell>
          <cell r="B571" t="str">
            <v>Disolvente para coaltar</v>
          </cell>
          <cell r="F571">
            <v>10.47</v>
          </cell>
          <cell r="G571" t="str">
            <v>por galón</v>
          </cell>
        </row>
        <row r="572">
          <cell r="A572" t="str">
            <v>pi049</v>
          </cell>
          <cell r="B572" t="str">
            <v>Anticorrosivo Epoxi Corroles</v>
          </cell>
          <cell r="F572">
            <v>22.54</v>
          </cell>
          <cell r="G572" t="str">
            <v>por galón</v>
          </cell>
        </row>
        <row r="573">
          <cell r="A573" t="str">
            <v>pi050</v>
          </cell>
          <cell r="B573" t="str">
            <v>Primer Epoxi Mastic Aluminio</v>
          </cell>
          <cell r="F573">
            <v>39.74</v>
          </cell>
          <cell r="G573" t="str">
            <v>por galón</v>
          </cell>
        </row>
        <row r="574">
          <cell r="A574" t="str">
            <v>pi051</v>
          </cell>
          <cell r="B574" t="str">
            <v>Poliuretano Hi Solid</v>
          </cell>
          <cell r="F574">
            <v>71.5</v>
          </cell>
          <cell r="G574" t="str">
            <v>por galón</v>
          </cell>
        </row>
        <row r="575">
          <cell r="A575" t="str">
            <v>pi052</v>
          </cell>
          <cell r="B575" t="str">
            <v>Doluyente R7KLP550</v>
          </cell>
          <cell r="F575">
            <v>15.3</v>
          </cell>
          <cell r="G575" t="str">
            <v>por galón</v>
          </cell>
        </row>
        <row r="576">
          <cell r="A576" t="str">
            <v>pi053</v>
          </cell>
          <cell r="B576" t="str">
            <v>Wash Primer Sherwin</v>
          </cell>
          <cell r="F576">
            <v>20.25</v>
          </cell>
          <cell r="G576" t="str">
            <v>por galón</v>
          </cell>
        </row>
        <row r="577">
          <cell r="A577" t="str">
            <v>pi054</v>
          </cell>
          <cell r="B577" t="str">
            <v>Diluyente R6K20</v>
          </cell>
          <cell r="F577">
            <v>8.33</v>
          </cell>
          <cell r="G577" t="str">
            <v>por galón</v>
          </cell>
        </row>
        <row r="578">
          <cell r="A578" t="str">
            <v>pi055</v>
          </cell>
          <cell r="B578" t="str">
            <v>Primer epoxy repintable</v>
          </cell>
          <cell r="F578">
            <v>31.86</v>
          </cell>
          <cell r="G578" t="str">
            <v>por galón</v>
          </cell>
        </row>
        <row r="579">
          <cell r="A579" t="str">
            <v>pi056</v>
          </cell>
          <cell r="B579" t="str">
            <v>Dimetcote9 Ameron</v>
          </cell>
          <cell r="F579">
            <v>70</v>
          </cell>
          <cell r="G579" t="str">
            <v>por galón</v>
          </cell>
        </row>
        <row r="580">
          <cell r="A580" t="str">
            <v>pi057</v>
          </cell>
          <cell r="B580" t="str">
            <v>Amershield Ameron</v>
          </cell>
          <cell r="F580">
            <v>85</v>
          </cell>
          <cell r="G580" t="str">
            <v>por galón</v>
          </cell>
        </row>
        <row r="581">
          <cell r="A581" t="str">
            <v>pi058</v>
          </cell>
          <cell r="B581" t="str">
            <v>Solvente IR-369</v>
          </cell>
          <cell r="F581">
            <v>15.35</v>
          </cell>
          <cell r="G581" t="str">
            <v>por galón</v>
          </cell>
        </row>
        <row r="582">
          <cell r="A582" t="str">
            <v>pi059</v>
          </cell>
          <cell r="B582" t="str">
            <v>Amercoat 90HS</v>
          </cell>
          <cell r="F582">
            <v>49.5</v>
          </cell>
          <cell r="G582" t="str">
            <v>por galón</v>
          </cell>
        </row>
        <row r="583">
          <cell r="A583" t="str">
            <v>pi060</v>
          </cell>
          <cell r="G583" t="str">
            <v>por galón</v>
          </cell>
        </row>
        <row r="584">
          <cell r="A584" t="str">
            <v>pi061</v>
          </cell>
          <cell r="G584" t="str">
            <v>por galón</v>
          </cell>
        </row>
        <row r="585">
          <cell r="A585" t="str">
            <v>pi062</v>
          </cell>
          <cell r="G585" t="str">
            <v>por galón</v>
          </cell>
        </row>
        <row r="586">
          <cell r="A586" t="str">
            <v>pi063</v>
          </cell>
          <cell r="G586" t="str">
            <v>por galón</v>
          </cell>
        </row>
        <row r="587">
          <cell r="A587" t="str">
            <v>pi064</v>
          </cell>
          <cell r="G587" t="str">
            <v>por galón</v>
          </cell>
        </row>
        <row r="588">
          <cell r="A588" t="str">
            <v>pi065</v>
          </cell>
          <cell r="G588" t="str">
            <v>por galón</v>
          </cell>
        </row>
        <row r="589">
          <cell r="A589" t="str">
            <v>pi066</v>
          </cell>
          <cell r="G589" t="str">
            <v>por galón</v>
          </cell>
        </row>
        <row r="590">
          <cell r="A590" t="str">
            <v>pi067</v>
          </cell>
          <cell r="G590" t="str">
            <v>por galón</v>
          </cell>
        </row>
        <row r="593">
          <cell r="B593" t="str">
            <v>ARCO SUMERGIDO</v>
          </cell>
          <cell r="D593" t="str">
            <v>kem kromik - kem lustral - R1K4 (12-15% x gln)</v>
          </cell>
        </row>
        <row r="594">
          <cell r="B594" t="str">
            <v>Fundente = 0,234 kg/ml  ( 3,0 $/kg )</v>
          </cell>
          <cell r="D594" t="str">
            <v>metal primer - sher lux - R1K4</v>
          </cell>
        </row>
        <row r="595">
          <cell r="B595" t="str">
            <v>Alambre = 0,156 kg/ml    ( 2,0 $/kg )</v>
          </cell>
        </row>
        <row r="598">
          <cell r="B598" t="str">
            <v>PINTURA INTUMESCENTE PORMAPAINT E</v>
          </cell>
          <cell r="C598" t="str">
            <v>resistencia</v>
          </cell>
          <cell r="D598" t="str">
            <v>espesor</v>
          </cell>
          <cell r="E598" t="str">
            <v>m2/envase</v>
          </cell>
        </row>
        <row r="599">
          <cell r="C599" t="str">
            <v>al fuego</v>
          </cell>
          <cell r="D599" t="str">
            <v>micras</v>
          </cell>
        </row>
        <row r="600">
          <cell r="C600" t="str">
            <v>RF-15</v>
          </cell>
          <cell r="D600">
            <v>200</v>
          </cell>
          <cell r="E600">
            <v>55</v>
          </cell>
        </row>
        <row r="601">
          <cell r="C601" t="str">
            <v>RF-30</v>
          </cell>
          <cell r="D601">
            <v>300</v>
          </cell>
          <cell r="E601">
            <v>40</v>
          </cell>
        </row>
        <row r="602">
          <cell r="C602" t="str">
            <v>RF-60</v>
          </cell>
          <cell r="D602">
            <v>477</v>
          </cell>
          <cell r="E602">
            <v>24</v>
          </cell>
        </row>
        <row r="603">
          <cell r="C603" t="str">
            <v>RF-90</v>
          </cell>
          <cell r="D603">
            <v>1000</v>
          </cell>
          <cell r="E603">
            <v>10</v>
          </cell>
        </row>
        <row r="604">
          <cell r="C604" t="str">
            <v>RF-120</v>
          </cell>
          <cell r="D604">
            <v>1664</v>
          </cell>
          <cell r="E604">
            <v>7</v>
          </cell>
        </row>
        <row r="606">
          <cell r="B606" t="str">
            <v>PERFILES PRECOR</v>
          </cell>
        </row>
        <row r="607">
          <cell r="A607" t="str">
            <v>U001</v>
          </cell>
          <cell r="B607" t="str">
            <v>U - 10" x 3" x 4.5</v>
          </cell>
          <cell r="E607">
            <v>13.83</v>
          </cell>
          <cell r="G607">
            <v>0.81200000000000006</v>
          </cell>
        </row>
        <row r="608">
          <cell r="A608" t="str">
            <v>U002</v>
          </cell>
          <cell r="B608" t="str">
            <v>U - 6" x 3" x 4.5</v>
          </cell>
          <cell r="E608">
            <v>10.24</v>
          </cell>
          <cell r="G608">
            <v>0.60799999999999998</v>
          </cell>
        </row>
        <row r="609">
          <cell r="A609" t="str">
            <v>U003</v>
          </cell>
          <cell r="B609" t="str">
            <v>U - 6" x 3" x 3.0</v>
          </cell>
          <cell r="E609">
            <v>6.95</v>
          </cell>
          <cell r="G609">
            <v>0.60799999999999998</v>
          </cell>
        </row>
        <row r="610">
          <cell r="A610" t="str">
            <v>U004</v>
          </cell>
          <cell r="B610" t="str">
            <v>U - 6" x 2" x 3.0</v>
          </cell>
          <cell r="E610">
            <v>5.75</v>
          </cell>
          <cell r="G610">
            <v>0.50800000000000001</v>
          </cell>
        </row>
        <row r="611">
          <cell r="A611" t="str">
            <v>U005</v>
          </cell>
          <cell r="B611" t="str">
            <v>U - 4" x 2" x 3.0</v>
          </cell>
          <cell r="E611">
            <v>4.55</v>
          </cell>
          <cell r="G611">
            <v>0.40799999999999997</v>
          </cell>
        </row>
        <row r="612">
          <cell r="A612" t="str">
            <v>U006</v>
          </cell>
          <cell r="B612" t="str">
            <v>U - 2" x 1" x 3.0</v>
          </cell>
          <cell r="E612">
            <v>2.16</v>
          </cell>
          <cell r="G612">
            <v>0.20200000000000001</v>
          </cell>
        </row>
        <row r="614">
          <cell r="A614" t="str">
            <v>C001</v>
          </cell>
          <cell r="B614" t="str">
            <v>C - 7" x 3" x 3.0</v>
          </cell>
          <cell r="E614">
            <v>8.2100000000000009</v>
          </cell>
          <cell r="G614">
            <v>0.73599999999999999</v>
          </cell>
        </row>
        <row r="615">
          <cell r="A615" t="str">
            <v>C002</v>
          </cell>
          <cell r="B615" t="str">
            <v>C - 6" x 3" x 3.0</v>
          </cell>
          <cell r="E615">
            <v>11.06</v>
          </cell>
          <cell r="G615">
            <v>0.68400000000000005</v>
          </cell>
        </row>
        <row r="617">
          <cell r="A617" t="str">
            <v>TC01</v>
          </cell>
          <cell r="B617" t="str">
            <v>Tubo Cuad. 4" x 2.0</v>
          </cell>
          <cell r="E617">
            <v>6.07</v>
          </cell>
          <cell r="G617">
            <v>0.40799999999999997</v>
          </cell>
        </row>
        <row r="619">
          <cell r="A619" t="str">
            <v>TR01</v>
          </cell>
          <cell r="B619" t="str">
            <v>Tubo Rect. 150 x 50 x 2.0</v>
          </cell>
          <cell r="E619">
            <v>6.07</v>
          </cell>
          <cell r="G619">
            <v>0.4</v>
          </cell>
        </row>
        <row r="620">
          <cell r="A620" t="str">
            <v>TR02</v>
          </cell>
          <cell r="B620" t="str">
            <v>Tubo Rect. 150 x 100 x 3.0</v>
          </cell>
          <cell r="G620">
            <v>0.5</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YECTO SIMPLIFICADO"/>
      <sheetName val="Hoja2"/>
      <sheetName val="1. Población Y RR.SS"/>
      <sheetName val="2. Demanda Oferta"/>
      <sheetName val="3-Disp Final"/>
      <sheetName val="4. Planteamiento Tecnico"/>
      <sheetName val="5. Equipamiento"/>
      <sheetName val="6-Obra"/>
      <sheetName val="7. Consultoria"/>
      <sheetName val="8. Operacion y Mantenimiento"/>
      <sheetName val="9 REINV  - CI"/>
      <sheetName val="10-Exp Tecnico"/>
      <sheetName val="11 P-Alter"/>
      <sheetName val="12.CEF-Tarifa"/>
    </sheetNames>
    <sheetDataSet>
      <sheetData sheetId="0"/>
      <sheetData sheetId="1">
        <row r="2">
          <cell r="B2" t="str">
            <v>Compactador</v>
          </cell>
        </row>
        <row r="3">
          <cell r="B3" t="str">
            <v>Baranda</v>
          </cell>
        </row>
        <row r="4">
          <cell r="B4" t="str">
            <v>Volquete</v>
          </cell>
        </row>
        <row r="6">
          <cell r="B6" t="str">
            <v>Planta de reaprovechamiento organico</v>
          </cell>
        </row>
        <row r="7">
          <cell r="B7" t="str">
            <v>Planta de reaprovechamiento inorganico</v>
          </cell>
        </row>
        <row r="8">
          <cell r="B8" t="str">
            <v xml:space="preserve">Kit operativo para el reaprovechamiento (balanza, medidor de pH y termometro industrial). </v>
          </cell>
        </row>
        <row r="9">
          <cell r="B9" t="str">
            <v>Kit de reaprovechamiento (rastrillo, pico, carretilla, lampa y zaranda)</v>
          </cell>
        </row>
        <row r="10">
          <cell r="B10" t="str">
            <v>Kit de seguridad (camisaco, patalón, polo,gorro,poncho,guante,mascarilla,zapatilla,botin y lentes)</v>
          </cell>
        </row>
        <row r="11">
          <cell r="B11" t="str">
            <v>No requiere</v>
          </cell>
        </row>
        <row r="13">
          <cell r="B13">
            <v>1</v>
          </cell>
        </row>
        <row r="14">
          <cell r="B14">
            <v>0</v>
          </cell>
        </row>
        <row r="20">
          <cell r="B20" t="str">
            <v>Botadero</v>
          </cell>
        </row>
        <row r="21">
          <cell r="B21" t="str">
            <v>Relleno Sanitario</v>
          </cell>
        </row>
      </sheetData>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Departamento"/>
      <sheetName val="3-Provincia de Oxa"/>
      <sheetName val="VR"/>
      <sheetName val="VR2"/>
      <sheetName val="3-Dis. Villa Rica"/>
      <sheetName val="3.P. Local"/>
      <sheetName val="4. Pobl. Loc"/>
      <sheetName val="5. Res. Pob."/>
      <sheetName val="6. Datos de RRSS"/>
      <sheetName val="7. GRSM"/>
      <sheetName val="8. DOA"/>
      <sheetName val="9-DOB"/>
      <sheetName val="10-DOR"/>
      <sheetName val="11-DODF"/>
      <sheetName val="12-RESUMEN D&amp;O"/>
      <sheetName val="13-DFA"/>
      <sheetName val="14-DFB"/>
      <sheetName val="15-DFR"/>
      <sheetName val="16-RDS"/>
      <sheetName val="17-VILLA RICA"/>
      <sheetName val="17-CAU_ENE_PAUC"/>
      <sheetName val="ENE"/>
      <sheetName val="18-AC"/>
      <sheetName val="19-CIA"/>
      <sheetName val="20-COA"/>
      <sheetName val="21-CIR"/>
      <sheetName val="22-COR-1"/>
      <sheetName val="23-COR-2"/>
      <sheetName val="24.1-Desa Reaprov_ALT 1"/>
      <sheetName val="24.1-Desa Reaprov_ALT 2"/>
      <sheetName val="25-CIER"/>
      <sheetName val="26-COMR"/>
      <sheetName val="27.1-DES RELLENO_ALT 1"/>
      <sheetName val="27.2-DES RELLENO_ALT 2"/>
      <sheetName val="28-CIDF"/>
      <sheetName val="29-Cierre RS"/>
      <sheetName val="30-Med. RS"/>
      <sheetName val="31-CIEDF_Alt 1"/>
      <sheetName val="31-CIEDF_Alt 2"/>
      <sheetName val="32-COMDF"/>
      <sheetName val="33-CI GATF"/>
      <sheetName val="34-CO - GATF"/>
      <sheetName val="35-CI SENSIB PO"/>
      <sheetName val="36 - C.O. SENSIB POB"/>
      <sheetName val="37 POM-Alt1"/>
      <sheetName val="38 POM-Alt2"/>
      <sheetName val="39-RINV"/>
      <sheetName val="40 GMUN"/>
      <sheetName val="41 C INCREMENTALES"/>
      <sheetName val="42-Exp Tecnico"/>
      <sheetName val="43 P-Alter 1"/>
      <sheetName val="44 P-Alter 2"/>
      <sheetName val="45-CEF"/>
      <sheetName val="46 Tarifa"/>
      <sheetName val="47 -IPS"/>
      <sheetName val="48- IyE"/>
      <sheetName val="49- Marco Logico"/>
      <sheetName val="50 -CRONOGR. EJECUC. FINANCIERA"/>
      <sheetName val="51 -CRONOGR. EJECUC. FISIC"/>
      <sheetName val="52-CRONO"/>
      <sheetName val="53-FC"/>
      <sheetName val="54-VIDA UTIL"/>
      <sheetName val="FICHA SNIP"/>
      <sheetName val="OPTIMO DE INVERS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 sheetId="24" refreshError="1"/>
      <sheetData sheetId="25">
        <row r="8">
          <cell r="G8">
            <v>1213083.5</v>
          </cell>
          <cell r="I8">
            <v>994728.47</v>
          </cell>
        </row>
      </sheetData>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ow r="6">
          <cell r="G6">
            <v>654435.17999999993</v>
          </cell>
          <cell r="I6">
            <v>530092.49580000015</v>
          </cell>
        </row>
      </sheetData>
      <sheetData sheetId="38" refreshError="1"/>
      <sheetData sheetId="39" refreshError="1"/>
      <sheetData sheetId="40">
        <row r="5">
          <cell r="G5">
            <v>144690</v>
          </cell>
          <cell r="I5">
            <v>122986.5</v>
          </cell>
        </row>
      </sheetData>
      <sheetData sheetId="41" refreshError="1"/>
      <sheetData sheetId="42">
        <row r="5">
          <cell r="F5">
            <v>139878.79999999999</v>
          </cell>
          <cell r="H5">
            <v>117498.192</v>
          </cell>
        </row>
      </sheetData>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ow r="7">
          <cell r="J7">
            <v>2</v>
          </cell>
        </row>
      </sheetData>
      <sheetData sheetId="62" refreshError="1"/>
      <sheetData sheetId="63"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pto-Ica"/>
      <sheetName val="Prov-Ica"/>
      <sheetName val="Dist-Santiago"/>
      <sheetName val="Departamento (1)"/>
      <sheetName val="Provincia (2)"/>
      <sheetName val="Distrito(3)"/>
      <sheetName val="(4) - Estimación Población"/>
      <sheetName val="Hoja(5)"/>
      <sheetName val="(6)-GRSM"/>
      <sheetName val="(7)-C"/>
      <sheetName val="ANEXO 5 - Alternativas"/>
      <sheetName val="(8)-A"/>
      <sheetName val="(9)-DB"/>
      <sheetName val="(10)-OB"/>
      <sheetName val="(11)-DEB"/>
      <sheetName val="(12)-DR"/>
      <sheetName val="(13)-OR"/>
      <sheetName val="(14)-DER"/>
      <sheetName val="(15)-DRA"/>
      <sheetName val="(16)-ORA"/>
      <sheetName val="(17)-DERA"/>
      <sheetName val="(18)-DF"/>
      <sheetName val="ANEXO - CANT. Y COSTOS UNIT."/>
      <sheetName val="(19)-R"/>
      <sheetName val="(20)-IG"/>
      <sheetName val="(21)-CUI"/>
      <sheetName val="(22)-CIB"/>
      <sheetName val="(23)-COB"/>
      <sheetName val="(24)-CIR"/>
      <sheetName val="(25)-COR"/>
      <sheetName val="ANEXO 24 - REAPROVECH INFRAEST"/>
      <sheetName val="(26)-CIRA"/>
      <sheetName val="(27)- CIRAE"/>
      <sheetName val="AEsRA"/>
      <sheetName val="(28)-CORA"/>
      <sheetName val="ANEXO 27 - DISP FINAL INFRAEST"/>
      <sheetName val=" (29) - DISP FINAL INFRA (2)"/>
      <sheetName val="(30)Presupueto A Seleccionada"/>
      <sheetName val="(31) - Presupuesto Simp (2)"/>
      <sheetName val="(32)EVA y SEN "/>
      <sheetName val="(33)TARIFA"/>
      <sheetName val="(34) - DISP FINAL EQUIPAMIE"/>
      <sheetName val="(35) - C.O. DISP FINAL"/>
      <sheetName val="(36) - GESTION A.F.T"/>
      <sheetName val="(37)- SENSIB POB-INV"/>
      <sheetName val="(38) - C.O. SENSIB POB"/>
      <sheetName val="ANEXO 31 - C.O. SENSIB POB B"/>
      <sheetName val="(39) - CIERRE DEL RELLENO"/>
      <sheetName val="ANEXO 33 - Programa de Acciones"/>
      <sheetName val="ANEXO 34 - Cronograma de Activi"/>
      <sheetName val="Hoja4"/>
      <sheetName val="(40)-CRONOGRAMA DE ACCIONES"/>
      <sheetName val="(41) - Presupuesto 1"/>
      <sheetName val="ANEXO 36 PTO ALT 1"/>
      <sheetName val="ANEXO 35 - Presupuesto Simple 1"/>
      <sheetName val="ANEXO 36 - Cronograma de Invers"/>
      <sheetName val="ANEXO 36 - Cronograma de In (2)"/>
      <sheetName val="(42) - Presupuesto 2"/>
      <sheetName val="ANEXO 38 - Presupuesto Simple 2"/>
      <sheetName val="(43) - Presupuesto Simp (3)"/>
      <sheetName val="(44) - Gastos Municipales"/>
      <sheetName val="(45)-Cronograma reinversión"/>
      <sheetName val="(46) - Costos Incrementales"/>
      <sheetName val="(47)Ingresos"/>
      <sheetName val="ANEXO 42 - EVAL COSTO-EFECTIVID"/>
      <sheetName val="ANEXO 43 - CÁLCULO DE TARIF"/>
      <sheetName val="ANEXO 44 - INGRESOS"/>
      <sheetName val="ANEXO 45 - F.N. MEJOR ALTERNATI"/>
      <sheetName val="ANEXO 46-FLUJO DE CAJA"/>
      <sheetName val="UNIFORMES"/>
      <sheetName val="RESUMEN OPEMA"/>
      <sheetName val="Hoja1"/>
      <sheetName val="Hoja2"/>
      <sheetName val="ANEXO 14 B - Demanda Aprovech"/>
      <sheetName val="ANEXO 14 C - Planta Compost 1"/>
      <sheetName val="ANEXO 14 D - Planta Compost 2 "/>
      <sheetName val="ANEXO 14 - E Planta Reciclaje"/>
      <sheetName val="ANEXO 17 B- Disposición Final"/>
      <sheetName val="ANEXO 46 - PROYEC. TARIFA_GASTO"/>
      <sheetName val="ANEXO 47 - FLUJO CON IR"/>
      <sheetName val="ANEXO 47 A - FLUJO SIN IR"/>
      <sheetName val="ANEXO 48 -GAST0"/>
      <sheetName val="(48) - VIDA  UTIL"/>
      <sheetName val="(49) - Factores Corrección"/>
      <sheetName val="(50)Sheet1"/>
      <sheetName val="(51)Sheet1 (2)"/>
      <sheetName val="(52)FORMATO SNIP 04"/>
      <sheetName val="ANEXO 50 - MARCO LÓGICO"/>
    </sheetNames>
    <sheetDataSet>
      <sheetData sheetId="0"/>
      <sheetData sheetId="1"/>
      <sheetData sheetId="2"/>
      <sheetData sheetId="3"/>
      <sheetData sheetId="4"/>
      <sheetData sheetId="5"/>
      <sheetData sheetId="6"/>
      <sheetData sheetId="7"/>
      <sheetData sheetId="8">
        <row r="18">
          <cell r="B18">
            <v>0.36519579999999996</v>
          </cell>
        </row>
      </sheetData>
      <sheetData sheetId="9">
        <row r="30">
          <cell r="C30">
            <v>0.43579999999999997</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11">
          <cell r="G11">
            <v>11750.8</v>
          </cell>
        </row>
      </sheetData>
      <sheetData sheetId="27"/>
      <sheetData sheetId="28">
        <row r="8">
          <cell r="G8">
            <v>140580.41</v>
          </cell>
        </row>
      </sheetData>
      <sheetData sheetId="29"/>
      <sheetData sheetId="30">
        <row r="68">
          <cell r="F68">
            <v>325655.9044</v>
          </cell>
        </row>
        <row r="69">
          <cell r="H69">
            <v>27680.751874000001</v>
          </cell>
        </row>
        <row r="70">
          <cell r="H70">
            <v>27680.751874000001</v>
          </cell>
        </row>
      </sheetData>
      <sheetData sheetId="31"/>
      <sheetData sheetId="32">
        <row r="37">
          <cell r="J37">
            <v>833.52700000000004</v>
          </cell>
        </row>
      </sheetData>
      <sheetData sheetId="33"/>
      <sheetData sheetId="34"/>
      <sheetData sheetId="35">
        <row r="92">
          <cell r="F92">
            <v>101116.94232</v>
          </cell>
          <cell r="H92">
            <v>85949.400972000003</v>
          </cell>
        </row>
        <row r="93">
          <cell r="H93">
            <v>85949.400972000003</v>
          </cell>
        </row>
      </sheetData>
      <sheetData sheetId="36"/>
      <sheetData sheetId="37"/>
      <sheetData sheetId="38"/>
      <sheetData sheetId="39"/>
      <sheetData sheetId="40"/>
      <sheetData sheetId="41">
        <row r="6">
          <cell r="G6">
            <v>7924.9359999999997</v>
          </cell>
        </row>
      </sheetData>
      <sheetData sheetId="42"/>
      <sheetData sheetId="43">
        <row r="5">
          <cell r="G5">
            <v>63220.59</v>
          </cell>
        </row>
      </sheetData>
      <sheetData sheetId="44">
        <row r="5">
          <cell r="F5">
            <v>64850</v>
          </cell>
        </row>
      </sheetData>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row r="225">
          <cell r="C225">
            <v>0</v>
          </cell>
        </row>
      </sheetData>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cofrado BVR Unispan"/>
      <sheetName val="Concreto"/>
      <sheetName val="Equipo de apuntalemiento"/>
      <sheetName val="Gastos Generales BVR"/>
      <sheetName val="Planilla"/>
      <sheetName val="BVR con Efco"/>
      <sheetName val="Encofrado"/>
      <sheetName val="Hoja3"/>
      <sheetName val="RESUMEN"/>
      <sheetName val="Hoja1"/>
      <sheetName val="Chart"/>
      <sheetName val="Encofrado_BVR_Unispan"/>
      <sheetName val="Equipo_de_apuntalemiento"/>
      <sheetName val="Gastos_Generales_BVR"/>
      <sheetName val="BVR_con_Efco"/>
      <sheetName val="TIPO CAMBIO"/>
      <sheetName val="puni"/>
      <sheetName val="Tiraje Mix"/>
      <sheetName val="EQ"/>
      <sheetName val="MAT"/>
      <sheetName val="MO"/>
      <sheetName val="SC"/>
      <sheetName val="HORA"/>
      <sheetName val="MAT."/>
      <sheetName val="Encofrado_BVR_Unispan1"/>
      <sheetName val="ECC"/>
      <sheetName val="Equipo_de_apuntalemiento1"/>
      <sheetName val="Gastos_Generales_BVR1"/>
      <sheetName val="BVR_con_Efco1"/>
      <sheetName val="TIPO_CAMBIO"/>
      <sheetName val="Tiraje_Mix"/>
      <sheetName val="Encofrado_BVR_Unispan2"/>
      <sheetName val="Equipo_de_apuntalemiento2"/>
      <sheetName val="Gastos_Generales_BVR2"/>
      <sheetName val="BVR_con_Efco2"/>
      <sheetName val="TIPO_CAMBIO1"/>
      <sheetName val="Tiraje_Mix1"/>
      <sheetName val="cie10"/>
      <sheetName val="CONDUCT."/>
      <sheetName val="HM"/>
      <sheetName val="conductores volquetes"/>
      <sheetName val="Tablas"/>
      <sheetName val="Piso 2-5"/>
      <sheetName val="#¡REF"/>
      <sheetName val="PLANILLAS FORMATEADAS"/>
      <sheetName val="CONFIGURACIÓN"/>
      <sheetName val="CONTEO DE DATOS"/>
      <sheetName val="RESUMEN DE PARTIDAS"/>
      <sheetName val="Detail"/>
    </sheetNames>
    <sheetDataSet>
      <sheetData sheetId="0" refreshError="1">
        <row r="7">
          <cell r="C7">
            <v>2</v>
          </cell>
        </row>
        <row r="8">
          <cell r="C8">
            <v>61.5</v>
          </cell>
        </row>
        <row r="9">
          <cell r="C9">
            <v>1.78</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sheetData sheetId="15" refreshError="1"/>
      <sheetData sheetId="16" refreshError="1"/>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sheetData sheetId="27"/>
      <sheetData sheetId="28"/>
      <sheetData sheetId="29"/>
      <sheetData sheetId="30"/>
      <sheetData sheetId="31"/>
      <sheetData sheetId="32"/>
      <sheetData sheetId="33"/>
      <sheetData sheetId="34"/>
      <sheetData sheetId="35"/>
      <sheetData sheetId="36"/>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sheetName val="INGENIERÍA"/>
      <sheetName val="ALMACÉN"/>
      <sheetName val="MANTENIMIENTO"/>
      <sheetName val="COMEDOR-VESTUARIOS"/>
      <sheetName val="OFICINAS"/>
      <sheetName val="LABORATORIO"/>
      <sheetName val="ÁREA DE DESPACHO"/>
      <sheetName val="VIGILANCIA"/>
      <sheetName val="OFICINA INSPECTORES"/>
      <sheetName val="CONTROL ROOM"/>
      <sheetName val="PRECIOS MATERIALES"/>
      <sheetName val="GG"/>
      <sheetName val="Encofrado BVR Unispan"/>
      <sheetName val="Basis"/>
      <sheetName val="Equipo"/>
      <sheetName val="Listas"/>
      <sheetName val="Solicitud"/>
      <sheetName val="Padrón"/>
      <sheetName val="INDIRECTOS"/>
      <sheetName val="ControlDeCalidad"/>
      <sheetName val="COA-17"/>
      <sheetName val="C-18"/>
      <sheetName val="Stl-B"/>
      <sheetName val="Coating"/>
      <sheetName val="Cuadrilla"/>
      <sheetName val="Consumibles"/>
      <sheetName val="ÁREA_DE_DESPACHO"/>
      <sheetName val="OFICINA_INSPECTORES"/>
      <sheetName val="CONTROL_ROOM"/>
      <sheetName val="PRECIOS_MATERIALES"/>
      <sheetName val="Encofrado_BVR_Unispan"/>
      <sheetName val="ÁREA_DE_DESPACHO1"/>
      <sheetName val="OFICINA_INSPECTORES1"/>
      <sheetName val="CONTROL_ROOM1"/>
      <sheetName val="PRECIOS_MATERIALES1"/>
      <sheetName val="Encofrado_BVR_Unispan1"/>
      <sheetName val="Metrados Fabricacion"/>
      <sheetName val="Payment Analysi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22">
          <cell r="C22">
            <v>3.6</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sheetData sheetId="30"/>
      <sheetData sheetId="31"/>
      <sheetData sheetId="32"/>
      <sheetData sheetId="33"/>
      <sheetData sheetId="34"/>
      <sheetData sheetId="35"/>
      <sheetData sheetId="36"/>
      <sheetData sheetId="37" refreshError="1"/>
      <sheetData sheetId="38"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EXO 49 - Marco Lógico (2)"/>
      <sheetName val="Dep. Piura"/>
      <sheetName val="Prov. Piura"/>
      <sheetName val="Dist. Piura"/>
      <sheetName val="Dist. Castilla"/>
      <sheetName val="ANEXO 1 - Estimación Población"/>
      <sheetName val="ANEXO 2 - Generación RS Munic"/>
      <sheetName val="ANEXO 3 - Composición RSM"/>
      <sheetName val="ANEXO 5 - Alternativas"/>
      <sheetName val="ANEXO 4 - ÁRBOL CAUSAS-EFECTOS"/>
      <sheetName val="ANEXO 5 - ÁRBOL MEDIOS Y FINES"/>
      <sheetName val="ANEXO 6 - ALTERNATIVAS"/>
      <sheetName val="ANEXO 7 - Almacenamiento"/>
      <sheetName val="ANEXO 8 - Demanda de Barrido"/>
      <sheetName val="ANEXO 9 - Oferta de Barrido"/>
      <sheetName val="ANEXO 10 - Déficit de Barrido"/>
      <sheetName val="ANEXO 11 - Demanda Recolección"/>
      <sheetName val="ANEXO 12 - Oferta Recolección"/>
      <sheetName val="ANEXO 13 - Déficit Recolección"/>
      <sheetName val="ANEXO 14 - Demanda Aprovech "/>
      <sheetName val="ANEXO 15 - Oferta Aprovechami"/>
      <sheetName val="ANEXO 16 - Déficit Aprove"/>
      <sheetName val="ANEXO 17 - Disposición Final"/>
      <sheetName val="ANEXO - CANT. Y COSTOS UNIT."/>
      <sheetName val="ANEXO 18 - RESUMEN"/>
      <sheetName val="ANEXO 19 A-  INV. CANTID"/>
      <sheetName val="ANEXO 20 - C.I. BARRIDO"/>
      <sheetName val="ANEXO 21 - C.O. BARRIDO"/>
      <sheetName val="ANEXO 22 - C.I. RECOLECCIÓN"/>
      <sheetName val="ANEXO 23 - C.O. RECOLECCIÓN"/>
      <sheetName val="ANEXO 24 - REAPROVECH INFRAEST"/>
      <sheetName val="ANEXO 25- REAPROVECH EQUIPAMIEN"/>
      <sheetName val="ANEXO 26 - C.O. REAPROVECHAM"/>
      <sheetName val="ANEXO 27 - DISP FINAL INFRAEST"/>
      <sheetName val="ANEXO 28 - DISP FINAL EQUIPAMIE"/>
      <sheetName val="ANEXO 29 - C.O. DISP FINAL"/>
      <sheetName val="ANEXO 30 - GESTION A.F.T"/>
      <sheetName val="ANEXO 31 - SENSIB POB-INV"/>
      <sheetName val="ANEXO 30 - C.O. SENSIB POB A"/>
      <sheetName val="ANEXO 31 - C.O. SENSIB POB B"/>
      <sheetName val="ANEXO 32 - CIERRE PARCI RELLENO"/>
      <sheetName val="ANEXO 33 - Programa de Acciones"/>
      <sheetName val="ANEXO 34 - Cronograma de Activi"/>
      <sheetName val="Hoja4"/>
      <sheetName val="ANEXO 33-CRONOGRAMA DE ACCIONES"/>
      <sheetName val="ANEXO 34 - Presupuesto 1"/>
      <sheetName val="ANEXO 36 PTO ALT 1"/>
      <sheetName val="ANEXO 35 - Presupuesto Simple 1"/>
      <sheetName val="ANEXO 36 - Cronograma de Invers"/>
      <sheetName val="ANEXO 37 - Presupuesto 2"/>
      <sheetName val="ANEXO 38 - Presupuesto Simple 2"/>
      <sheetName val="ANEXO 39 - Gastos Municipales"/>
      <sheetName val="ANEXO 40 - Cronogram reinversió"/>
      <sheetName val="ANEXO 41 - Costos Incrementales"/>
      <sheetName val="ANEXO 42 - EVAL COSTO-EFECTIVID"/>
      <sheetName val="ANEXO 43 - CÁLCULO DE TARIFA"/>
      <sheetName val="ANEXO 44 - INGRESOS"/>
      <sheetName val="ANEXO 45 - F.N. MEJOR ALTERNATI"/>
      <sheetName val="ANEXO 46 - PROYEC. TARIFA_GASTO"/>
      <sheetName val="ANEXO 47 -GASTO"/>
      <sheetName val="ANEXO 48 - FLUJO SOST.- R=Crec."/>
      <sheetName val="UNIFORMES"/>
      <sheetName val="RESUMEN OPEMA"/>
      <sheetName val="Hoja1"/>
      <sheetName val="Hoja2"/>
      <sheetName val="ANEXO 46-FLUJO DE CAJA"/>
      <sheetName val="ANEXO 48-FLUJO SOST.- R=cte"/>
      <sheetName val="ANEXO 49 - VIDA  UTIL"/>
      <sheetName val="ANEXO 14 B - Demanda Aprovech"/>
      <sheetName val="ANEXO 14 C - Planta Compost 1"/>
      <sheetName val="ANEXO 14 D - Planta Compost 2 "/>
      <sheetName val="ANEXO 14 - E Planta Reciclaje"/>
      <sheetName val="ANEXO 17 B- Disposición Final"/>
      <sheetName val="Indicador de efectividad"/>
      <sheetName val="Esquema de financiamiento"/>
      <sheetName val="ANEXO 49 - Marco Lógico"/>
      <sheetName val="ANEXO 50 - Factores Corrección"/>
      <sheetName val="Hoja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18">
          <cell r="G18">
            <v>42630</v>
          </cell>
        </row>
        <row r="42">
          <cell r="G42">
            <v>10000</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EXO 1 - Estimación Población"/>
      <sheetName val="ANEXO 2 - Generación RS Munic"/>
      <sheetName val="ANEXO 3 - Composición RSM"/>
      <sheetName val="ANEXO 5 - Alternativas"/>
      <sheetName val="ANEXO 4 - ÁRBOL CAUSAS-EFECTOS"/>
      <sheetName val="ANEXO 5 - ÁRBOL MEDIOS Y FINES"/>
      <sheetName val="ANEXO 6 - ALTERNATIVAS"/>
      <sheetName val="ANEXO 7 - Almacenamiento"/>
      <sheetName val="ANEXO 8 - Demanda de Barrido"/>
      <sheetName val="ANEXO 9 - Oferta de Barrido"/>
      <sheetName val="ANEXO 10 - Déficit de Barrido"/>
      <sheetName val="ANEXO 11 - Demanda Recolección"/>
      <sheetName val="ANEXO 12 - Oferta Recolección"/>
      <sheetName val="ANEXO 13 - Déficit Recolección"/>
      <sheetName val="ANEXO 14 - Demanda Aprovech "/>
      <sheetName val="ANEXO 15 - Oferta Aprovechami"/>
      <sheetName val="ANEXO 16 - Déficit Aprove"/>
      <sheetName val="ANEXO 17 - Disposición Final"/>
      <sheetName val="ANEXO - CANT. Y COSTOS UNIT."/>
      <sheetName val="ANEXO 18 - RESUMEN"/>
      <sheetName val="ANEXO 19 A-  INV. CANTID"/>
      <sheetName val="ANEXO 19 B -  COSTOS UNIT"/>
      <sheetName val="ANEXO 20 - C.I. BARRIDO"/>
      <sheetName val="ANEXO 21 - C.O. BARRIDO"/>
      <sheetName val="ANEXO 22 - C.I. RECOLECCIÓN"/>
      <sheetName val="ANEXO 23 - C.O. RECOLECCIÓN"/>
      <sheetName val="ANEXO 24 - REAPROVECH INFRAEST"/>
      <sheetName val="ANEXO 25- REAPROVECH EQUIPAMIEN"/>
      <sheetName val="ANEXO 26 - C.O. REAPROVECHAM"/>
      <sheetName val="ANEXO 27 - DISP FINAL INFRAEST"/>
      <sheetName val="ANEXO 28 - DISP FINAL EQUIPAMIE"/>
      <sheetName val="ANEXO 29 - C.O. DISP FINAL"/>
      <sheetName val="ANEXO 30 - GESTION A.F.T"/>
      <sheetName val="ANEXO 31 - SENSIB POB-INV"/>
      <sheetName val="ANEXO 30 - C.O. SENSIB POB A"/>
      <sheetName val="ANEXO 31 - C.O. SENSIB POB B"/>
      <sheetName val="ANEXO 32 - CIERRE DEL RELLENO"/>
      <sheetName val="ANEXO 33 - Programa de Acciones"/>
      <sheetName val="ANEXO 34 - Cronograma de Activi"/>
      <sheetName val="Hoja4"/>
      <sheetName val="ANEXO 33-CRONOGRAMA DE ACCIONES"/>
      <sheetName val="ANEXO 34 - Presupuesto 1"/>
      <sheetName val="ANEXO 36 PTO ALT 1"/>
      <sheetName val="ANEXO 35 - Presupuesto Simple 1"/>
      <sheetName val="ANEXO 36 - Cronograma de Invers"/>
      <sheetName val="ANEXO 37 - Presupuesto 2"/>
      <sheetName val="ANEXO 38 - Presupuesto Simple 2"/>
      <sheetName val="ANEXO 39 - Gastos Municipales"/>
      <sheetName val="ANEXO 40 - Cronogram reinversió"/>
      <sheetName val="ANEXO 41 - Costos Incrementales"/>
      <sheetName val="ANEXO 42 - EVAL COSTO-EFECTIVID"/>
      <sheetName val="ANEXO 43 - CÁLCULO DE TARIFA"/>
      <sheetName val="ANEXO 44 - INGRESOS"/>
      <sheetName val="ANEXO 45 - F.N. MEJOR ALTERNATI"/>
      <sheetName val="ANEXO 46 - PROYEC. TARIFA_GASTO"/>
      <sheetName val="ANEXO 47 -GASTO"/>
      <sheetName val="ANEXO 47 - FLUJO SOST. &amp; REINV."/>
      <sheetName val="UNIFORMES"/>
      <sheetName val="RESUMEN OPEMA"/>
      <sheetName val="Hoja1"/>
      <sheetName val="Hoja2"/>
      <sheetName val="ANEXO 46-FLUJO DE CAJA"/>
      <sheetName val="ANEXO 48 - VIDA  UTIL"/>
      <sheetName val="ANEXO 14 B - Demanda Aprovech"/>
      <sheetName val="ANEXO 14 C - Planta Compost 1"/>
      <sheetName val="ANEXO 14 D - Planta Compost 2 "/>
      <sheetName val="ANEXO 14 - E Planta Reciclaje"/>
      <sheetName val="ANEXO 17 B- Disposición Final"/>
      <sheetName val="Indicador de efectividad"/>
      <sheetName val="Esquema de financiamiento"/>
      <sheetName val="ANEXO 49 - Marco Lógico"/>
      <sheetName val="ANEXO 50 - Factores Correcció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16">
          <cell r="G16">
            <v>53192.44261223494</v>
          </cell>
        </row>
        <row r="18">
          <cell r="G18">
            <v>19110</v>
          </cell>
          <cell r="J18">
            <v>16058.823529411766</v>
          </cell>
          <cell r="Q18">
            <v>19110</v>
          </cell>
          <cell r="T18">
            <v>16058.823529411766</v>
          </cell>
        </row>
        <row r="21">
          <cell r="G21">
            <v>24082.44261223494</v>
          </cell>
          <cell r="J21">
            <v>20087.024317021787</v>
          </cell>
          <cell r="Q21">
            <v>24082.44261223494</v>
          </cell>
          <cell r="T21">
            <v>20087.024317021787</v>
          </cell>
        </row>
        <row r="43">
          <cell r="G43">
            <v>10000</v>
          </cell>
          <cell r="J43">
            <v>8403.361344537816</v>
          </cell>
          <cell r="Q43">
            <v>10000</v>
          </cell>
          <cell r="T43">
            <v>8403.361344537816</v>
          </cell>
        </row>
      </sheetData>
      <sheetData sheetId="23" refreshError="1">
        <row r="10">
          <cell r="H10">
            <v>116248.20353495413</v>
          </cell>
          <cell r="K10">
            <v>79048.778403768811</v>
          </cell>
          <cell r="S10">
            <v>116248.20353495413</v>
          </cell>
          <cell r="V10">
            <v>79048.778403768811</v>
          </cell>
        </row>
        <row r="14">
          <cell r="H14">
            <v>4099.2169549547962</v>
          </cell>
          <cell r="K14">
            <v>3444.7201302141148</v>
          </cell>
          <cell r="S14">
            <v>4099.2169549547962</v>
          </cell>
          <cell r="V14">
            <v>3444.7201302141148</v>
          </cell>
        </row>
        <row r="20">
          <cell r="H20">
            <v>32097.306218207323</v>
          </cell>
          <cell r="K20">
            <v>26972.526233787667</v>
          </cell>
          <cell r="S20">
            <v>32097.306218207323</v>
          </cell>
          <cell r="V20">
            <v>26972.526233787667</v>
          </cell>
        </row>
        <row r="37">
          <cell r="H37">
            <v>0</v>
          </cell>
          <cell r="K37">
            <v>0</v>
          </cell>
          <cell r="S37">
            <v>0</v>
          </cell>
          <cell r="V37">
            <v>0</v>
          </cell>
        </row>
        <row r="40">
          <cell r="H40">
            <v>0</v>
          </cell>
          <cell r="K40">
            <v>0</v>
          </cell>
          <cell r="S40">
            <v>0</v>
          </cell>
          <cell r="V40">
            <v>0</v>
          </cell>
        </row>
        <row r="43">
          <cell r="H43">
            <v>285.76132268560934</v>
          </cell>
          <cell r="K43">
            <v>231.46667137534359</v>
          </cell>
          <cell r="S43">
            <v>285.76132268560934</v>
          </cell>
          <cell r="V43">
            <v>231.46667137534359</v>
          </cell>
        </row>
      </sheetData>
      <sheetData sheetId="24" refreshError="1"/>
      <sheetData sheetId="25" refreshError="1">
        <row r="9">
          <cell r="H9">
            <v>300000</v>
          </cell>
          <cell r="K9">
            <v>220560</v>
          </cell>
          <cell r="S9">
            <v>300000</v>
          </cell>
          <cell r="V9">
            <v>220560</v>
          </cell>
        </row>
        <row r="14">
          <cell r="H14">
            <v>7384</v>
          </cell>
          <cell r="K14">
            <v>6205.042016806723</v>
          </cell>
          <cell r="S14">
            <v>7384</v>
          </cell>
          <cell r="V14">
            <v>6205.042016806723</v>
          </cell>
        </row>
        <row r="23">
          <cell r="H23">
            <v>51632.639999999999</v>
          </cell>
          <cell r="K23">
            <v>43388.773109243702</v>
          </cell>
          <cell r="S23">
            <v>51632.639999999999</v>
          </cell>
          <cell r="V23">
            <v>43388.773109243702</v>
          </cell>
        </row>
        <row r="71">
          <cell r="H71">
            <v>16482.559999999998</v>
          </cell>
          <cell r="K71">
            <v>13850.89075630252</v>
          </cell>
          <cell r="S71">
            <v>16482.559999999998</v>
          </cell>
          <cell r="V71">
            <v>13850.89075630252</v>
          </cell>
        </row>
        <row r="91">
          <cell r="H91">
            <v>131035</v>
          </cell>
          <cell r="K91">
            <v>86483.099999999991</v>
          </cell>
          <cell r="S91">
            <v>131035</v>
          </cell>
          <cell r="V91">
            <v>86483.099999999991</v>
          </cell>
        </row>
        <row r="97">
          <cell r="H97">
            <v>65342.287500000006</v>
          </cell>
          <cell r="K97">
            <v>52927.252875000006</v>
          </cell>
          <cell r="S97">
            <v>65342.287500000006</v>
          </cell>
          <cell r="V97">
            <v>52927.252875000006</v>
          </cell>
        </row>
        <row r="99">
          <cell r="H99">
            <v>86300</v>
          </cell>
          <cell r="K99">
            <v>72521.008403361338</v>
          </cell>
          <cell r="S99">
            <v>86300</v>
          </cell>
          <cell r="V99">
            <v>72521.008403361338</v>
          </cell>
        </row>
      </sheetData>
      <sheetData sheetId="26" refreshError="1"/>
      <sheetData sheetId="27" refreshError="1"/>
      <sheetData sheetId="28" refreshError="1">
        <row r="8">
          <cell r="G8">
            <v>61500</v>
          </cell>
          <cell r="J8">
            <v>84180</v>
          </cell>
          <cell r="R8">
            <v>150600</v>
          </cell>
          <cell r="U8">
            <v>105168</v>
          </cell>
        </row>
        <row r="13">
          <cell r="G13">
            <v>1915.8</v>
          </cell>
          <cell r="J13">
            <v>1609.9159663865546</v>
          </cell>
          <cell r="R13">
            <v>1012</v>
          </cell>
          <cell r="U13">
            <v>850.42016806722688</v>
          </cell>
        </row>
        <row r="26">
          <cell r="G26">
            <v>10218.4</v>
          </cell>
          <cell r="J26">
            <v>8404.8739495798327</v>
          </cell>
          <cell r="R26">
            <v>15775.2</v>
          </cell>
          <cell r="U26">
            <v>13074.453781512606</v>
          </cell>
        </row>
        <row r="69">
          <cell r="G69">
            <v>3600</v>
          </cell>
          <cell r="J69">
            <v>3024</v>
          </cell>
          <cell r="R69">
            <v>3600</v>
          </cell>
          <cell r="U69">
            <v>3024</v>
          </cell>
        </row>
        <row r="75">
          <cell r="J75">
            <v>0</v>
          </cell>
          <cell r="R75">
            <v>0</v>
          </cell>
          <cell r="U75">
            <v>0</v>
          </cell>
        </row>
        <row r="81">
          <cell r="G81">
            <v>2000</v>
          </cell>
          <cell r="J81">
            <v>1680</v>
          </cell>
          <cell r="R81">
            <v>2000</v>
          </cell>
          <cell r="U81">
            <v>1680</v>
          </cell>
        </row>
        <row r="86">
          <cell r="G86">
            <v>1045</v>
          </cell>
          <cell r="J86">
            <v>949.99999999999989</v>
          </cell>
          <cell r="R86">
            <v>1045</v>
          </cell>
          <cell r="U86">
            <v>949.99999999999989</v>
          </cell>
        </row>
      </sheetData>
      <sheetData sheetId="29" refreshError="1"/>
      <sheetData sheetId="30" refreshError="1"/>
      <sheetData sheetId="31" refreshError="1">
        <row r="8">
          <cell r="G8">
            <v>41700</v>
          </cell>
          <cell r="J8">
            <v>31116</v>
          </cell>
          <cell r="R8">
            <v>41700</v>
          </cell>
          <cell r="U8">
            <v>31116</v>
          </cell>
        </row>
        <row r="13">
          <cell r="G13">
            <v>1127.1999999999998</v>
          </cell>
          <cell r="J13">
            <v>947.22689075630251</v>
          </cell>
          <cell r="R13">
            <v>1127.1999999999998</v>
          </cell>
          <cell r="U13">
            <v>947.22689075630251</v>
          </cell>
        </row>
        <row r="25">
          <cell r="G25">
            <v>4404.3999999999996</v>
          </cell>
          <cell r="J25">
            <v>3701.1058823529411</v>
          </cell>
          <cell r="R25">
            <v>4404.3999999999996</v>
          </cell>
          <cell r="U25">
            <v>3701.1058823529411</v>
          </cell>
        </row>
        <row r="50">
          <cell r="G50">
            <v>29400</v>
          </cell>
          <cell r="J50">
            <v>24696</v>
          </cell>
          <cell r="R50">
            <v>29400</v>
          </cell>
          <cell r="U50">
            <v>24696</v>
          </cell>
        </row>
        <row r="54">
          <cell r="G54">
            <v>76650</v>
          </cell>
          <cell r="J54">
            <v>50589</v>
          </cell>
          <cell r="R54">
            <v>76650</v>
          </cell>
          <cell r="U54">
            <v>50589</v>
          </cell>
        </row>
        <row r="60">
          <cell r="G60">
            <v>16912.7909</v>
          </cell>
          <cell r="J60">
            <v>13774.360629000003</v>
          </cell>
          <cell r="R60">
            <v>20872.7909</v>
          </cell>
          <cell r="U60">
            <v>16981.960629000005</v>
          </cell>
        </row>
        <row r="82">
          <cell r="G82">
            <v>3833.8888888888887</v>
          </cell>
          <cell r="J82">
            <v>3220.4666666666667</v>
          </cell>
          <cell r="R82">
            <v>51919.888888888891</v>
          </cell>
          <cell r="U82">
            <v>43612.706666666665</v>
          </cell>
        </row>
      </sheetData>
      <sheetData sheetId="32" refreshError="1"/>
      <sheetData sheetId="33" refreshError="1"/>
      <sheetData sheetId="34" refreshError="1">
        <row r="7">
          <cell r="G7">
            <v>0</v>
          </cell>
          <cell r="J7">
            <v>0</v>
          </cell>
        </row>
        <row r="11">
          <cell r="J11">
            <v>0</v>
          </cell>
        </row>
        <row r="18">
          <cell r="G18">
            <v>0</v>
          </cell>
          <cell r="J18">
            <v>0</v>
          </cell>
        </row>
        <row r="25">
          <cell r="G25">
            <v>0</v>
          </cell>
          <cell r="J25">
            <v>0</v>
          </cell>
        </row>
        <row r="36">
          <cell r="G36">
            <v>0</v>
          </cell>
          <cell r="J36">
            <v>0</v>
          </cell>
        </row>
        <row r="40">
          <cell r="G40">
            <v>0</v>
          </cell>
          <cell r="J40">
            <v>0</v>
          </cell>
        </row>
      </sheetData>
      <sheetData sheetId="35" refreshError="1">
        <row r="7">
          <cell r="G7">
            <v>0</v>
          </cell>
          <cell r="J7">
            <v>0</v>
          </cell>
        </row>
        <row r="11">
          <cell r="J11">
            <v>0</v>
          </cell>
        </row>
        <row r="18">
          <cell r="G18">
            <v>0</v>
          </cell>
          <cell r="J18">
            <v>0</v>
          </cell>
        </row>
        <row r="25">
          <cell r="G25">
            <v>0</v>
          </cell>
          <cell r="J25">
            <v>0</v>
          </cell>
        </row>
        <row r="36">
          <cell r="G36">
            <v>0</v>
          </cell>
          <cell r="J36">
            <v>0</v>
          </cell>
        </row>
        <row r="40">
          <cell r="G40">
            <v>0</v>
          </cell>
          <cell r="J40">
            <v>0</v>
          </cell>
        </row>
      </sheetData>
      <sheetData sheetId="36" refreshError="1">
        <row r="14">
          <cell r="F14">
            <v>32051.698419694207</v>
          </cell>
          <cell r="I14">
            <v>29167.045561921725</v>
          </cell>
        </row>
        <row r="15">
          <cell r="F15">
            <v>0</v>
          </cell>
          <cell r="I15">
            <v>0</v>
          </cell>
        </row>
      </sheetData>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ado"/>
      <sheetName val="DATOS"/>
      <sheetName val="1. Pob y RR.SS"/>
      <sheetName val="FICHA"/>
      <sheetName val="4. Plant Tec"/>
      <sheetName val="P. Inorg (acopio semimeca)"/>
      <sheetName val="P. Inorg (acopio manual)"/>
      <sheetName val="P. Inorganicos"/>
      <sheetName val="P. Organicos"/>
      <sheetName val="P. Relleno"/>
      <sheetName val="C.T."/>
      <sheetName val="Hoja2"/>
      <sheetName val="Hoja1"/>
      <sheetName val="Hoja4"/>
      <sheetName val="2. Demanda Oferta"/>
      <sheetName val="3-Disp Final"/>
      <sheetName val="5. O&amp;M"/>
      <sheetName val="6. Reinv - CI"/>
      <sheetName val="7. Flujo Costos"/>
      <sheetName val="8.CEF-Tarifa"/>
      <sheetName val="5. Equipamiento"/>
      <sheetName val="6-Obra"/>
      <sheetName val="7. Consultoria"/>
      <sheetName val="10-Exp Tecnico"/>
    </sheetNames>
    <sheetDataSet>
      <sheetData sheetId="0"/>
      <sheetData sheetId="1">
        <row r="5">
          <cell r="Q5">
            <v>10000</v>
          </cell>
        </row>
      </sheetData>
      <sheetData sheetId="2">
        <row r="15">
          <cell r="E15">
            <v>10000</v>
          </cell>
        </row>
      </sheetData>
      <sheetData sheetId="3">
        <row r="28">
          <cell r="AO28" t="str">
            <v>CHOCOS</v>
          </cell>
        </row>
      </sheetData>
      <sheetData sheetId="4"/>
      <sheetData sheetId="5"/>
      <sheetData sheetId="6"/>
      <sheetData sheetId="7"/>
      <sheetData sheetId="8"/>
      <sheetData sheetId="9"/>
      <sheetData sheetId="10"/>
      <sheetData sheetId="11"/>
      <sheetData sheetId="12"/>
      <sheetData sheetId="13">
        <row r="103">
          <cell r="H103" t="str">
            <v>MEJORA DE LAS CONDICIONES SANITARIAS Y AMBIENTALES EN LA CIUDAD DE</v>
          </cell>
        </row>
      </sheetData>
      <sheetData sheetId="14">
        <row r="9">
          <cell r="E9">
            <v>0.01</v>
          </cell>
        </row>
      </sheetData>
      <sheetData sheetId="15"/>
      <sheetData sheetId="16">
        <row r="95">
          <cell r="C95" t="str">
            <v xml:space="preserve">Personal </v>
          </cell>
        </row>
      </sheetData>
      <sheetData sheetId="17">
        <row r="12">
          <cell r="E12">
            <v>0</v>
          </cell>
        </row>
      </sheetData>
      <sheetData sheetId="18">
        <row r="20">
          <cell r="E20">
            <v>4482555.7607279997</v>
          </cell>
        </row>
      </sheetData>
      <sheetData sheetId="19">
        <row r="8">
          <cell r="P8">
            <v>31596.325233162785</v>
          </cell>
        </row>
      </sheetData>
      <sheetData sheetId="20"/>
      <sheetData sheetId="21"/>
      <sheetData sheetId="22"/>
      <sheetData sheetId="23"/>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v-Ica"/>
      <sheetName val="Dist-Santiago"/>
      <sheetName val="1. Departamento"/>
      <sheetName val="2. Provincia"/>
      <sheetName val="3. Distrito"/>
      <sheetName val="4. Población"/>
      <sheetName val="1-P.DPT"/>
      <sheetName val="2-P.PROV"/>
      <sheetName val="3-P.DIST"/>
      <sheetName val="5. Pobl. Loc"/>
      <sheetName val="6. Datos de RRSS"/>
      <sheetName val="7. GRSM"/>
      <sheetName val="ANEXO 5 - Alternativas"/>
      <sheetName val="8. DOA"/>
      <sheetName val="9-DOB"/>
      <sheetName val="10-DOR"/>
      <sheetName val="11-DODF"/>
      <sheetName val="12-RESUMEN D&amp;O"/>
      <sheetName val="13-DFA"/>
      <sheetName val="14-DFB"/>
      <sheetName val="15-DFR"/>
      <sheetName val="15-DRA"/>
      <sheetName val="16-ORA"/>
      <sheetName val="17-DFRA"/>
      <sheetName val="ANEXO - CANT. Y COSTOS UNIT."/>
      <sheetName val="16-RDS"/>
      <sheetName val="17-SA"/>
      <sheetName val="18-AC"/>
      <sheetName val="19-CIA"/>
      <sheetName val="20-COA"/>
      <sheetName val="21-CIR"/>
      <sheetName val="22-COR-1"/>
      <sheetName val="ANEXO 24 - REAPROVECH INFRAEST"/>
      <sheetName val="26-CIRA"/>
      <sheetName val="27CIERA"/>
      <sheetName val="28-COMSR"/>
      <sheetName val="23-COR-2"/>
      <sheetName val="24-DES RELLENO"/>
      <sheetName val="25 - RELLENO REINV"/>
      <sheetName val="26 - CIDF"/>
      <sheetName val="27 - CIEDF"/>
      <sheetName val="28-COMDF"/>
      <sheetName val="29-Cierre RS"/>
      <sheetName val="30-Exp y Supervision"/>
      <sheetName val="31-CI GATF"/>
      <sheetName val="32-CO - GATF"/>
      <sheetName val="33-CI SENSIB PO"/>
      <sheetName val="34 - C.O. SENSIB POB"/>
      <sheetName val="35 POM-Alt1"/>
      <sheetName val="36 POM-Alt2"/>
      <sheetName val="37 -RINV"/>
      <sheetName val="38 - GMUN"/>
      <sheetName val="39 - P-Alter 1"/>
      <sheetName val="40- P-Alter 2"/>
      <sheetName val="41 - C INCREMENTALES"/>
      <sheetName val="42-CEF"/>
      <sheetName val="43 Tarifa"/>
      <sheetName val="44 -IPS"/>
      <sheetName val="45- IyE"/>
      <sheetName val="46-CRONOGR. EJECUC. FINANCIERA"/>
      <sheetName val="47 -CRONOGR. EJECUC. FISICA ALT"/>
      <sheetName val="ANEXO 27 - DISP FINAL INFRAEST"/>
      <sheetName val="ANEXO 31 - C.O. SENSIB POB B"/>
      <sheetName val="ANEXO 33 - Programa de Acciones"/>
      <sheetName val="ANEXO 34 - Cronograma de Activi"/>
      <sheetName val="Hoja4"/>
      <sheetName val="48 - Marco Logico"/>
      <sheetName val="49 -CRONO"/>
      <sheetName val="ANEXO 36 PTO ALT 1"/>
      <sheetName val="ANEXO 36 - Cronograma de Invers"/>
      <sheetName val="ANEXO 36 - Cronograma de In (2)"/>
      <sheetName val="ANEXO 38 - Presupuesto Simple 2"/>
      <sheetName val="ANEXO 42 - EVAL COSTO-EFECTIVID"/>
      <sheetName val="ANEXO 43 - CÁLCULO DE TARIF"/>
      <sheetName val="ANEXO 44 - INGRESOS"/>
      <sheetName val="ANEXO 45 - F.N. MEJOR ALTERNATI"/>
      <sheetName val="UNIFORMES"/>
      <sheetName val="RESUMEN OPEMA"/>
      <sheetName val="Hoja1"/>
      <sheetName val="Hoja2"/>
      <sheetName val="ANEXO 14 B - Demanda Aprovech"/>
      <sheetName val="ANEXO 14 C - Planta Compost 1"/>
      <sheetName val="ANEXO 14 D - Planta Compost 2 "/>
      <sheetName val="ANEXO 14 - E Planta Reciclaje"/>
      <sheetName val="ANEXO 17 B- Disposición Final"/>
      <sheetName val="ANEXO 46 - PROYEC. TARIFA_GASTO"/>
      <sheetName val="ANEXO 47 - FLUJO CON IR"/>
      <sheetName val="ANEXO 47 A - FLUJO SIN IR"/>
      <sheetName val="ANEXO 48 -GAST0"/>
      <sheetName val="50 -FC"/>
      <sheetName val="51-VIDA UTIL"/>
      <sheetName val="52-FORMATO SNI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v-Ica"/>
      <sheetName val="Dist-Santiago"/>
      <sheetName val="1. Departamento"/>
      <sheetName val="2. Provincia"/>
      <sheetName val="3. Distrito"/>
      <sheetName val="4. Población"/>
      <sheetName val="1-P.DPT"/>
      <sheetName val="2-P.PROV"/>
      <sheetName val="3-P.DIST"/>
      <sheetName val="5. Pobl. Loc"/>
      <sheetName val="6. Datos de RRSS"/>
      <sheetName val="7. GRSM"/>
      <sheetName val="ANEXO 5 - Alternativas"/>
      <sheetName val="8. DOA"/>
      <sheetName val="9-DOB"/>
      <sheetName val="10-DOR"/>
      <sheetName val="11-DODF"/>
      <sheetName val="12-RESUMEN D&amp;O"/>
      <sheetName val="13-DFA"/>
      <sheetName val="14-DFB"/>
      <sheetName val="15-DFR"/>
      <sheetName val="15-DRA"/>
      <sheetName val="16-ORA"/>
      <sheetName val="17-DFRA"/>
      <sheetName val="ANEXO - CANT. Y COSTOS UNIT."/>
      <sheetName val="16-RDS"/>
      <sheetName val="17-SA"/>
      <sheetName val="18-AC"/>
      <sheetName val="19-CIA"/>
      <sheetName val="20-COA"/>
      <sheetName val="21-CIR"/>
      <sheetName val="22-COR-1"/>
      <sheetName val="ANEXO 24 - REAPROVECH INFRAEST"/>
      <sheetName val="26-CIRA"/>
      <sheetName val="27CIERA"/>
      <sheetName val="28-COMSR"/>
      <sheetName val="23-COR-2"/>
      <sheetName val="24-DES RELLENO"/>
      <sheetName val="25 - RELLENO REINV"/>
      <sheetName val="26 - CIDF"/>
      <sheetName val="27 - CIEDF"/>
      <sheetName val="28-COMDF"/>
      <sheetName val="29-Cierre RS"/>
      <sheetName val="30-Exp y Supervision"/>
      <sheetName val="31-CI GATF"/>
      <sheetName val="32-CO - GATF"/>
      <sheetName val="33-CI SENSIB PO"/>
      <sheetName val="34 - C.O. SENSIB POB"/>
      <sheetName val="35 POM-Alt1"/>
      <sheetName val="36 POM-Alt2"/>
      <sheetName val="37 -RINV"/>
      <sheetName val="38 - GMUN"/>
      <sheetName val="39 - P-Alter 1"/>
      <sheetName val="40- P-Alter 2"/>
      <sheetName val="41 - C INCREMENTALES"/>
      <sheetName val="42-CEF"/>
      <sheetName val="43 Tarifa"/>
      <sheetName val="44 -IPS"/>
      <sheetName val="45- IyE"/>
      <sheetName val="46-CRONOGR. EJECUC. FINANCIERA"/>
      <sheetName val="47 -CRONOGR. EJECUC. FISICA ALT"/>
      <sheetName val="ANEXO 27 - DISP FINAL INFRAEST"/>
      <sheetName val="ANEXO 31 - C.O. SENSIB POB B"/>
      <sheetName val="ANEXO 33 - Programa de Acciones"/>
      <sheetName val="ANEXO 34 - Cronograma de Activi"/>
      <sheetName val="Hoja4"/>
      <sheetName val="48 - Marco Logico"/>
      <sheetName val="49 -CRONO"/>
      <sheetName val="ANEXO 36 PTO ALT 1"/>
      <sheetName val="ANEXO 36 - Cronograma de Invers"/>
      <sheetName val="ANEXO 36 - Cronograma de In (2)"/>
      <sheetName val="ANEXO 38 - Presupuesto Simple 2"/>
      <sheetName val="ANEXO 42 - EVAL COSTO-EFECTIVID"/>
      <sheetName val="ANEXO 43 - CÁLCULO DE TARIF"/>
      <sheetName val="ANEXO 44 - INGRESOS"/>
      <sheetName val="ANEXO 45 - F.N. MEJOR ALTERNATI"/>
      <sheetName val="UNIFORMES"/>
      <sheetName val="RESUMEN OPEMA"/>
      <sheetName val="Hoja1"/>
      <sheetName val="Hoja2"/>
      <sheetName val="ANEXO 14 B - Demanda Aprovech"/>
      <sheetName val="ANEXO 14 C - Planta Compost 1"/>
      <sheetName val="ANEXO 14 D - Planta Compost 2 "/>
      <sheetName val="ANEXO 14 - E Planta Reciclaje"/>
      <sheetName val="ANEXO 17 B- Disposición Final"/>
      <sheetName val="ANEXO 46 - PROYEC. TARIFA_GASTO"/>
      <sheetName val="ANEXO 47 - FLUJO CON IR"/>
      <sheetName val="ANEXO 47 A - FLUJO SIN IR"/>
      <sheetName val="ANEXO 48 -GAST0"/>
      <sheetName val="50 -FC"/>
      <sheetName val="51-VIDA UTIL"/>
      <sheetName val="52-FORMATO SNI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11">
          <cell r="G11">
            <v>14482.1625000236</v>
          </cell>
        </row>
      </sheetData>
      <sheetData sheetId="29"/>
      <sheetData sheetId="30">
        <row r="8">
          <cell r="G8">
            <v>61535.999360000002</v>
          </cell>
        </row>
      </sheetData>
      <sheetData sheetId="31"/>
      <sheetData sheetId="32">
        <row r="68">
          <cell r="O68">
            <v>325655.9044</v>
          </cell>
        </row>
      </sheetData>
      <sheetData sheetId="33"/>
      <sheetData sheetId="34"/>
      <sheetData sheetId="35"/>
      <sheetData sheetId="36"/>
      <sheetData sheetId="37"/>
      <sheetData sheetId="38"/>
      <sheetData sheetId="39"/>
      <sheetData sheetId="40">
        <row r="35">
          <cell r="G35">
            <v>10564.1572</v>
          </cell>
        </row>
      </sheetData>
      <sheetData sheetId="41"/>
      <sheetData sheetId="42"/>
      <sheetData sheetId="43"/>
      <sheetData sheetId="44">
        <row r="5">
          <cell r="G5">
            <v>66500</v>
          </cell>
        </row>
      </sheetData>
      <sheetData sheetId="45"/>
      <sheetData sheetId="46">
        <row r="5">
          <cell r="F5">
            <v>74100</v>
          </cell>
        </row>
      </sheetData>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row r="92">
          <cell r="F92">
            <v>101116.94232</v>
          </cell>
        </row>
      </sheetData>
      <sheetData sheetId="62"/>
      <sheetData sheetId="63"/>
      <sheetData sheetId="64"/>
      <sheetData sheetId="65"/>
      <sheetData sheetId="66"/>
      <sheetData sheetId="67"/>
      <sheetData sheetId="68"/>
      <sheetData sheetId="69"/>
      <sheetData sheetId="70"/>
      <sheetData sheetId="71"/>
      <sheetData sheetId="72">
        <row r="84">
          <cell r="C84">
            <v>0</v>
          </cell>
        </row>
      </sheetData>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IERRE"/>
      <sheetName val="Oferta A2"/>
      <sheetName val="Oferta B2"/>
      <sheetName val="PRESA2"/>
      <sheetName val="PRESB2"/>
      <sheetName val="ANALA2"/>
      <sheetName val="ANALB2"/>
      <sheetName val="GG total"/>
      <sheetName val="GG oferta A2"/>
      <sheetName val="CHECA2B2"/>
      <sheetName val="Sheet1"/>
      <sheetName val="97 사업추정(WEKI)"/>
      <sheetName val="DOBLE H1-Z4"/>
    </sheetNames>
    <sheetDataSet>
      <sheetData sheetId="0" refreshError="1">
        <row r="1">
          <cell r="G1">
            <v>3.3</v>
          </cell>
        </row>
        <row r="17">
          <cell r="E17">
            <v>1.0886025584610599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General"/>
      <sheetName val="Resumen General Detallado"/>
      <sheetName val="01 Ingenieria"/>
      <sheetName val="02 Movilización"/>
      <sheetName val="03 Desmontaje"/>
      <sheetName val="04 Overhaul"/>
      <sheetName val="05 Obras preliminares"/>
      <sheetName val="06. Obras Civiles"/>
      <sheetName val="07 Fabricaciones"/>
      <sheetName val="08 Montaje estructuras"/>
      <sheetName val="09 Montaje mecanico"/>
      <sheetName val="10 Montaje tuberias"/>
      <sheetName val="11 Montaje electrico"/>
      <sheetName val="12 Automatizacion"/>
      <sheetName val="13 Alim. y Vivienda"/>
      <sheetName val="14 Pruebas Vacio"/>
      <sheetName val="GG"/>
      <sheetName val="Labor"/>
      <sheetName val="Alim."/>
      <sheetName val="Alim.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omparativo mecánica Clima"/>
      <sheetName val="Comparativo sistema"/>
      <sheetName val="Electricidad - Climatización"/>
      <sheetName val="Electricidad _ Climatización"/>
      <sheetName val="Comparativo_mecánica_Clima"/>
      <sheetName val="Comparativo_sistema"/>
      <sheetName val="Electricidad_-_Climatización"/>
      <sheetName val="Electricidad___Climatización"/>
      <sheetName val="투입실적"/>
      <sheetName val="CWP"/>
      <sheetName val="RESUMEN"/>
      <sheetName val="ANALISIS ALQUILER FERREYROS"/>
      <sheetName val="pu Estructuras"/>
      <sheetName val="Datos"/>
      <sheetName val="EDIFICIO"/>
      <sheetName val="ESTACIONAM."/>
      <sheetName val="OBRAS EXT."/>
      <sheetName val="puni"/>
      <sheetName val="Curva S DAMRAISE-Central"/>
      <sheetName val="적용환율"/>
      <sheetName val="Basis"/>
      <sheetName val="DESGLOSE"/>
      <sheetName val="Demanda"/>
    </sheetNames>
    <sheetDataSet>
      <sheetData sheetId="0" refreshError="1"/>
      <sheetData sheetId="1"/>
      <sheetData sheetId="2" refreshError="1"/>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
      <sheetName val="INGRESO DATOS"/>
      <sheetName val="PRECIOS"/>
      <sheetName val="TABLAS "/>
    </sheetNames>
    <sheetDataSet>
      <sheetData sheetId="0" refreshError="1"/>
      <sheetData sheetId="1" refreshError="1"/>
      <sheetData sheetId="2">
        <row r="5">
          <cell r="B5" t="str">
            <v>POLOS</v>
          </cell>
          <cell r="C5" t="str">
            <v>US$</v>
          </cell>
        </row>
        <row r="6">
          <cell r="B6">
            <v>8</v>
          </cell>
          <cell r="C6">
            <v>67</v>
          </cell>
        </row>
        <row r="7">
          <cell r="B7">
            <v>12</v>
          </cell>
          <cell r="C7">
            <v>79</v>
          </cell>
        </row>
        <row r="8">
          <cell r="B8">
            <v>16</v>
          </cell>
          <cell r="C8">
            <v>102</v>
          </cell>
        </row>
        <row r="9">
          <cell r="B9">
            <v>24</v>
          </cell>
          <cell r="C9">
            <v>118</v>
          </cell>
        </row>
        <row r="10">
          <cell r="B10">
            <v>12</v>
          </cell>
          <cell r="C10">
            <v>79</v>
          </cell>
        </row>
        <row r="11">
          <cell r="B11">
            <v>18</v>
          </cell>
          <cell r="C11">
            <v>102</v>
          </cell>
        </row>
        <row r="12">
          <cell r="B12">
            <v>24</v>
          </cell>
          <cell r="C12">
            <v>118</v>
          </cell>
        </row>
        <row r="13">
          <cell r="B13">
            <v>30</v>
          </cell>
          <cell r="C13">
            <v>145</v>
          </cell>
        </row>
        <row r="14">
          <cell r="B14">
            <v>36</v>
          </cell>
          <cell r="C14">
            <v>169</v>
          </cell>
        </row>
        <row r="15">
          <cell r="B15">
            <v>42</v>
          </cell>
          <cell r="C15">
            <v>202</v>
          </cell>
        </row>
        <row r="16">
          <cell r="B16">
            <v>48</v>
          </cell>
          <cell r="C16">
            <v>226</v>
          </cell>
        </row>
        <row r="17">
          <cell r="B17">
            <v>54</v>
          </cell>
          <cell r="C17">
            <v>242</v>
          </cell>
        </row>
      </sheetData>
      <sheetData sheetId="3">
        <row r="3">
          <cell r="D3">
            <v>0</v>
          </cell>
          <cell r="E3">
            <v>1</v>
          </cell>
          <cell r="F3">
            <v>2</v>
          </cell>
          <cell r="G3">
            <v>3</v>
          </cell>
          <cell r="H3">
            <v>4</v>
          </cell>
          <cell r="I3">
            <v>5</v>
          </cell>
          <cell r="J3">
            <v>6</v>
          </cell>
          <cell r="K3">
            <v>7</v>
          </cell>
          <cell r="L3">
            <v>8</v>
          </cell>
          <cell r="M3">
            <v>9</v>
          </cell>
          <cell r="N3">
            <v>10</v>
          </cell>
          <cell r="O3">
            <v>11</v>
          </cell>
          <cell r="P3">
            <v>12</v>
          </cell>
          <cell r="Q3">
            <v>13</v>
          </cell>
          <cell r="R3">
            <v>14</v>
          </cell>
          <cell r="S3">
            <v>15</v>
          </cell>
          <cell r="T3">
            <v>16</v>
          </cell>
          <cell r="U3">
            <v>17</v>
          </cell>
          <cell r="V3">
            <v>18</v>
          </cell>
        </row>
        <row r="4">
          <cell r="C4">
            <v>0</v>
          </cell>
          <cell r="D4">
            <v>8</v>
          </cell>
          <cell r="E4">
            <v>8</v>
          </cell>
          <cell r="F4">
            <v>8</v>
          </cell>
          <cell r="G4">
            <v>12</v>
          </cell>
          <cell r="H4">
            <v>12</v>
          </cell>
          <cell r="I4">
            <v>18</v>
          </cell>
          <cell r="J4">
            <v>18</v>
          </cell>
          <cell r="K4">
            <v>24</v>
          </cell>
          <cell r="L4">
            <v>24</v>
          </cell>
          <cell r="M4">
            <v>30</v>
          </cell>
          <cell r="N4">
            <v>30</v>
          </cell>
          <cell r="O4">
            <v>36</v>
          </cell>
          <cell r="P4">
            <v>36</v>
          </cell>
          <cell r="Q4">
            <v>42</v>
          </cell>
          <cell r="R4">
            <v>42</v>
          </cell>
          <cell r="S4">
            <v>48</v>
          </cell>
          <cell r="T4">
            <v>48</v>
          </cell>
          <cell r="U4">
            <v>54</v>
          </cell>
          <cell r="V4">
            <v>54</v>
          </cell>
        </row>
        <row r="5">
          <cell r="C5">
            <v>1</v>
          </cell>
          <cell r="D5">
            <v>8</v>
          </cell>
          <cell r="E5">
            <v>8</v>
          </cell>
          <cell r="F5">
            <v>12</v>
          </cell>
          <cell r="G5">
            <v>12</v>
          </cell>
          <cell r="H5">
            <v>18</v>
          </cell>
          <cell r="I5">
            <v>18</v>
          </cell>
          <cell r="J5">
            <v>24</v>
          </cell>
          <cell r="K5">
            <v>24</v>
          </cell>
          <cell r="L5">
            <v>30</v>
          </cell>
          <cell r="M5">
            <v>30</v>
          </cell>
          <cell r="N5">
            <v>36</v>
          </cell>
          <cell r="O5">
            <v>36</v>
          </cell>
          <cell r="P5">
            <v>42</v>
          </cell>
          <cell r="Q5">
            <v>42</v>
          </cell>
          <cell r="R5">
            <v>48</v>
          </cell>
          <cell r="S5">
            <v>48</v>
          </cell>
          <cell r="T5">
            <v>54</v>
          </cell>
          <cell r="U5">
            <v>54</v>
          </cell>
        </row>
        <row r="6">
          <cell r="C6">
            <v>2</v>
          </cell>
          <cell r="D6">
            <v>8</v>
          </cell>
          <cell r="E6">
            <v>8</v>
          </cell>
          <cell r="F6">
            <v>12</v>
          </cell>
          <cell r="G6">
            <v>18</v>
          </cell>
          <cell r="H6">
            <v>18</v>
          </cell>
          <cell r="I6">
            <v>24</v>
          </cell>
          <cell r="J6">
            <v>24</v>
          </cell>
          <cell r="K6">
            <v>30</v>
          </cell>
          <cell r="L6">
            <v>30</v>
          </cell>
          <cell r="M6">
            <v>36</v>
          </cell>
          <cell r="N6">
            <v>36</v>
          </cell>
          <cell r="O6">
            <v>42</v>
          </cell>
          <cell r="P6">
            <v>42</v>
          </cell>
          <cell r="Q6">
            <v>42</v>
          </cell>
          <cell r="R6">
            <v>48</v>
          </cell>
          <cell r="S6">
            <v>54</v>
          </cell>
          <cell r="T6">
            <v>54</v>
          </cell>
        </row>
        <row r="7">
          <cell r="C7">
            <v>3</v>
          </cell>
          <cell r="D7">
            <v>8</v>
          </cell>
          <cell r="E7">
            <v>12</v>
          </cell>
          <cell r="F7">
            <v>12</v>
          </cell>
          <cell r="G7">
            <v>18</v>
          </cell>
          <cell r="H7">
            <v>18</v>
          </cell>
          <cell r="I7">
            <v>24</v>
          </cell>
          <cell r="J7">
            <v>24</v>
          </cell>
          <cell r="K7">
            <v>30</v>
          </cell>
          <cell r="L7">
            <v>30</v>
          </cell>
          <cell r="M7">
            <v>36</v>
          </cell>
          <cell r="N7">
            <v>36</v>
          </cell>
          <cell r="O7">
            <v>42</v>
          </cell>
          <cell r="P7">
            <v>42</v>
          </cell>
          <cell r="Q7">
            <v>48</v>
          </cell>
          <cell r="R7">
            <v>48</v>
          </cell>
          <cell r="S7">
            <v>54</v>
          </cell>
          <cell r="T7">
            <v>54</v>
          </cell>
        </row>
        <row r="8">
          <cell r="C8">
            <v>4</v>
          </cell>
          <cell r="D8">
            <v>8</v>
          </cell>
          <cell r="E8">
            <v>12</v>
          </cell>
          <cell r="F8">
            <v>18</v>
          </cell>
          <cell r="G8">
            <v>18</v>
          </cell>
          <cell r="H8">
            <v>24</v>
          </cell>
          <cell r="I8">
            <v>24</v>
          </cell>
          <cell r="J8">
            <v>30</v>
          </cell>
          <cell r="K8">
            <v>30</v>
          </cell>
          <cell r="L8">
            <v>36</v>
          </cell>
          <cell r="M8">
            <v>36</v>
          </cell>
          <cell r="N8">
            <v>42</v>
          </cell>
          <cell r="O8">
            <v>42</v>
          </cell>
          <cell r="P8">
            <v>48</v>
          </cell>
          <cell r="Q8">
            <v>48</v>
          </cell>
          <cell r="R8">
            <v>54</v>
          </cell>
          <cell r="S8">
            <v>54</v>
          </cell>
        </row>
        <row r="9">
          <cell r="C9">
            <v>5</v>
          </cell>
          <cell r="D9">
            <v>12</v>
          </cell>
          <cell r="E9">
            <v>18</v>
          </cell>
          <cell r="F9">
            <v>18</v>
          </cell>
          <cell r="G9">
            <v>24</v>
          </cell>
          <cell r="H9">
            <v>24</v>
          </cell>
          <cell r="I9">
            <v>30</v>
          </cell>
          <cell r="J9">
            <v>30</v>
          </cell>
          <cell r="K9">
            <v>36</v>
          </cell>
          <cell r="L9">
            <v>36</v>
          </cell>
          <cell r="M9">
            <v>42</v>
          </cell>
          <cell r="N9">
            <v>42</v>
          </cell>
          <cell r="O9">
            <v>48</v>
          </cell>
          <cell r="P9">
            <v>48</v>
          </cell>
          <cell r="Q9">
            <v>48</v>
          </cell>
          <cell r="R9">
            <v>54</v>
          </cell>
        </row>
        <row r="10">
          <cell r="C10">
            <v>6</v>
          </cell>
          <cell r="D10">
            <v>12</v>
          </cell>
          <cell r="E10">
            <v>18</v>
          </cell>
          <cell r="F10">
            <v>18</v>
          </cell>
          <cell r="G10">
            <v>24</v>
          </cell>
          <cell r="H10">
            <v>24</v>
          </cell>
          <cell r="I10">
            <v>30</v>
          </cell>
          <cell r="J10">
            <v>30</v>
          </cell>
          <cell r="K10">
            <v>36</v>
          </cell>
          <cell r="L10">
            <v>36</v>
          </cell>
          <cell r="M10">
            <v>42</v>
          </cell>
          <cell r="N10">
            <v>42</v>
          </cell>
          <cell r="O10">
            <v>48</v>
          </cell>
          <cell r="P10">
            <v>48</v>
          </cell>
          <cell r="Q10">
            <v>54</v>
          </cell>
          <cell r="R10">
            <v>54</v>
          </cell>
        </row>
        <row r="11">
          <cell r="C11">
            <v>7</v>
          </cell>
          <cell r="D11">
            <v>18</v>
          </cell>
          <cell r="E11">
            <v>18</v>
          </cell>
          <cell r="F11">
            <v>24</v>
          </cell>
          <cell r="G11">
            <v>24</v>
          </cell>
          <cell r="H11">
            <v>30</v>
          </cell>
          <cell r="I11">
            <v>30</v>
          </cell>
          <cell r="J11">
            <v>36</v>
          </cell>
          <cell r="K11">
            <v>36</v>
          </cell>
          <cell r="L11">
            <v>42</v>
          </cell>
          <cell r="M11">
            <v>42</v>
          </cell>
          <cell r="N11">
            <v>48</v>
          </cell>
          <cell r="O11">
            <v>48</v>
          </cell>
          <cell r="P11">
            <v>54</v>
          </cell>
          <cell r="Q11">
            <v>54</v>
          </cell>
        </row>
        <row r="12">
          <cell r="C12">
            <v>8</v>
          </cell>
          <cell r="D12">
            <v>18</v>
          </cell>
          <cell r="E12">
            <v>24</v>
          </cell>
          <cell r="F12">
            <v>24</v>
          </cell>
          <cell r="G12">
            <v>30</v>
          </cell>
          <cell r="H12">
            <v>30</v>
          </cell>
          <cell r="I12">
            <v>36</v>
          </cell>
          <cell r="J12">
            <v>36</v>
          </cell>
          <cell r="K12">
            <v>42</v>
          </cell>
          <cell r="L12">
            <v>42</v>
          </cell>
          <cell r="M12">
            <v>48</v>
          </cell>
          <cell r="N12">
            <v>48</v>
          </cell>
          <cell r="O12">
            <v>54</v>
          </cell>
          <cell r="P12">
            <v>54</v>
          </cell>
          <cell r="Q12">
            <v>54</v>
          </cell>
        </row>
        <row r="13">
          <cell r="C13">
            <v>9</v>
          </cell>
          <cell r="D13">
            <v>24</v>
          </cell>
          <cell r="E13">
            <v>24</v>
          </cell>
          <cell r="F13">
            <v>24</v>
          </cell>
          <cell r="G13">
            <v>30</v>
          </cell>
          <cell r="H13">
            <v>30</v>
          </cell>
          <cell r="I13">
            <v>36</v>
          </cell>
          <cell r="J13">
            <v>36</v>
          </cell>
          <cell r="K13">
            <v>42</v>
          </cell>
          <cell r="L13">
            <v>42</v>
          </cell>
          <cell r="M13">
            <v>48</v>
          </cell>
          <cell r="N13">
            <v>48</v>
          </cell>
          <cell r="O13">
            <v>54</v>
          </cell>
          <cell r="P13">
            <v>54</v>
          </cell>
        </row>
        <row r="14">
          <cell r="C14">
            <v>10</v>
          </cell>
          <cell r="D14">
            <v>24</v>
          </cell>
          <cell r="E14">
            <v>24</v>
          </cell>
          <cell r="F14">
            <v>30</v>
          </cell>
          <cell r="G14">
            <v>30</v>
          </cell>
          <cell r="H14">
            <v>36</v>
          </cell>
          <cell r="I14">
            <v>36</v>
          </cell>
          <cell r="J14">
            <v>42</v>
          </cell>
          <cell r="K14">
            <v>42</v>
          </cell>
          <cell r="L14">
            <v>48</v>
          </cell>
          <cell r="M14">
            <v>48</v>
          </cell>
          <cell r="N14">
            <v>54</v>
          </cell>
          <cell r="O14">
            <v>54</v>
          </cell>
        </row>
        <row r="15">
          <cell r="C15">
            <v>11</v>
          </cell>
          <cell r="D15">
            <v>24</v>
          </cell>
          <cell r="E15">
            <v>30</v>
          </cell>
          <cell r="F15">
            <v>30</v>
          </cell>
          <cell r="G15">
            <v>36</v>
          </cell>
          <cell r="H15">
            <v>36</v>
          </cell>
          <cell r="I15">
            <v>42</v>
          </cell>
          <cell r="J15">
            <v>42</v>
          </cell>
          <cell r="K15">
            <v>48</v>
          </cell>
          <cell r="L15">
            <v>48</v>
          </cell>
          <cell r="M15">
            <v>54</v>
          </cell>
          <cell r="N15">
            <v>54</v>
          </cell>
        </row>
        <row r="16">
          <cell r="C16">
            <v>12</v>
          </cell>
          <cell r="D16">
            <v>24</v>
          </cell>
          <cell r="E16">
            <v>30</v>
          </cell>
          <cell r="F16">
            <v>30</v>
          </cell>
          <cell r="G16">
            <v>36</v>
          </cell>
          <cell r="H16">
            <v>36</v>
          </cell>
          <cell r="I16">
            <v>42</v>
          </cell>
          <cell r="J16">
            <v>42</v>
          </cell>
          <cell r="K16">
            <v>48</v>
          </cell>
          <cell r="L16">
            <v>48</v>
          </cell>
          <cell r="M16">
            <v>54</v>
          </cell>
          <cell r="N16">
            <v>54</v>
          </cell>
        </row>
        <row r="17">
          <cell r="C17">
            <v>13</v>
          </cell>
          <cell r="D17">
            <v>30</v>
          </cell>
          <cell r="E17">
            <v>30</v>
          </cell>
          <cell r="F17">
            <v>36</v>
          </cell>
          <cell r="G17">
            <v>36</v>
          </cell>
          <cell r="H17">
            <v>42</v>
          </cell>
          <cell r="I17">
            <v>42</v>
          </cell>
          <cell r="J17">
            <v>48</v>
          </cell>
          <cell r="K17">
            <v>48</v>
          </cell>
          <cell r="L17">
            <v>54</v>
          </cell>
          <cell r="M17">
            <v>54</v>
          </cell>
        </row>
        <row r="18">
          <cell r="C18">
            <v>14</v>
          </cell>
          <cell r="D18">
            <v>30</v>
          </cell>
          <cell r="E18">
            <v>36</v>
          </cell>
          <cell r="F18">
            <v>36</v>
          </cell>
          <cell r="G18">
            <v>42</v>
          </cell>
          <cell r="H18">
            <v>42</v>
          </cell>
          <cell r="I18">
            <v>48</v>
          </cell>
          <cell r="J18">
            <v>48</v>
          </cell>
          <cell r="K18">
            <v>54</v>
          </cell>
          <cell r="L18">
            <v>54</v>
          </cell>
        </row>
        <row r="19">
          <cell r="C19">
            <v>15</v>
          </cell>
          <cell r="D19">
            <v>36</v>
          </cell>
          <cell r="E19">
            <v>36</v>
          </cell>
          <cell r="F19">
            <v>36</v>
          </cell>
          <cell r="G19">
            <v>42</v>
          </cell>
          <cell r="H19">
            <v>42</v>
          </cell>
          <cell r="I19">
            <v>48</v>
          </cell>
          <cell r="J19">
            <v>48</v>
          </cell>
          <cell r="K19">
            <v>54</v>
          </cell>
          <cell r="L19">
            <v>54</v>
          </cell>
        </row>
        <row r="20">
          <cell r="C20">
            <v>16</v>
          </cell>
          <cell r="D20">
            <v>36</v>
          </cell>
          <cell r="E20">
            <v>36</v>
          </cell>
          <cell r="F20">
            <v>42</v>
          </cell>
          <cell r="G20">
            <v>42</v>
          </cell>
          <cell r="H20">
            <v>48</v>
          </cell>
          <cell r="I20">
            <v>48</v>
          </cell>
          <cell r="J20">
            <v>54</v>
          </cell>
          <cell r="K20">
            <v>54</v>
          </cell>
        </row>
        <row r="21">
          <cell r="C21">
            <v>17</v>
          </cell>
          <cell r="D21">
            <v>36</v>
          </cell>
          <cell r="E21">
            <v>42</v>
          </cell>
          <cell r="F21">
            <v>42</v>
          </cell>
          <cell r="G21">
            <v>48</v>
          </cell>
          <cell r="H21">
            <v>48</v>
          </cell>
          <cell r="I21">
            <v>54</v>
          </cell>
          <cell r="J21">
            <v>54</v>
          </cell>
        </row>
        <row r="22">
          <cell r="C22">
            <v>18</v>
          </cell>
          <cell r="D22">
            <v>36</v>
          </cell>
          <cell r="E22">
            <v>42</v>
          </cell>
          <cell r="F22">
            <v>42</v>
          </cell>
          <cell r="G22">
            <v>48</v>
          </cell>
          <cell r="H22">
            <v>48</v>
          </cell>
          <cell r="I22">
            <v>54</v>
          </cell>
          <cell r="J22">
            <v>54</v>
          </cell>
        </row>
        <row r="23">
          <cell r="C23">
            <v>19</v>
          </cell>
          <cell r="D23">
            <v>42</v>
          </cell>
          <cell r="E23">
            <v>42</v>
          </cell>
          <cell r="F23">
            <v>48</v>
          </cell>
          <cell r="G23">
            <v>48</v>
          </cell>
          <cell r="H23">
            <v>54</v>
          </cell>
          <cell r="I23">
            <v>54</v>
          </cell>
        </row>
        <row r="24">
          <cell r="C24">
            <v>20</v>
          </cell>
          <cell r="D24">
            <v>42</v>
          </cell>
          <cell r="E24">
            <v>48</v>
          </cell>
          <cell r="F24">
            <v>48</v>
          </cell>
          <cell r="G24">
            <v>54</v>
          </cell>
          <cell r="H24">
            <v>54</v>
          </cell>
        </row>
        <row r="25">
          <cell r="C25">
            <v>21</v>
          </cell>
          <cell r="D25">
            <v>48</v>
          </cell>
          <cell r="E25">
            <v>48</v>
          </cell>
          <cell r="F25">
            <v>48</v>
          </cell>
          <cell r="G25">
            <v>54</v>
          </cell>
          <cell r="H25">
            <v>54</v>
          </cell>
        </row>
        <row r="26">
          <cell r="C26">
            <v>22</v>
          </cell>
          <cell r="D26">
            <v>48</v>
          </cell>
          <cell r="E26">
            <v>48</v>
          </cell>
          <cell r="F26">
            <v>54</v>
          </cell>
          <cell r="G26">
            <v>54</v>
          </cell>
        </row>
        <row r="27">
          <cell r="C27">
            <v>23</v>
          </cell>
          <cell r="D27">
            <v>48</v>
          </cell>
          <cell r="E27">
            <v>54</v>
          </cell>
          <cell r="F27">
            <v>54</v>
          </cell>
        </row>
        <row r="28">
          <cell r="C28">
            <v>24</v>
          </cell>
          <cell r="D28">
            <v>48</v>
          </cell>
          <cell r="E28">
            <v>54</v>
          </cell>
          <cell r="F28">
            <v>54</v>
          </cell>
        </row>
        <row r="29">
          <cell r="C29">
            <v>25</v>
          </cell>
          <cell r="D29">
            <v>54</v>
          </cell>
          <cell r="E29">
            <v>54</v>
          </cell>
        </row>
        <row r="30">
          <cell r="C30">
            <v>26</v>
          </cell>
          <cell r="D30">
            <v>54</v>
          </cell>
        </row>
      </sheetData>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EXO 5 - Alternativas"/>
      <sheetName val="ANEXO - CANT. Y COSTOS UNIT."/>
      <sheetName val="ANEXO 30 - C.O. SENSIB POB A"/>
      <sheetName val="ANEXO 31 - C.O. SENSIB POB B"/>
      <sheetName val="ANEXO 33 - Programa de Acciones"/>
      <sheetName val="ANEXO 34 - Cronograma de Activi"/>
      <sheetName val="Hoja4"/>
      <sheetName val="ANEXO 36 PTO ALT 1"/>
      <sheetName val="ANEXO 47 -GASTO"/>
      <sheetName val="UNIFORMES"/>
      <sheetName val="RESUMEN OPEMA"/>
      <sheetName val="Hoja1"/>
      <sheetName val="Hoja2"/>
      <sheetName val="ANEXO 46-FLUJO DE CAJA"/>
      <sheetName val="ANEXO 14 B - Demanda Aprovech"/>
      <sheetName val="ANEXO 14 C - Planta Compost 1"/>
      <sheetName val="ANEXO 14 D - Planta Compost 2 "/>
      <sheetName val="ANEXO 14 - E Planta Reciclaje"/>
      <sheetName val="ANEXO 17 B- Disposición Final"/>
      <sheetName val="Indicador de efectividad"/>
      <sheetName val="Esquema de financiamiento"/>
      <sheetName val="Hoja3"/>
    </sheetNames>
    <sheetDataSet>
      <sheetData sheetId="0" refreshError="1"/>
      <sheetData sheetId="1" refreshError="1"/>
      <sheetData sheetId="2">
        <row r="7">
          <cell r="G7">
            <v>0</v>
          </cell>
          <cell r="J7" t="e">
            <v>#REF!</v>
          </cell>
        </row>
        <row r="18">
          <cell r="G18">
            <v>0</v>
          </cell>
          <cell r="J18" t="e">
            <v>#REF!</v>
          </cell>
        </row>
        <row r="25">
          <cell r="G25">
            <v>0</v>
          </cell>
          <cell r="J25" t="e">
            <v>#REF!</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b. 15"/>
      <sheetName val="Fab. 19"/>
      <sheetName val="Fab. 20"/>
      <sheetName val="Fab. 18"/>
      <sheetName val="Mont15"/>
      <sheetName val="Mont19"/>
      <sheetName val="Mont20"/>
      <sheetName val="Mont18"/>
      <sheetName val="List.Mater"/>
      <sheetName val="Fab. 21"/>
      <sheetName val="Fab. 21 (2)"/>
      <sheetName val="Hoja1"/>
      <sheetName val="GG"/>
      <sheetName val="Labor (2)"/>
      <sheetName val="Labor"/>
      <sheetName val="Montaje (2)"/>
      <sheetName val="4.Prueb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oc"/>
      <sheetName val="presoc1"/>
      <sheetName val="presoc2"/>
      <sheetName val="presoc3"/>
      <sheetName val="presoc4"/>
      <sheetName val="presoc5"/>
      <sheetName val="presoc6"/>
      <sheetName val="presoc7"/>
      <sheetName val="preseq1"/>
      <sheetName val="preseq2"/>
      <sheetName val="Preseq3"/>
      <sheetName val="anaoc1"/>
      <sheetName val="anaoc2"/>
      <sheetName val="anaoc3"/>
      <sheetName val="anaoc4"/>
      <sheetName val="anaoc5"/>
      <sheetName val="anaoc6"/>
      <sheetName val="anaoc7"/>
      <sheetName val="SubpOC"/>
      <sheetName val="anaeq1"/>
      <sheetName val="sanaleq"/>
      <sheetName val="anaeq2"/>
      <sheetName val="anaeq3"/>
      <sheetName val="GG OC"/>
      <sheetName val=" GG EQ"/>
      <sheetName val="fp oc"/>
      <sheetName val="fp eq"/>
      <sheetName val="cron"/>
      <sheetName val="영업소실적"/>
      <sheetName val="RESUMEN"/>
      <sheetName val="ENE97"/>
      <sheetName val="Costo.Mater"/>
    </sheetNames>
    <sheetDataSet>
      <sheetData sheetId="0" refreshError="1">
        <row r="9">
          <cell r="I9">
            <v>3.49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EXO 1 - Estimación Población"/>
      <sheetName val="ANEXO 2 - Generación RS Munic"/>
      <sheetName val="ANEXO 3 - Composición RSM"/>
      <sheetName val="ANEXO 5 - Alternativas"/>
      <sheetName val="ANEXO 4 - ÁRBOL CAUSAS-EFECTOS"/>
      <sheetName val="ANEXO 5 - ÁRBOL MEDIOS Y FINES"/>
      <sheetName val="ANEXO 6 - ALTERNATIVAS"/>
      <sheetName val="ANEXO 7 - Almacenamiento"/>
      <sheetName val="ANEXO 8 - Demanda de Barrido"/>
      <sheetName val="ANEXO 9 - Oferta de Barrido"/>
      <sheetName val="ANEXO 10 - Déficit de Barrido"/>
      <sheetName val="ANEXO 11 - Demanda Recolección"/>
      <sheetName val="ANEXO 12 - Oferta Recolección"/>
      <sheetName val="ANEXO 13 - Déficit Recolección"/>
      <sheetName val="ANEXO 14 - Demanda Aprovech "/>
      <sheetName val="ANEXO 15 - Oferta Aprovechami"/>
      <sheetName val="ANEXO 16 - Déficit Aprove"/>
      <sheetName val="ANEXO 17 - Disposición Final"/>
      <sheetName val="ANEXO - CANT. Y COSTOS UNIT."/>
      <sheetName val="ANEXO 18 - RESUMEN"/>
      <sheetName val="ANEXO 19 A-  INV. CANTID"/>
      <sheetName val="ANEXO 19 B -  COSTOS UNIT"/>
      <sheetName val="ANEXO 20 - C.I. BARRIDO"/>
      <sheetName val="ANEXO 21-C.O. BARRIDO 1RA ETAPA"/>
      <sheetName val="ANEXO 21- C.O BARRIDO 2DA ETAPA"/>
      <sheetName val="ANEXO 22 - C.I. RECOLECCIÓN"/>
      <sheetName val="ANEXO 23 - C.O. RECOLECCIÓN"/>
      <sheetName val="ANEXO 24 - REAPROVECH INFRAEST"/>
      <sheetName val="ANEXO 25- REAPROVECH EQUIPAMIEN"/>
      <sheetName val="ANEXO 26 - C.O. REAPROVECHAM"/>
      <sheetName val="ANEXO 27 - DISP FINAL INFRAEST"/>
      <sheetName val="ANEXO 28 - DISP FINAL EQUIPAMIE"/>
      <sheetName val="ANEXO 29 - C.O. DISP FINAL"/>
      <sheetName val="ANEXO 30 - GESTION A.F.T"/>
      <sheetName val="ANEXO 31 - SENSIB POB-INV"/>
      <sheetName val="ANEXO 30 - C.O. SENSIB POB A"/>
      <sheetName val="ANEXO 31 - C.O. SENSIB POB B"/>
      <sheetName val="ANEXO 32-CIERRE PARCIAL RELLENO"/>
      <sheetName val="ANEXO 33 - Programa de Acciones"/>
      <sheetName val="ANEXO 34 - Cronograma de Activi"/>
      <sheetName val="Hoja4"/>
      <sheetName val="ANEXO 33-CRONOGRAMA DE ACCIONES"/>
      <sheetName val="ANEXO 34 - Presupuesto 1"/>
      <sheetName val="ANEXO 36 PTO ALT 1"/>
      <sheetName val="ANEXO 35 - Presupuesto Simple 1"/>
      <sheetName val="ANEXO 36 - Cronograma de Invers"/>
      <sheetName val="ANEXO 37 - Presupuesto 2"/>
      <sheetName val="ANEXO 38 - Presupuesto Simple 2"/>
      <sheetName val="ANEXO 39 - Gastos Municipales"/>
      <sheetName val="ANEXO 40-Cronograma reinversión"/>
      <sheetName val="ANEXO 41 - Costos Incrementales"/>
      <sheetName val="ANEXO 42 - EVAL COSTO-EFECTIVID"/>
      <sheetName val="ANEXO 43 - CÁLCULO DE TARIFA"/>
      <sheetName val="ANEXO 44 - INGRESOS"/>
      <sheetName val="ANEXO 45 - F.N. MEJOR ALTERNATI"/>
      <sheetName val="usar ejemplo dado(SERA OTRO ANX"/>
      <sheetName val="UNIFORMES"/>
      <sheetName val="RESUMEN OPEMA"/>
      <sheetName val="Hoja1"/>
      <sheetName val="Hoja2"/>
      <sheetName val="ANEXO 14 B - Demanda Aprovech"/>
      <sheetName val="ANEXO 14 C - Planta Compost 1"/>
      <sheetName val="ANEXO 14 D - Planta Compost 2 "/>
      <sheetName val="ANEXO 14 - E Planta Reciclaje"/>
      <sheetName val="ANEXO 17 B- Disposición Final"/>
      <sheetName val="ANEXO 46 - PROYEC. TARIFA_GASTO"/>
      <sheetName val="ANEXO 47 - FLUJO SOST. &amp; REINV."/>
      <sheetName val="ANEXO 46 - GASTO"/>
      <sheetName val="ANEXO 48 - VIDA  UTIL"/>
      <sheetName val="ANEXO 48 -GAST0"/>
      <sheetName val="ANEXO 49 - Factores Corrección"/>
      <sheetName val="MARCO LOGICO"/>
    </sheetNames>
    <sheetDataSet>
      <sheetData sheetId="0" refreshError="1"/>
      <sheetData sheetId="1" refreshError="1"/>
      <sheetData sheetId="2" refreshError="1">
        <row r="16">
          <cell r="C16">
            <v>3.71</v>
          </cell>
        </row>
        <row r="51">
          <cell r="C51">
            <v>0.47119999999999995</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p. Piura"/>
      <sheetName val="Prov. Piura"/>
      <sheetName val="Dist. Piura"/>
      <sheetName val="ANEXO 1 - Estimación Población"/>
      <sheetName val="ANEXO 2 - Generación RS Munic"/>
      <sheetName val="ANEXO 3 - Composición RSM"/>
      <sheetName val="ANEXO 4 - ÁRBOL CAUSAS-EFECTOS"/>
      <sheetName val="ANEXO 4 - ÁRBOL MEDIOS Y FINES"/>
      <sheetName val="ANEXO 5 - ALTERNATIVAS"/>
      <sheetName val="ANEXO 7 - Almacenamiento"/>
      <sheetName val="ANEXO 8 - Demanda de Barrido"/>
      <sheetName val="ANEXO 9 - Oferta de Barrido"/>
      <sheetName val="ANEXO 10 - Déficit de Barrido"/>
      <sheetName val="ANEXO 11 - Demanda Recolección"/>
      <sheetName val="ANEXO 12 - Oferta Recolección"/>
      <sheetName val="ANEXO 13 - Déficit Recolección"/>
      <sheetName val="ANEXO 14 - Demanda Aprovech "/>
      <sheetName val="ANEXO 15 - Oferta Aprovechami"/>
      <sheetName val="ANEXO 16 - Déficit Aprove"/>
      <sheetName val="ANEXO 17 - Disposición Final"/>
      <sheetName val="ANEXO 18 - RESUMEN"/>
      <sheetName val="ANEXO 19 A-  INV. CANTID"/>
      <sheetName val="ANEXO 19 B -  COSTOS UNIT"/>
      <sheetName val="ANEXO 20 - C.I. BARRIDO"/>
      <sheetName val="Desc anex 20"/>
      <sheetName val="ANEXO 21 - C.O. BARRIDO"/>
      <sheetName val="ANEXO 22 - C.I. RECOLECCIÓN"/>
      <sheetName val="ANEXO 23 - C.O. RECOLECCIÓN"/>
      <sheetName val="ANEXO 24 - REAPROVECH INFRAEST"/>
      <sheetName val="ANEXO 25- REAPROVECH EQUIPAMIEN"/>
      <sheetName val="ANEXO 26 - C.O. REAPROVECHAM"/>
      <sheetName val="ANEXO 27 - DISP FINAL INFRAEST"/>
      <sheetName val="ANEXO 28 - DISP FINAL EQUIPAMIE"/>
      <sheetName val="ANEXO 29 - C.O. DISP FINAL"/>
      <sheetName val="ANEXO 30 - GESTION A.F.T"/>
      <sheetName val="ANEXO 31 - SENSIB POB-INV"/>
      <sheetName val="ANEXO 30 - C.O. SENSIB POB A"/>
      <sheetName val="ANEXO 31 - C.O. SENSIB POB B"/>
      <sheetName val="ANEXO 32 - CIERRE DEL RELLENO"/>
      <sheetName val="ANEXO 33 - Programa de Acciones"/>
      <sheetName val="ANEXO 34 - Cronograma de Activi"/>
      <sheetName val="ANEXO 33-CRONOGRAMA DE ACCIONES"/>
      <sheetName val="ANEXO 34 - Presupuesto 1"/>
      <sheetName val="ANEXO 36 PTO ALT 1"/>
      <sheetName val="ANEXO 35 - Presupuesto Simple 1"/>
      <sheetName val="ANEXO 36 - Cronograma de Invers"/>
      <sheetName val="ANEXO 37 - Presupuesto 2"/>
      <sheetName val="ANEXO 38 - Presupuesto Simple 2"/>
      <sheetName val="ANEXO 39 - Gastos Municipales"/>
      <sheetName val="ANEXO 40 - Cronogram reinversió"/>
      <sheetName val="ANEXO 41 - Costos Incrementales"/>
      <sheetName val="ANEXO 42 - EVAL COSTO-EFECTIVID"/>
      <sheetName val="ANEXO 43 - CÁLCULO DE TARIFA"/>
      <sheetName val="ANALISIS SENSIBILIDAD"/>
      <sheetName val="ANEXO 44 - INGRESOS"/>
      <sheetName val="ANEXO 45 - F.N. MEJOR ALTERNATI"/>
      <sheetName val="ANEXO 46 - PROYEC. TARIFA_GASTO"/>
      <sheetName val="ANEXO 47 -GASTO"/>
      <sheetName val="ANEXO 47 - FLUJO SOST. &amp; REINV."/>
      <sheetName val="UNIFORMES"/>
      <sheetName val="RESUMEN OPEMA"/>
      <sheetName val="ANEXO 46-FLUJO DE CAJA"/>
      <sheetName val="ANEXO 48 - VIDA  UTIL"/>
      <sheetName val="ANEXO 14 B - Demanda Aprovech"/>
      <sheetName val="ANEXO 14 C - Planta Compost 1"/>
      <sheetName val="ANEXO 14 D - Planta Compost 2 "/>
      <sheetName val="ANEXO 14 - E Planta Reciclaje"/>
      <sheetName val="ANEXO 17 B- Disposición Final"/>
      <sheetName val="Indicador de efectividad"/>
      <sheetName val="Esquema de financiamiento"/>
      <sheetName val="ANEXO 49 - Marco Lógico"/>
      <sheetName val="ANEXO 50 - Factores Corrección"/>
    </sheetNames>
    <sheetDataSet>
      <sheetData sheetId="0"/>
      <sheetData sheetId="1"/>
      <sheetData sheetId="2"/>
      <sheetData sheetId="3"/>
      <sheetData sheetId="4"/>
      <sheetData sheetId="5"/>
      <sheetData sheetId="6" refreshError="1"/>
      <sheetData sheetId="7" refreshError="1"/>
      <sheetData sheetId="8" refreshError="1"/>
      <sheetData sheetId="9"/>
      <sheetData sheetId="10" refreshError="1"/>
      <sheetData sheetId="11" refreshError="1"/>
      <sheetData sheetId="12"/>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 sheetId="24" refreshError="1"/>
      <sheetData sheetId="25"/>
      <sheetData sheetId="26"/>
      <sheetData sheetId="27"/>
      <sheetData sheetId="28"/>
      <sheetData sheetId="29"/>
      <sheetData sheetId="30"/>
      <sheetData sheetId="31" refreshError="1"/>
      <sheetData sheetId="32"/>
      <sheetData sheetId="33"/>
      <sheetData sheetId="34"/>
      <sheetData sheetId="35"/>
      <sheetData sheetId="36"/>
      <sheetData sheetId="37" refreshError="1"/>
      <sheetData sheetId="38"/>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refreshError="1"/>
      <sheetData sheetId="53"/>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p. Piura"/>
      <sheetName val="Prov. Piura"/>
      <sheetName val="Dist. Piura"/>
      <sheetName val="ANEXO 1 - Estimación Población"/>
      <sheetName val="ANEXO 2 - Generación RS Munic"/>
      <sheetName val="ANEXO 3 - Composición RSM"/>
      <sheetName val="ANEXO 4 - ÁRBOL CAUSAS-EFECTOS"/>
      <sheetName val="ANEXO 4 - ÁRBOL MEDIOS Y FINES"/>
      <sheetName val="ANEXO 5 - ALTERNATIVAS"/>
      <sheetName val="ANEXO 7 - Almacenamiento"/>
      <sheetName val="ANEXO 8 - Demanda de Barrido"/>
      <sheetName val="ANEXO 9 - Oferta de Barrido"/>
      <sheetName val="ANEXO 10 - Déficit de Barrido"/>
      <sheetName val="ANEXO 11 - Demanda Recolección"/>
      <sheetName val="ANEXO 12 - Oferta Recolección"/>
      <sheetName val="ANEXO 13 - Déficit Recolección"/>
      <sheetName val="ANEXO 14 - Demanda Aprovech "/>
      <sheetName val="ANEXO 15 - Oferta Aprovechami"/>
      <sheetName val="ANEXO 16 - Déficit Aprove"/>
      <sheetName val="ANEXO 17 - Disposición Final"/>
      <sheetName val="ANEXO 18 - RESUMEN"/>
      <sheetName val="ANEXO 19 A-  INV. CANTID"/>
      <sheetName val="ANEXO 19 B -  COSTOS UNIT"/>
      <sheetName val="ANEXO 20 - C.I. BARRIDO"/>
      <sheetName val="Desc anex 20"/>
      <sheetName val="ANEXO 21 - C.O. BARRIDO"/>
      <sheetName val="ANEXO 22 - C.I. RECOLECCIÓN"/>
      <sheetName val="ANEXO 23 - C.O. RECOLECCIÓN"/>
      <sheetName val="ANEXO 24 - REAPROVECH INFRAEST"/>
      <sheetName val="ANEXO 25- REAPROVECH EQUIPAMIEN"/>
      <sheetName val="ANEXO 26 - C.O. REAPROVECHAM"/>
      <sheetName val="ANEXO 27 - DISP FINAL INFRAEST"/>
      <sheetName val="ANEXO 28 - DISP FINAL EQUIPAMIE"/>
      <sheetName val="ANEXO 29 - C.O. DISP FINAL"/>
      <sheetName val="ANEXO 30 - GESTION A.F.T"/>
      <sheetName val="ANEXO 31 - SENSIB POB-INV"/>
      <sheetName val="ANEXO 30 - C.O. SENSIB POB A"/>
      <sheetName val="ANEXO 31 - C.O. SENSIB POB B"/>
      <sheetName val="ANEXO 32 - CIERRE DEL RELLENO"/>
      <sheetName val="ANEXO 33 - Programa de Acciones"/>
      <sheetName val="ANEXO 34 - Cronograma de Activi"/>
      <sheetName val="ANEXO 33-CRONOGRAMA DE ACCIONES"/>
      <sheetName val="ANEXO 34 - Presupuesto 1"/>
      <sheetName val="ANEXO 36 PTO ALT 1"/>
      <sheetName val="ANEXO 35 - Presupuesto Simple 1"/>
      <sheetName val="ANEXO 36 - Cronograma de Invers"/>
      <sheetName val="ANEXO 37 - Presupuesto 2"/>
      <sheetName val="ANEXO 38 - Presupuesto Simple 2"/>
      <sheetName val="ANEXO 39 - Gastos Municipales"/>
      <sheetName val="ANEXO 40 - Cronogram reinversió"/>
      <sheetName val="ANEXO 41 - Costos Incrementales"/>
      <sheetName val="ANEXO 42 - EVAL COSTO-EFECTIVID"/>
      <sheetName val="ANEXO 43 - CÁLCULO DE TARIFA"/>
      <sheetName val="ANALISIS SENSIBILIDAD"/>
      <sheetName val="ANEXO 44 - INGRESOS"/>
      <sheetName val="ANEXO 45 - F.N. MEJOR ALTERNATI"/>
      <sheetName val="ANEXO 46 - PROYEC. TARIFA_GASTO"/>
      <sheetName val="ANEXO 47 -GASTO"/>
      <sheetName val="ANEXO 47 - FLUJO SOST. &amp; REINV."/>
      <sheetName val="UNIFORMES"/>
      <sheetName val="RESUMEN OPEMA"/>
      <sheetName val="ANEXO 46-FLUJO DE CAJA"/>
      <sheetName val="ANEXO 48 - VIDA  UTIL"/>
      <sheetName val="ANEXO 14 B - Demanda Aprovech"/>
      <sheetName val="ANEXO 14 C - Planta Compost 1"/>
      <sheetName val="ANEXO 14 D - Planta Compost 2 "/>
      <sheetName val="ANEXO 14 - E Planta Reciclaje"/>
      <sheetName val="ANEXO 17 B- Disposición Final"/>
      <sheetName val="Indicador de efectividad"/>
      <sheetName val="Esquema de financiamiento"/>
      <sheetName val="ANEXO 49 - Marco Lógico"/>
      <sheetName val="ANEXO 50 - Factores Corrección"/>
    </sheetNames>
    <sheetDataSet>
      <sheetData sheetId="0"/>
      <sheetData sheetId="1"/>
      <sheetData sheetId="2"/>
      <sheetData sheetId="3"/>
      <sheetData sheetId="4"/>
      <sheetData sheetId="5"/>
      <sheetData sheetId="6" refreshError="1"/>
      <sheetData sheetId="7" refreshError="1"/>
      <sheetData sheetId="8" refreshError="1"/>
      <sheetData sheetId="9"/>
      <sheetData sheetId="10" refreshError="1"/>
      <sheetData sheetId="11" refreshError="1"/>
      <sheetData sheetId="12"/>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 sheetId="24" refreshError="1"/>
      <sheetData sheetId="25"/>
      <sheetData sheetId="26"/>
      <sheetData sheetId="27"/>
      <sheetData sheetId="28"/>
      <sheetData sheetId="29"/>
      <sheetData sheetId="30"/>
      <sheetData sheetId="31" refreshError="1"/>
      <sheetData sheetId="32"/>
      <sheetData sheetId="33"/>
      <sheetData sheetId="34"/>
      <sheetData sheetId="35"/>
      <sheetData sheetId="36"/>
      <sheetData sheetId="37" refreshError="1"/>
      <sheetData sheetId="38"/>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refreshError="1"/>
      <sheetData sheetId="53"/>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CHA"/>
      <sheetName val="BASE"/>
      <sheetName val="Condiciones Estandar"/>
      <sheetName val="DATOS"/>
      <sheetName val="Criterios Tecnicos"/>
      <sheetName val="Estudios Basicos"/>
      <sheetName val="REQ. EJECU"/>
      <sheetName val="Población Y RR.SS"/>
      <sheetName val="Demanda Oferta"/>
      <sheetName val="Disp Final"/>
      <sheetName val="Planteamiento Tecnico"/>
      <sheetName val="Exp Tecnico y otros"/>
      <sheetName val="Costos Equip y Consul"/>
      <sheetName val="P.Val. Organico"/>
      <sheetName val="P. Val. Inor"/>
      <sheetName val="P. Relleno Sanitario"/>
      <sheetName val="REINV"/>
      <sheetName val="O&amp;M"/>
      <sheetName val="Costos Alter."/>
      <sheetName val="CEF-Tarifa"/>
    </sheetNames>
    <sheetDataSet>
      <sheetData sheetId="0">
        <row r="602">
          <cell r="B602" t="str">
            <v>Liquidación del Proyecto</v>
          </cell>
        </row>
      </sheetData>
      <sheetData sheetId="1"/>
      <sheetData sheetId="2"/>
      <sheetData sheetId="3"/>
      <sheetData sheetId="4"/>
      <sheetData sheetId="5"/>
      <sheetData sheetId="6"/>
      <sheetData sheetId="7"/>
      <sheetData sheetId="8"/>
      <sheetData sheetId="9"/>
      <sheetData sheetId="10">
        <row r="184">
          <cell r="C184">
            <v>6</v>
          </cell>
        </row>
      </sheetData>
      <sheetData sheetId="11"/>
      <sheetData sheetId="12"/>
      <sheetData sheetId="13"/>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61.xml"/><Relationship Id="rId21" Type="http://schemas.openxmlformats.org/officeDocument/2006/relationships/image" Target="../media/image9.emf"/><Relationship Id="rId42" Type="http://schemas.openxmlformats.org/officeDocument/2006/relationships/control" Target="../activeX/activeX24.xml"/><Relationship Id="rId63" Type="http://schemas.openxmlformats.org/officeDocument/2006/relationships/ctrlProp" Target="../ctrlProps/ctrlProp7.xml"/><Relationship Id="rId84" Type="http://schemas.openxmlformats.org/officeDocument/2006/relationships/ctrlProp" Target="../ctrlProps/ctrlProp28.xml"/><Relationship Id="rId138" Type="http://schemas.openxmlformats.org/officeDocument/2006/relationships/ctrlProp" Target="../ctrlProps/ctrlProp82.xml"/><Relationship Id="rId159" Type="http://schemas.openxmlformats.org/officeDocument/2006/relationships/ctrlProp" Target="../ctrlProps/ctrlProp103.xml"/><Relationship Id="rId170" Type="http://schemas.openxmlformats.org/officeDocument/2006/relationships/ctrlProp" Target="../ctrlProps/ctrlProp114.xml"/><Relationship Id="rId191" Type="http://schemas.openxmlformats.org/officeDocument/2006/relationships/ctrlProp" Target="../ctrlProps/ctrlProp135.xml"/><Relationship Id="rId205" Type="http://schemas.openxmlformats.org/officeDocument/2006/relationships/ctrlProp" Target="../ctrlProps/ctrlProp149.xml"/><Relationship Id="rId107" Type="http://schemas.openxmlformats.org/officeDocument/2006/relationships/ctrlProp" Target="../ctrlProps/ctrlProp51.xml"/><Relationship Id="rId11" Type="http://schemas.openxmlformats.org/officeDocument/2006/relationships/image" Target="../media/image4.emf"/><Relationship Id="rId32" Type="http://schemas.openxmlformats.org/officeDocument/2006/relationships/control" Target="../activeX/activeX17.xml"/><Relationship Id="rId53" Type="http://schemas.openxmlformats.org/officeDocument/2006/relationships/control" Target="../activeX/activeX31.xml"/><Relationship Id="rId74" Type="http://schemas.openxmlformats.org/officeDocument/2006/relationships/ctrlProp" Target="../ctrlProps/ctrlProp18.xml"/><Relationship Id="rId128" Type="http://schemas.openxmlformats.org/officeDocument/2006/relationships/ctrlProp" Target="../ctrlProps/ctrlProp72.xml"/><Relationship Id="rId149" Type="http://schemas.openxmlformats.org/officeDocument/2006/relationships/ctrlProp" Target="../ctrlProps/ctrlProp93.xml"/><Relationship Id="rId5" Type="http://schemas.openxmlformats.org/officeDocument/2006/relationships/image" Target="../media/image1.emf"/><Relationship Id="rId95" Type="http://schemas.openxmlformats.org/officeDocument/2006/relationships/ctrlProp" Target="../ctrlProps/ctrlProp39.xml"/><Relationship Id="rId160" Type="http://schemas.openxmlformats.org/officeDocument/2006/relationships/ctrlProp" Target="../ctrlProps/ctrlProp104.xml"/><Relationship Id="rId181" Type="http://schemas.openxmlformats.org/officeDocument/2006/relationships/ctrlProp" Target="../ctrlProps/ctrlProp125.xml"/><Relationship Id="rId216" Type="http://schemas.openxmlformats.org/officeDocument/2006/relationships/ctrlProp" Target="../ctrlProps/ctrlProp160.xml"/><Relationship Id="rId22" Type="http://schemas.openxmlformats.org/officeDocument/2006/relationships/control" Target="../activeX/activeX10.xml"/><Relationship Id="rId43" Type="http://schemas.openxmlformats.org/officeDocument/2006/relationships/control" Target="../activeX/activeX25.xml"/><Relationship Id="rId64" Type="http://schemas.openxmlformats.org/officeDocument/2006/relationships/ctrlProp" Target="../ctrlProps/ctrlProp8.xml"/><Relationship Id="rId118" Type="http://schemas.openxmlformats.org/officeDocument/2006/relationships/ctrlProp" Target="../ctrlProps/ctrlProp62.xml"/><Relationship Id="rId139" Type="http://schemas.openxmlformats.org/officeDocument/2006/relationships/ctrlProp" Target="../ctrlProps/ctrlProp83.xml"/><Relationship Id="rId85" Type="http://schemas.openxmlformats.org/officeDocument/2006/relationships/ctrlProp" Target="../ctrlProps/ctrlProp29.xml"/><Relationship Id="rId150" Type="http://schemas.openxmlformats.org/officeDocument/2006/relationships/ctrlProp" Target="../ctrlProps/ctrlProp94.xml"/><Relationship Id="rId171" Type="http://schemas.openxmlformats.org/officeDocument/2006/relationships/ctrlProp" Target="../ctrlProps/ctrlProp115.xml"/><Relationship Id="rId192" Type="http://schemas.openxmlformats.org/officeDocument/2006/relationships/ctrlProp" Target="../ctrlProps/ctrlProp136.xml"/><Relationship Id="rId206" Type="http://schemas.openxmlformats.org/officeDocument/2006/relationships/ctrlProp" Target="../ctrlProps/ctrlProp150.xml"/><Relationship Id="rId12" Type="http://schemas.openxmlformats.org/officeDocument/2006/relationships/control" Target="../activeX/activeX5.xml"/><Relationship Id="rId33" Type="http://schemas.openxmlformats.org/officeDocument/2006/relationships/control" Target="../activeX/activeX18.xml"/><Relationship Id="rId108" Type="http://schemas.openxmlformats.org/officeDocument/2006/relationships/ctrlProp" Target="../ctrlProps/ctrlProp52.xml"/><Relationship Id="rId129" Type="http://schemas.openxmlformats.org/officeDocument/2006/relationships/ctrlProp" Target="../ctrlProps/ctrlProp73.xml"/><Relationship Id="rId54" Type="http://schemas.openxmlformats.org/officeDocument/2006/relationships/image" Target="../media/image20.emf"/><Relationship Id="rId75" Type="http://schemas.openxmlformats.org/officeDocument/2006/relationships/ctrlProp" Target="../ctrlProps/ctrlProp19.xml"/><Relationship Id="rId96" Type="http://schemas.openxmlformats.org/officeDocument/2006/relationships/ctrlProp" Target="../ctrlProps/ctrlProp40.xml"/><Relationship Id="rId140" Type="http://schemas.openxmlformats.org/officeDocument/2006/relationships/ctrlProp" Target="../ctrlProps/ctrlProp84.xml"/><Relationship Id="rId161" Type="http://schemas.openxmlformats.org/officeDocument/2006/relationships/ctrlProp" Target="../ctrlProps/ctrlProp105.xml"/><Relationship Id="rId182" Type="http://schemas.openxmlformats.org/officeDocument/2006/relationships/ctrlProp" Target="../ctrlProps/ctrlProp126.xml"/><Relationship Id="rId217" Type="http://schemas.openxmlformats.org/officeDocument/2006/relationships/ctrlProp" Target="../ctrlProps/ctrlProp161.xml"/><Relationship Id="rId6" Type="http://schemas.openxmlformats.org/officeDocument/2006/relationships/control" Target="../activeX/activeX2.xml"/><Relationship Id="rId23" Type="http://schemas.openxmlformats.org/officeDocument/2006/relationships/image" Target="../media/image10.emf"/><Relationship Id="rId119" Type="http://schemas.openxmlformats.org/officeDocument/2006/relationships/ctrlProp" Target="../ctrlProps/ctrlProp63.xml"/><Relationship Id="rId44" Type="http://schemas.openxmlformats.org/officeDocument/2006/relationships/image" Target="../media/image16.emf"/><Relationship Id="rId65" Type="http://schemas.openxmlformats.org/officeDocument/2006/relationships/ctrlProp" Target="../ctrlProps/ctrlProp9.xml"/><Relationship Id="rId86" Type="http://schemas.openxmlformats.org/officeDocument/2006/relationships/ctrlProp" Target="../ctrlProps/ctrlProp30.xml"/><Relationship Id="rId130" Type="http://schemas.openxmlformats.org/officeDocument/2006/relationships/ctrlProp" Target="../ctrlProps/ctrlProp74.xml"/><Relationship Id="rId151" Type="http://schemas.openxmlformats.org/officeDocument/2006/relationships/ctrlProp" Target="../ctrlProps/ctrlProp95.xml"/><Relationship Id="rId172" Type="http://schemas.openxmlformats.org/officeDocument/2006/relationships/ctrlProp" Target="../ctrlProps/ctrlProp116.xml"/><Relationship Id="rId193" Type="http://schemas.openxmlformats.org/officeDocument/2006/relationships/ctrlProp" Target="../ctrlProps/ctrlProp137.xml"/><Relationship Id="rId207" Type="http://schemas.openxmlformats.org/officeDocument/2006/relationships/ctrlProp" Target="../ctrlProps/ctrlProp151.xml"/><Relationship Id="rId13" Type="http://schemas.openxmlformats.org/officeDocument/2006/relationships/image" Target="../media/image5.emf"/><Relationship Id="rId109" Type="http://schemas.openxmlformats.org/officeDocument/2006/relationships/ctrlProp" Target="../ctrlProps/ctrlProp53.xml"/><Relationship Id="rId34" Type="http://schemas.openxmlformats.org/officeDocument/2006/relationships/control" Target="../activeX/activeX19.xml"/><Relationship Id="rId55" Type="http://schemas.openxmlformats.org/officeDocument/2006/relationships/control" Target="../activeX/activeX32.xml"/><Relationship Id="rId76" Type="http://schemas.openxmlformats.org/officeDocument/2006/relationships/ctrlProp" Target="../ctrlProps/ctrlProp20.xml"/><Relationship Id="rId97" Type="http://schemas.openxmlformats.org/officeDocument/2006/relationships/ctrlProp" Target="../ctrlProps/ctrlProp41.xml"/><Relationship Id="rId120" Type="http://schemas.openxmlformats.org/officeDocument/2006/relationships/ctrlProp" Target="../ctrlProps/ctrlProp64.xml"/><Relationship Id="rId141" Type="http://schemas.openxmlformats.org/officeDocument/2006/relationships/ctrlProp" Target="../ctrlProps/ctrlProp85.xml"/><Relationship Id="rId7" Type="http://schemas.openxmlformats.org/officeDocument/2006/relationships/image" Target="../media/image2.emf"/><Relationship Id="rId162" Type="http://schemas.openxmlformats.org/officeDocument/2006/relationships/ctrlProp" Target="../ctrlProps/ctrlProp106.xml"/><Relationship Id="rId183" Type="http://schemas.openxmlformats.org/officeDocument/2006/relationships/ctrlProp" Target="../ctrlProps/ctrlProp127.xml"/><Relationship Id="rId218" Type="http://schemas.openxmlformats.org/officeDocument/2006/relationships/ctrlProp" Target="../ctrlProps/ctrlProp162.xml"/><Relationship Id="rId24" Type="http://schemas.openxmlformats.org/officeDocument/2006/relationships/control" Target="../activeX/activeX11.xml"/><Relationship Id="rId45" Type="http://schemas.openxmlformats.org/officeDocument/2006/relationships/control" Target="../activeX/activeX26.xml"/><Relationship Id="rId66" Type="http://schemas.openxmlformats.org/officeDocument/2006/relationships/ctrlProp" Target="../ctrlProps/ctrlProp10.xml"/><Relationship Id="rId87" Type="http://schemas.openxmlformats.org/officeDocument/2006/relationships/ctrlProp" Target="../ctrlProps/ctrlProp31.xml"/><Relationship Id="rId110" Type="http://schemas.openxmlformats.org/officeDocument/2006/relationships/ctrlProp" Target="../ctrlProps/ctrlProp54.xml"/><Relationship Id="rId131" Type="http://schemas.openxmlformats.org/officeDocument/2006/relationships/ctrlProp" Target="../ctrlProps/ctrlProp75.xml"/><Relationship Id="rId152" Type="http://schemas.openxmlformats.org/officeDocument/2006/relationships/ctrlProp" Target="../ctrlProps/ctrlProp96.xml"/><Relationship Id="rId173" Type="http://schemas.openxmlformats.org/officeDocument/2006/relationships/ctrlProp" Target="../ctrlProps/ctrlProp117.xml"/><Relationship Id="rId194" Type="http://schemas.openxmlformats.org/officeDocument/2006/relationships/ctrlProp" Target="../ctrlProps/ctrlProp138.xml"/><Relationship Id="rId208" Type="http://schemas.openxmlformats.org/officeDocument/2006/relationships/ctrlProp" Target="../ctrlProps/ctrlProp152.xml"/><Relationship Id="rId14" Type="http://schemas.openxmlformats.org/officeDocument/2006/relationships/control" Target="../activeX/activeX6.xml"/><Relationship Id="rId30" Type="http://schemas.openxmlformats.org/officeDocument/2006/relationships/control" Target="../activeX/activeX16.xml"/><Relationship Id="rId35" Type="http://schemas.openxmlformats.org/officeDocument/2006/relationships/image" Target="../media/image13.emf"/><Relationship Id="rId56" Type="http://schemas.openxmlformats.org/officeDocument/2006/relationships/image" Target="../media/image21.emf"/><Relationship Id="rId77" Type="http://schemas.openxmlformats.org/officeDocument/2006/relationships/ctrlProp" Target="../ctrlProps/ctrlProp21.xml"/><Relationship Id="rId100" Type="http://schemas.openxmlformats.org/officeDocument/2006/relationships/ctrlProp" Target="../ctrlProps/ctrlProp44.xml"/><Relationship Id="rId105" Type="http://schemas.openxmlformats.org/officeDocument/2006/relationships/ctrlProp" Target="../ctrlProps/ctrlProp49.xml"/><Relationship Id="rId126" Type="http://schemas.openxmlformats.org/officeDocument/2006/relationships/ctrlProp" Target="../ctrlProps/ctrlProp70.xml"/><Relationship Id="rId147" Type="http://schemas.openxmlformats.org/officeDocument/2006/relationships/ctrlProp" Target="../ctrlProps/ctrlProp91.xml"/><Relationship Id="rId168" Type="http://schemas.openxmlformats.org/officeDocument/2006/relationships/ctrlProp" Target="../ctrlProps/ctrlProp112.xml"/><Relationship Id="rId8" Type="http://schemas.openxmlformats.org/officeDocument/2006/relationships/control" Target="../activeX/activeX3.xml"/><Relationship Id="rId51" Type="http://schemas.openxmlformats.org/officeDocument/2006/relationships/control" Target="../activeX/activeX30.xml"/><Relationship Id="rId72" Type="http://schemas.openxmlformats.org/officeDocument/2006/relationships/ctrlProp" Target="../ctrlProps/ctrlProp16.xml"/><Relationship Id="rId93" Type="http://schemas.openxmlformats.org/officeDocument/2006/relationships/ctrlProp" Target="../ctrlProps/ctrlProp37.xml"/><Relationship Id="rId98" Type="http://schemas.openxmlformats.org/officeDocument/2006/relationships/ctrlProp" Target="../ctrlProps/ctrlProp42.xml"/><Relationship Id="rId121" Type="http://schemas.openxmlformats.org/officeDocument/2006/relationships/ctrlProp" Target="../ctrlProps/ctrlProp65.xml"/><Relationship Id="rId142" Type="http://schemas.openxmlformats.org/officeDocument/2006/relationships/ctrlProp" Target="../ctrlProps/ctrlProp86.xml"/><Relationship Id="rId163" Type="http://schemas.openxmlformats.org/officeDocument/2006/relationships/ctrlProp" Target="../ctrlProps/ctrlProp107.xml"/><Relationship Id="rId184" Type="http://schemas.openxmlformats.org/officeDocument/2006/relationships/ctrlProp" Target="../ctrlProps/ctrlProp128.xml"/><Relationship Id="rId189" Type="http://schemas.openxmlformats.org/officeDocument/2006/relationships/ctrlProp" Target="../ctrlProps/ctrlProp133.xml"/><Relationship Id="rId219" Type="http://schemas.openxmlformats.org/officeDocument/2006/relationships/ctrlProp" Target="../ctrlProps/ctrlProp163.xml"/><Relationship Id="rId3" Type="http://schemas.openxmlformats.org/officeDocument/2006/relationships/vmlDrawing" Target="../drawings/vmlDrawing1.vml"/><Relationship Id="rId214" Type="http://schemas.openxmlformats.org/officeDocument/2006/relationships/ctrlProp" Target="../ctrlProps/ctrlProp158.xml"/><Relationship Id="rId25" Type="http://schemas.openxmlformats.org/officeDocument/2006/relationships/image" Target="../media/image11.emf"/><Relationship Id="rId46" Type="http://schemas.openxmlformats.org/officeDocument/2006/relationships/control" Target="../activeX/activeX27.xml"/><Relationship Id="rId67" Type="http://schemas.openxmlformats.org/officeDocument/2006/relationships/ctrlProp" Target="../ctrlProps/ctrlProp11.xml"/><Relationship Id="rId116" Type="http://schemas.openxmlformats.org/officeDocument/2006/relationships/ctrlProp" Target="../ctrlProps/ctrlProp60.xml"/><Relationship Id="rId137" Type="http://schemas.openxmlformats.org/officeDocument/2006/relationships/ctrlProp" Target="../ctrlProps/ctrlProp81.xml"/><Relationship Id="rId158" Type="http://schemas.openxmlformats.org/officeDocument/2006/relationships/ctrlProp" Target="../ctrlProps/ctrlProp102.xml"/><Relationship Id="rId20" Type="http://schemas.openxmlformats.org/officeDocument/2006/relationships/control" Target="../activeX/activeX9.xml"/><Relationship Id="rId41" Type="http://schemas.openxmlformats.org/officeDocument/2006/relationships/image" Target="../media/image15.emf"/><Relationship Id="rId62" Type="http://schemas.openxmlformats.org/officeDocument/2006/relationships/ctrlProp" Target="../ctrlProps/ctrlProp6.xml"/><Relationship Id="rId83" Type="http://schemas.openxmlformats.org/officeDocument/2006/relationships/ctrlProp" Target="../ctrlProps/ctrlProp27.xml"/><Relationship Id="rId88" Type="http://schemas.openxmlformats.org/officeDocument/2006/relationships/ctrlProp" Target="../ctrlProps/ctrlProp32.xml"/><Relationship Id="rId111" Type="http://schemas.openxmlformats.org/officeDocument/2006/relationships/ctrlProp" Target="../ctrlProps/ctrlProp55.xml"/><Relationship Id="rId132" Type="http://schemas.openxmlformats.org/officeDocument/2006/relationships/ctrlProp" Target="../ctrlProps/ctrlProp76.xml"/><Relationship Id="rId153" Type="http://schemas.openxmlformats.org/officeDocument/2006/relationships/ctrlProp" Target="../ctrlProps/ctrlProp97.xml"/><Relationship Id="rId174" Type="http://schemas.openxmlformats.org/officeDocument/2006/relationships/ctrlProp" Target="../ctrlProps/ctrlProp118.xml"/><Relationship Id="rId179" Type="http://schemas.openxmlformats.org/officeDocument/2006/relationships/ctrlProp" Target="../ctrlProps/ctrlProp123.xml"/><Relationship Id="rId195" Type="http://schemas.openxmlformats.org/officeDocument/2006/relationships/ctrlProp" Target="../ctrlProps/ctrlProp139.xml"/><Relationship Id="rId209" Type="http://schemas.openxmlformats.org/officeDocument/2006/relationships/ctrlProp" Target="../ctrlProps/ctrlProp153.xml"/><Relationship Id="rId190" Type="http://schemas.openxmlformats.org/officeDocument/2006/relationships/ctrlProp" Target="../ctrlProps/ctrlProp134.xml"/><Relationship Id="rId204" Type="http://schemas.openxmlformats.org/officeDocument/2006/relationships/ctrlProp" Target="../ctrlProps/ctrlProp148.xml"/><Relationship Id="rId15" Type="http://schemas.openxmlformats.org/officeDocument/2006/relationships/image" Target="../media/image6.emf"/><Relationship Id="rId36" Type="http://schemas.openxmlformats.org/officeDocument/2006/relationships/control" Target="../activeX/activeX20.xml"/><Relationship Id="rId57" Type="http://schemas.openxmlformats.org/officeDocument/2006/relationships/ctrlProp" Target="../ctrlProps/ctrlProp1.xml"/><Relationship Id="rId106" Type="http://schemas.openxmlformats.org/officeDocument/2006/relationships/ctrlProp" Target="../ctrlProps/ctrlProp50.xml"/><Relationship Id="rId127" Type="http://schemas.openxmlformats.org/officeDocument/2006/relationships/ctrlProp" Target="../ctrlProps/ctrlProp71.xml"/><Relationship Id="rId10" Type="http://schemas.openxmlformats.org/officeDocument/2006/relationships/control" Target="../activeX/activeX4.xml"/><Relationship Id="rId31" Type="http://schemas.openxmlformats.org/officeDocument/2006/relationships/image" Target="../media/image12.emf"/><Relationship Id="rId52" Type="http://schemas.openxmlformats.org/officeDocument/2006/relationships/image" Target="../media/image19.emf"/><Relationship Id="rId73" Type="http://schemas.openxmlformats.org/officeDocument/2006/relationships/ctrlProp" Target="../ctrlProps/ctrlProp17.xml"/><Relationship Id="rId78" Type="http://schemas.openxmlformats.org/officeDocument/2006/relationships/ctrlProp" Target="../ctrlProps/ctrlProp22.xml"/><Relationship Id="rId94" Type="http://schemas.openxmlformats.org/officeDocument/2006/relationships/ctrlProp" Target="../ctrlProps/ctrlProp38.xml"/><Relationship Id="rId99" Type="http://schemas.openxmlformats.org/officeDocument/2006/relationships/ctrlProp" Target="../ctrlProps/ctrlProp43.xml"/><Relationship Id="rId101" Type="http://schemas.openxmlformats.org/officeDocument/2006/relationships/ctrlProp" Target="../ctrlProps/ctrlProp45.xml"/><Relationship Id="rId122" Type="http://schemas.openxmlformats.org/officeDocument/2006/relationships/ctrlProp" Target="../ctrlProps/ctrlProp66.xml"/><Relationship Id="rId143" Type="http://schemas.openxmlformats.org/officeDocument/2006/relationships/ctrlProp" Target="../ctrlProps/ctrlProp87.xml"/><Relationship Id="rId148" Type="http://schemas.openxmlformats.org/officeDocument/2006/relationships/ctrlProp" Target="../ctrlProps/ctrlProp92.xml"/><Relationship Id="rId164" Type="http://schemas.openxmlformats.org/officeDocument/2006/relationships/ctrlProp" Target="../ctrlProps/ctrlProp108.xml"/><Relationship Id="rId169" Type="http://schemas.openxmlformats.org/officeDocument/2006/relationships/ctrlProp" Target="../ctrlProps/ctrlProp113.xml"/><Relationship Id="rId185" Type="http://schemas.openxmlformats.org/officeDocument/2006/relationships/ctrlProp" Target="../ctrlProps/ctrlProp129.xml"/><Relationship Id="rId4" Type="http://schemas.openxmlformats.org/officeDocument/2006/relationships/control" Target="../activeX/activeX1.xml"/><Relationship Id="rId9" Type="http://schemas.openxmlformats.org/officeDocument/2006/relationships/image" Target="../media/image3.emf"/><Relationship Id="rId180" Type="http://schemas.openxmlformats.org/officeDocument/2006/relationships/ctrlProp" Target="../ctrlProps/ctrlProp124.xml"/><Relationship Id="rId210" Type="http://schemas.openxmlformats.org/officeDocument/2006/relationships/ctrlProp" Target="../ctrlProps/ctrlProp154.xml"/><Relationship Id="rId215" Type="http://schemas.openxmlformats.org/officeDocument/2006/relationships/ctrlProp" Target="../ctrlProps/ctrlProp159.xml"/><Relationship Id="rId26" Type="http://schemas.openxmlformats.org/officeDocument/2006/relationships/control" Target="../activeX/activeX12.xml"/><Relationship Id="rId47" Type="http://schemas.openxmlformats.org/officeDocument/2006/relationships/control" Target="../activeX/activeX28.xml"/><Relationship Id="rId68" Type="http://schemas.openxmlformats.org/officeDocument/2006/relationships/ctrlProp" Target="../ctrlProps/ctrlProp12.xml"/><Relationship Id="rId89" Type="http://schemas.openxmlformats.org/officeDocument/2006/relationships/ctrlProp" Target="../ctrlProps/ctrlProp33.xml"/><Relationship Id="rId112" Type="http://schemas.openxmlformats.org/officeDocument/2006/relationships/ctrlProp" Target="../ctrlProps/ctrlProp56.xml"/><Relationship Id="rId133" Type="http://schemas.openxmlformats.org/officeDocument/2006/relationships/ctrlProp" Target="../ctrlProps/ctrlProp77.xml"/><Relationship Id="rId154" Type="http://schemas.openxmlformats.org/officeDocument/2006/relationships/ctrlProp" Target="../ctrlProps/ctrlProp98.xml"/><Relationship Id="rId175" Type="http://schemas.openxmlformats.org/officeDocument/2006/relationships/ctrlProp" Target="../ctrlProps/ctrlProp119.xml"/><Relationship Id="rId196" Type="http://schemas.openxmlformats.org/officeDocument/2006/relationships/ctrlProp" Target="../ctrlProps/ctrlProp140.xml"/><Relationship Id="rId200" Type="http://schemas.openxmlformats.org/officeDocument/2006/relationships/ctrlProp" Target="../ctrlProps/ctrlProp144.xml"/><Relationship Id="rId16" Type="http://schemas.openxmlformats.org/officeDocument/2006/relationships/control" Target="../activeX/activeX7.xml"/><Relationship Id="rId37" Type="http://schemas.openxmlformats.org/officeDocument/2006/relationships/control" Target="../activeX/activeX21.xml"/><Relationship Id="rId58" Type="http://schemas.openxmlformats.org/officeDocument/2006/relationships/ctrlProp" Target="../ctrlProps/ctrlProp2.xml"/><Relationship Id="rId79" Type="http://schemas.openxmlformats.org/officeDocument/2006/relationships/ctrlProp" Target="../ctrlProps/ctrlProp23.xml"/><Relationship Id="rId102" Type="http://schemas.openxmlformats.org/officeDocument/2006/relationships/ctrlProp" Target="../ctrlProps/ctrlProp46.xml"/><Relationship Id="rId123" Type="http://schemas.openxmlformats.org/officeDocument/2006/relationships/ctrlProp" Target="../ctrlProps/ctrlProp67.xml"/><Relationship Id="rId144" Type="http://schemas.openxmlformats.org/officeDocument/2006/relationships/ctrlProp" Target="../ctrlProps/ctrlProp88.xml"/><Relationship Id="rId90" Type="http://schemas.openxmlformats.org/officeDocument/2006/relationships/ctrlProp" Target="../ctrlProps/ctrlProp34.xml"/><Relationship Id="rId165" Type="http://schemas.openxmlformats.org/officeDocument/2006/relationships/ctrlProp" Target="../ctrlProps/ctrlProp109.xml"/><Relationship Id="rId186" Type="http://schemas.openxmlformats.org/officeDocument/2006/relationships/ctrlProp" Target="../ctrlProps/ctrlProp130.xml"/><Relationship Id="rId211" Type="http://schemas.openxmlformats.org/officeDocument/2006/relationships/ctrlProp" Target="../ctrlProps/ctrlProp155.xml"/><Relationship Id="rId27" Type="http://schemas.openxmlformats.org/officeDocument/2006/relationships/control" Target="../activeX/activeX13.xml"/><Relationship Id="rId48" Type="http://schemas.openxmlformats.org/officeDocument/2006/relationships/image" Target="../media/image17.emf"/><Relationship Id="rId69" Type="http://schemas.openxmlformats.org/officeDocument/2006/relationships/ctrlProp" Target="../ctrlProps/ctrlProp13.xml"/><Relationship Id="rId113" Type="http://schemas.openxmlformats.org/officeDocument/2006/relationships/ctrlProp" Target="../ctrlProps/ctrlProp57.xml"/><Relationship Id="rId134" Type="http://schemas.openxmlformats.org/officeDocument/2006/relationships/ctrlProp" Target="../ctrlProps/ctrlProp78.xml"/><Relationship Id="rId80" Type="http://schemas.openxmlformats.org/officeDocument/2006/relationships/ctrlProp" Target="../ctrlProps/ctrlProp24.xml"/><Relationship Id="rId155" Type="http://schemas.openxmlformats.org/officeDocument/2006/relationships/ctrlProp" Target="../ctrlProps/ctrlProp99.xml"/><Relationship Id="rId176" Type="http://schemas.openxmlformats.org/officeDocument/2006/relationships/ctrlProp" Target="../ctrlProps/ctrlProp120.xml"/><Relationship Id="rId197" Type="http://schemas.openxmlformats.org/officeDocument/2006/relationships/ctrlProp" Target="../ctrlProps/ctrlProp141.xml"/><Relationship Id="rId201" Type="http://schemas.openxmlformats.org/officeDocument/2006/relationships/ctrlProp" Target="../ctrlProps/ctrlProp145.xml"/><Relationship Id="rId17" Type="http://schemas.openxmlformats.org/officeDocument/2006/relationships/image" Target="../media/image7.emf"/><Relationship Id="rId38" Type="http://schemas.openxmlformats.org/officeDocument/2006/relationships/control" Target="../activeX/activeX22.xml"/><Relationship Id="rId59" Type="http://schemas.openxmlformats.org/officeDocument/2006/relationships/ctrlProp" Target="../ctrlProps/ctrlProp3.xml"/><Relationship Id="rId103" Type="http://schemas.openxmlformats.org/officeDocument/2006/relationships/ctrlProp" Target="../ctrlProps/ctrlProp47.xml"/><Relationship Id="rId124" Type="http://schemas.openxmlformats.org/officeDocument/2006/relationships/ctrlProp" Target="../ctrlProps/ctrlProp68.xml"/><Relationship Id="rId70" Type="http://schemas.openxmlformats.org/officeDocument/2006/relationships/ctrlProp" Target="../ctrlProps/ctrlProp14.xml"/><Relationship Id="rId91" Type="http://schemas.openxmlformats.org/officeDocument/2006/relationships/ctrlProp" Target="../ctrlProps/ctrlProp35.xml"/><Relationship Id="rId145" Type="http://schemas.openxmlformats.org/officeDocument/2006/relationships/ctrlProp" Target="../ctrlProps/ctrlProp89.xml"/><Relationship Id="rId166" Type="http://schemas.openxmlformats.org/officeDocument/2006/relationships/ctrlProp" Target="../ctrlProps/ctrlProp110.xml"/><Relationship Id="rId187" Type="http://schemas.openxmlformats.org/officeDocument/2006/relationships/ctrlProp" Target="../ctrlProps/ctrlProp131.xml"/><Relationship Id="rId1" Type="http://schemas.openxmlformats.org/officeDocument/2006/relationships/printerSettings" Target="../printerSettings/printerSettings1.bin"/><Relationship Id="rId212" Type="http://schemas.openxmlformats.org/officeDocument/2006/relationships/ctrlProp" Target="../ctrlProps/ctrlProp156.xml"/><Relationship Id="rId28" Type="http://schemas.openxmlformats.org/officeDocument/2006/relationships/control" Target="../activeX/activeX14.xml"/><Relationship Id="rId49" Type="http://schemas.openxmlformats.org/officeDocument/2006/relationships/control" Target="../activeX/activeX29.xml"/><Relationship Id="rId114" Type="http://schemas.openxmlformats.org/officeDocument/2006/relationships/ctrlProp" Target="../ctrlProps/ctrlProp58.xml"/><Relationship Id="rId60" Type="http://schemas.openxmlformats.org/officeDocument/2006/relationships/ctrlProp" Target="../ctrlProps/ctrlProp4.xml"/><Relationship Id="rId81" Type="http://schemas.openxmlformats.org/officeDocument/2006/relationships/ctrlProp" Target="../ctrlProps/ctrlProp25.xml"/><Relationship Id="rId135" Type="http://schemas.openxmlformats.org/officeDocument/2006/relationships/ctrlProp" Target="../ctrlProps/ctrlProp79.xml"/><Relationship Id="rId156" Type="http://schemas.openxmlformats.org/officeDocument/2006/relationships/ctrlProp" Target="../ctrlProps/ctrlProp100.xml"/><Relationship Id="rId177" Type="http://schemas.openxmlformats.org/officeDocument/2006/relationships/ctrlProp" Target="../ctrlProps/ctrlProp121.xml"/><Relationship Id="rId198" Type="http://schemas.openxmlformats.org/officeDocument/2006/relationships/ctrlProp" Target="../ctrlProps/ctrlProp142.xml"/><Relationship Id="rId202" Type="http://schemas.openxmlformats.org/officeDocument/2006/relationships/ctrlProp" Target="../ctrlProps/ctrlProp146.xml"/><Relationship Id="rId18" Type="http://schemas.openxmlformats.org/officeDocument/2006/relationships/control" Target="../activeX/activeX8.xml"/><Relationship Id="rId39" Type="http://schemas.openxmlformats.org/officeDocument/2006/relationships/image" Target="../media/image14.emf"/><Relationship Id="rId50" Type="http://schemas.openxmlformats.org/officeDocument/2006/relationships/image" Target="../media/image18.emf"/><Relationship Id="rId104" Type="http://schemas.openxmlformats.org/officeDocument/2006/relationships/ctrlProp" Target="../ctrlProps/ctrlProp48.xml"/><Relationship Id="rId125" Type="http://schemas.openxmlformats.org/officeDocument/2006/relationships/ctrlProp" Target="../ctrlProps/ctrlProp69.xml"/><Relationship Id="rId146" Type="http://schemas.openxmlformats.org/officeDocument/2006/relationships/ctrlProp" Target="../ctrlProps/ctrlProp90.xml"/><Relationship Id="rId167" Type="http://schemas.openxmlformats.org/officeDocument/2006/relationships/ctrlProp" Target="../ctrlProps/ctrlProp111.xml"/><Relationship Id="rId188" Type="http://schemas.openxmlformats.org/officeDocument/2006/relationships/ctrlProp" Target="../ctrlProps/ctrlProp132.xml"/><Relationship Id="rId71" Type="http://schemas.openxmlformats.org/officeDocument/2006/relationships/ctrlProp" Target="../ctrlProps/ctrlProp15.xml"/><Relationship Id="rId92" Type="http://schemas.openxmlformats.org/officeDocument/2006/relationships/ctrlProp" Target="../ctrlProps/ctrlProp36.xml"/><Relationship Id="rId213" Type="http://schemas.openxmlformats.org/officeDocument/2006/relationships/ctrlProp" Target="../ctrlProps/ctrlProp157.xml"/><Relationship Id="rId2" Type="http://schemas.openxmlformats.org/officeDocument/2006/relationships/drawing" Target="../drawings/drawing1.xml"/><Relationship Id="rId29" Type="http://schemas.openxmlformats.org/officeDocument/2006/relationships/control" Target="../activeX/activeX15.xml"/><Relationship Id="rId40" Type="http://schemas.openxmlformats.org/officeDocument/2006/relationships/control" Target="../activeX/activeX23.xml"/><Relationship Id="rId115" Type="http://schemas.openxmlformats.org/officeDocument/2006/relationships/ctrlProp" Target="../ctrlProps/ctrlProp59.xml"/><Relationship Id="rId136" Type="http://schemas.openxmlformats.org/officeDocument/2006/relationships/ctrlProp" Target="../ctrlProps/ctrlProp80.xml"/><Relationship Id="rId157" Type="http://schemas.openxmlformats.org/officeDocument/2006/relationships/ctrlProp" Target="../ctrlProps/ctrlProp101.xml"/><Relationship Id="rId178" Type="http://schemas.openxmlformats.org/officeDocument/2006/relationships/ctrlProp" Target="../ctrlProps/ctrlProp122.xml"/><Relationship Id="rId61" Type="http://schemas.openxmlformats.org/officeDocument/2006/relationships/ctrlProp" Target="../ctrlProps/ctrlProp5.xml"/><Relationship Id="rId82" Type="http://schemas.openxmlformats.org/officeDocument/2006/relationships/ctrlProp" Target="../ctrlProps/ctrlProp26.xml"/><Relationship Id="rId199" Type="http://schemas.openxmlformats.org/officeDocument/2006/relationships/ctrlProp" Target="../ctrlProps/ctrlProp143.xml"/><Relationship Id="rId203" Type="http://schemas.openxmlformats.org/officeDocument/2006/relationships/ctrlProp" Target="../ctrlProps/ctrlProp147.xml"/><Relationship Id="rId19" Type="http://schemas.openxmlformats.org/officeDocument/2006/relationships/image" Target="../media/image8.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34.xml"/><Relationship Id="rId5" Type="http://schemas.openxmlformats.org/officeDocument/2006/relationships/image" Target="../media/image23.emf"/><Relationship Id="rId4" Type="http://schemas.openxmlformats.org/officeDocument/2006/relationships/control" Target="../activeX/activeX33.xml"/></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image" Target="../media/image30.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36.xml"/><Relationship Id="rId5" Type="http://schemas.openxmlformats.org/officeDocument/2006/relationships/image" Target="../media/image29.emf"/><Relationship Id="rId4" Type="http://schemas.openxmlformats.org/officeDocument/2006/relationships/control" Target="../activeX/activeX35.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42.xml"/><Relationship Id="rId18" Type="http://schemas.openxmlformats.org/officeDocument/2006/relationships/image" Target="../media/image38.emf"/><Relationship Id="rId26" Type="http://schemas.openxmlformats.org/officeDocument/2006/relationships/image" Target="../media/image42.emf"/><Relationship Id="rId39" Type="http://schemas.openxmlformats.org/officeDocument/2006/relationships/control" Target="../activeX/activeX55.xml"/><Relationship Id="rId21" Type="http://schemas.openxmlformats.org/officeDocument/2006/relationships/control" Target="../activeX/activeX46.xml"/><Relationship Id="rId34" Type="http://schemas.openxmlformats.org/officeDocument/2006/relationships/image" Target="../media/image46.emf"/><Relationship Id="rId42" Type="http://schemas.openxmlformats.org/officeDocument/2006/relationships/image" Target="../media/image50.emf"/><Relationship Id="rId47" Type="http://schemas.openxmlformats.org/officeDocument/2006/relationships/control" Target="../activeX/activeX59.xml"/><Relationship Id="rId50" Type="http://schemas.openxmlformats.org/officeDocument/2006/relationships/image" Target="../media/image54.emf"/><Relationship Id="rId55" Type="http://schemas.openxmlformats.org/officeDocument/2006/relationships/control" Target="../activeX/activeX63.xml"/><Relationship Id="rId7" Type="http://schemas.openxmlformats.org/officeDocument/2006/relationships/control" Target="../activeX/activeX39.xml"/><Relationship Id="rId2" Type="http://schemas.openxmlformats.org/officeDocument/2006/relationships/vmlDrawing" Target="../drawings/vmlDrawing4.vml"/><Relationship Id="rId16" Type="http://schemas.openxmlformats.org/officeDocument/2006/relationships/image" Target="../media/image37.emf"/><Relationship Id="rId29" Type="http://schemas.openxmlformats.org/officeDocument/2006/relationships/control" Target="../activeX/activeX50.xml"/><Relationship Id="rId11" Type="http://schemas.openxmlformats.org/officeDocument/2006/relationships/control" Target="../activeX/activeX41.xml"/><Relationship Id="rId24" Type="http://schemas.openxmlformats.org/officeDocument/2006/relationships/image" Target="../media/image41.emf"/><Relationship Id="rId32" Type="http://schemas.openxmlformats.org/officeDocument/2006/relationships/image" Target="../media/image45.emf"/><Relationship Id="rId37" Type="http://schemas.openxmlformats.org/officeDocument/2006/relationships/control" Target="../activeX/activeX54.xml"/><Relationship Id="rId40" Type="http://schemas.openxmlformats.org/officeDocument/2006/relationships/image" Target="../media/image49.emf"/><Relationship Id="rId45" Type="http://schemas.openxmlformats.org/officeDocument/2006/relationships/control" Target="../activeX/activeX58.xml"/><Relationship Id="rId53" Type="http://schemas.openxmlformats.org/officeDocument/2006/relationships/control" Target="../activeX/activeX62.xml"/><Relationship Id="rId58" Type="http://schemas.openxmlformats.org/officeDocument/2006/relationships/image" Target="../media/image58.emf"/><Relationship Id="rId5" Type="http://schemas.openxmlformats.org/officeDocument/2006/relationships/control" Target="../activeX/activeX38.xml"/><Relationship Id="rId19" Type="http://schemas.openxmlformats.org/officeDocument/2006/relationships/control" Target="../activeX/activeX45.xml"/><Relationship Id="rId4" Type="http://schemas.openxmlformats.org/officeDocument/2006/relationships/image" Target="../media/image31.emf"/><Relationship Id="rId9" Type="http://schemas.openxmlformats.org/officeDocument/2006/relationships/control" Target="../activeX/activeX40.xml"/><Relationship Id="rId14" Type="http://schemas.openxmlformats.org/officeDocument/2006/relationships/image" Target="../media/image36.emf"/><Relationship Id="rId22" Type="http://schemas.openxmlformats.org/officeDocument/2006/relationships/image" Target="../media/image40.emf"/><Relationship Id="rId27" Type="http://schemas.openxmlformats.org/officeDocument/2006/relationships/control" Target="../activeX/activeX49.xml"/><Relationship Id="rId30" Type="http://schemas.openxmlformats.org/officeDocument/2006/relationships/image" Target="../media/image44.emf"/><Relationship Id="rId35" Type="http://schemas.openxmlformats.org/officeDocument/2006/relationships/control" Target="../activeX/activeX53.xml"/><Relationship Id="rId43" Type="http://schemas.openxmlformats.org/officeDocument/2006/relationships/control" Target="../activeX/activeX57.xml"/><Relationship Id="rId48" Type="http://schemas.openxmlformats.org/officeDocument/2006/relationships/image" Target="../media/image53.emf"/><Relationship Id="rId56" Type="http://schemas.openxmlformats.org/officeDocument/2006/relationships/image" Target="../media/image57.emf"/><Relationship Id="rId8" Type="http://schemas.openxmlformats.org/officeDocument/2006/relationships/image" Target="../media/image33.emf"/><Relationship Id="rId51" Type="http://schemas.openxmlformats.org/officeDocument/2006/relationships/control" Target="../activeX/activeX61.xml"/><Relationship Id="rId3" Type="http://schemas.openxmlformats.org/officeDocument/2006/relationships/control" Target="../activeX/activeX37.xml"/><Relationship Id="rId12" Type="http://schemas.openxmlformats.org/officeDocument/2006/relationships/image" Target="../media/image35.emf"/><Relationship Id="rId17" Type="http://schemas.openxmlformats.org/officeDocument/2006/relationships/control" Target="../activeX/activeX44.xml"/><Relationship Id="rId25" Type="http://schemas.openxmlformats.org/officeDocument/2006/relationships/control" Target="../activeX/activeX48.xml"/><Relationship Id="rId33" Type="http://schemas.openxmlformats.org/officeDocument/2006/relationships/control" Target="../activeX/activeX52.xml"/><Relationship Id="rId38" Type="http://schemas.openxmlformats.org/officeDocument/2006/relationships/image" Target="../media/image48.emf"/><Relationship Id="rId46" Type="http://schemas.openxmlformats.org/officeDocument/2006/relationships/image" Target="../media/image52.emf"/><Relationship Id="rId20" Type="http://schemas.openxmlformats.org/officeDocument/2006/relationships/image" Target="../media/image39.emf"/><Relationship Id="rId41" Type="http://schemas.openxmlformats.org/officeDocument/2006/relationships/control" Target="../activeX/activeX56.xml"/><Relationship Id="rId54" Type="http://schemas.openxmlformats.org/officeDocument/2006/relationships/image" Target="../media/image56.emf"/><Relationship Id="rId1" Type="http://schemas.openxmlformats.org/officeDocument/2006/relationships/drawing" Target="../drawings/drawing4.xml"/><Relationship Id="rId6" Type="http://schemas.openxmlformats.org/officeDocument/2006/relationships/image" Target="../media/image32.emf"/><Relationship Id="rId15" Type="http://schemas.openxmlformats.org/officeDocument/2006/relationships/control" Target="../activeX/activeX43.xml"/><Relationship Id="rId23" Type="http://schemas.openxmlformats.org/officeDocument/2006/relationships/control" Target="../activeX/activeX47.xml"/><Relationship Id="rId28" Type="http://schemas.openxmlformats.org/officeDocument/2006/relationships/image" Target="../media/image43.emf"/><Relationship Id="rId36" Type="http://schemas.openxmlformats.org/officeDocument/2006/relationships/image" Target="../media/image47.emf"/><Relationship Id="rId49" Type="http://schemas.openxmlformats.org/officeDocument/2006/relationships/control" Target="../activeX/activeX60.xml"/><Relationship Id="rId57" Type="http://schemas.openxmlformats.org/officeDocument/2006/relationships/control" Target="../activeX/activeX64.xml"/><Relationship Id="rId10" Type="http://schemas.openxmlformats.org/officeDocument/2006/relationships/image" Target="../media/image34.emf"/><Relationship Id="rId31" Type="http://schemas.openxmlformats.org/officeDocument/2006/relationships/control" Target="../activeX/activeX51.xml"/><Relationship Id="rId44" Type="http://schemas.openxmlformats.org/officeDocument/2006/relationships/image" Target="../media/image51.emf"/><Relationship Id="rId52" Type="http://schemas.openxmlformats.org/officeDocument/2006/relationships/image" Target="../media/image55.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9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66.xml"/><Relationship Id="rId5" Type="http://schemas.openxmlformats.org/officeDocument/2006/relationships/image" Target="../media/image90.emf"/><Relationship Id="rId4" Type="http://schemas.openxmlformats.org/officeDocument/2006/relationships/control" Target="../activeX/activeX6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110.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68.xml"/><Relationship Id="rId5" Type="http://schemas.openxmlformats.org/officeDocument/2006/relationships/image" Target="../media/image109.emf"/><Relationship Id="rId4" Type="http://schemas.openxmlformats.org/officeDocument/2006/relationships/control" Target="../activeX/activeX6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image" Target="../media/image112.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70.xml"/><Relationship Id="rId5" Type="http://schemas.openxmlformats.org/officeDocument/2006/relationships/image" Target="../media/image111.emf"/><Relationship Id="rId4" Type="http://schemas.openxmlformats.org/officeDocument/2006/relationships/control" Target="../activeX/activeX69.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8.vml"/><Relationship Id="rId7" Type="http://schemas.openxmlformats.org/officeDocument/2006/relationships/image" Target="../media/image114.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72.xml"/><Relationship Id="rId5" Type="http://schemas.openxmlformats.org/officeDocument/2006/relationships/image" Target="../media/image113.emf"/><Relationship Id="rId4" Type="http://schemas.openxmlformats.org/officeDocument/2006/relationships/control" Target="../activeX/activeX71.xml"/><Relationship Id="rId9" Type="http://schemas.openxmlformats.org/officeDocument/2006/relationships/image" Target="../media/image115.emf"/></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64.xml"/><Relationship Id="rId13" Type="http://schemas.openxmlformats.org/officeDocument/2006/relationships/comments" Target="../comments2.xml"/><Relationship Id="rId3" Type="http://schemas.openxmlformats.org/officeDocument/2006/relationships/vmlDrawing" Target="../drawings/vmlDrawing9.vml"/><Relationship Id="rId7" Type="http://schemas.openxmlformats.org/officeDocument/2006/relationships/image" Target="../media/image117.emf"/><Relationship Id="rId12" Type="http://schemas.openxmlformats.org/officeDocument/2006/relationships/ctrlProp" Target="../ctrlProps/ctrlProp168.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ntrol" Target="../activeX/activeX75.xml"/><Relationship Id="rId11" Type="http://schemas.openxmlformats.org/officeDocument/2006/relationships/ctrlProp" Target="../ctrlProps/ctrlProp167.xml"/><Relationship Id="rId5" Type="http://schemas.openxmlformats.org/officeDocument/2006/relationships/image" Target="../media/image116.emf"/><Relationship Id="rId10" Type="http://schemas.openxmlformats.org/officeDocument/2006/relationships/ctrlProp" Target="../ctrlProps/ctrlProp166.xml"/><Relationship Id="rId4" Type="http://schemas.openxmlformats.org/officeDocument/2006/relationships/control" Target="../activeX/activeX74.xml"/><Relationship Id="rId9" Type="http://schemas.openxmlformats.org/officeDocument/2006/relationships/ctrlProp" Target="../ctrlProps/ctrlProp165.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vmlDrawing" Target="../drawings/vmlDrawing10.vml"/><Relationship Id="rId7" Type="http://schemas.openxmlformats.org/officeDocument/2006/relationships/image" Target="../media/image119.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77.xml"/><Relationship Id="rId11" Type="http://schemas.openxmlformats.org/officeDocument/2006/relationships/image" Target="../media/image121.emf"/><Relationship Id="rId5" Type="http://schemas.openxmlformats.org/officeDocument/2006/relationships/image" Target="../media/image118.emf"/><Relationship Id="rId10" Type="http://schemas.openxmlformats.org/officeDocument/2006/relationships/control" Target="../activeX/activeX79.xml"/><Relationship Id="rId4" Type="http://schemas.openxmlformats.org/officeDocument/2006/relationships/control" Target="../activeX/activeX76.xml"/><Relationship Id="rId9" Type="http://schemas.openxmlformats.org/officeDocument/2006/relationships/image" Target="../media/image120.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82.xml"/><Relationship Id="rId13" Type="http://schemas.openxmlformats.org/officeDocument/2006/relationships/image" Target="../media/image126.emf"/><Relationship Id="rId18" Type="http://schemas.openxmlformats.org/officeDocument/2006/relationships/control" Target="../activeX/activeX87.xml"/><Relationship Id="rId3" Type="http://schemas.openxmlformats.org/officeDocument/2006/relationships/vmlDrawing" Target="../drawings/vmlDrawing11.vml"/><Relationship Id="rId7" Type="http://schemas.openxmlformats.org/officeDocument/2006/relationships/image" Target="../media/image123.emf"/><Relationship Id="rId12" Type="http://schemas.openxmlformats.org/officeDocument/2006/relationships/control" Target="../activeX/activeX84.xml"/><Relationship Id="rId17" Type="http://schemas.openxmlformats.org/officeDocument/2006/relationships/image" Target="../media/image128.emf"/><Relationship Id="rId2" Type="http://schemas.openxmlformats.org/officeDocument/2006/relationships/drawing" Target="../drawings/drawing11.xml"/><Relationship Id="rId16" Type="http://schemas.openxmlformats.org/officeDocument/2006/relationships/control" Target="../activeX/activeX86.xml"/><Relationship Id="rId1" Type="http://schemas.openxmlformats.org/officeDocument/2006/relationships/printerSettings" Target="../printerSettings/printerSettings12.bin"/><Relationship Id="rId6" Type="http://schemas.openxmlformats.org/officeDocument/2006/relationships/control" Target="../activeX/activeX81.xml"/><Relationship Id="rId11" Type="http://schemas.openxmlformats.org/officeDocument/2006/relationships/image" Target="../media/image125.emf"/><Relationship Id="rId5" Type="http://schemas.openxmlformats.org/officeDocument/2006/relationships/image" Target="../media/image122.emf"/><Relationship Id="rId15" Type="http://schemas.openxmlformats.org/officeDocument/2006/relationships/image" Target="../media/image127.emf"/><Relationship Id="rId10" Type="http://schemas.openxmlformats.org/officeDocument/2006/relationships/control" Target="../activeX/activeX83.xml"/><Relationship Id="rId19" Type="http://schemas.openxmlformats.org/officeDocument/2006/relationships/image" Target="../media/image129.emf"/><Relationship Id="rId4" Type="http://schemas.openxmlformats.org/officeDocument/2006/relationships/control" Target="../activeX/activeX80.xml"/><Relationship Id="rId9" Type="http://schemas.openxmlformats.org/officeDocument/2006/relationships/image" Target="../media/image124.emf"/><Relationship Id="rId14" Type="http://schemas.openxmlformats.org/officeDocument/2006/relationships/control" Target="../activeX/activeX85.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90.xml"/><Relationship Id="rId13" Type="http://schemas.openxmlformats.org/officeDocument/2006/relationships/image" Target="../media/image134.emf"/><Relationship Id="rId3" Type="http://schemas.openxmlformats.org/officeDocument/2006/relationships/vmlDrawing" Target="../drawings/vmlDrawing12.vml"/><Relationship Id="rId7" Type="http://schemas.openxmlformats.org/officeDocument/2006/relationships/image" Target="../media/image131.emf"/><Relationship Id="rId12" Type="http://schemas.openxmlformats.org/officeDocument/2006/relationships/control" Target="../activeX/activeX92.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ntrol" Target="../activeX/activeX89.xml"/><Relationship Id="rId11" Type="http://schemas.openxmlformats.org/officeDocument/2006/relationships/image" Target="../media/image133.emf"/><Relationship Id="rId5" Type="http://schemas.openxmlformats.org/officeDocument/2006/relationships/image" Target="../media/image130.emf"/><Relationship Id="rId15" Type="http://schemas.openxmlformats.org/officeDocument/2006/relationships/image" Target="../media/image135.emf"/><Relationship Id="rId10" Type="http://schemas.openxmlformats.org/officeDocument/2006/relationships/control" Target="../activeX/activeX91.xml"/><Relationship Id="rId4" Type="http://schemas.openxmlformats.org/officeDocument/2006/relationships/control" Target="../activeX/activeX88.xml"/><Relationship Id="rId9" Type="http://schemas.openxmlformats.org/officeDocument/2006/relationships/image" Target="../media/image132.emf"/><Relationship Id="rId14" Type="http://schemas.openxmlformats.org/officeDocument/2006/relationships/control" Target="../activeX/activeX93.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96.xml"/><Relationship Id="rId13" Type="http://schemas.openxmlformats.org/officeDocument/2006/relationships/image" Target="../media/image140.emf"/><Relationship Id="rId3" Type="http://schemas.openxmlformats.org/officeDocument/2006/relationships/vmlDrawing" Target="../drawings/vmlDrawing13.vml"/><Relationship Id="rId7" Type="http://schemas.openxmlformats.org/officeDocument/2006/relationships/image" Target="../media/image137.emf"/><Relationship Id="rId12" Type="http://schemas.openxmlformats.org/officeDocument/2006/relationships/control" Target="../activeX/activeX98.xml"/><Relationship Id="rId17" Type="http://schemas.openxmlformats.org/officeDocument/2006/relationships/image" Target="../media/image142.emf"/><Relationship Id="rId2" Type="http://schemas.openxmlformats.org/officeDocument/2006/relationships/drawing" Target="../drawings/drawing13.xml"/><Relationship Id="rId16" Type="http://schemas.openxmlformats.org/officeDocument/2006/relationships/control" Target="../activeX/activeX100.xml"/><Relationship Id="rId1" Type="http://schemas.openxmlformats.org/officeDocument/2006/relationships/printerSettings" Target="../printerSettings/printerSettings14.bin"/><Relationship Id="rId6" Type="http://schemas.openxmlformats.org/officeDocument/2006/relationships/control" Target="../activeX/activeX95.xml"/><Relationship Id="rId11" Type="http://schemas.openxmlformats.org/officeDocument/2006/relationships/image" Target="../media/image139.emf"/><Relationship Id="rId5" Type="http://schemas.openxmlformats.org/officeDocument/2006/relationships/image" Target="../media/image136.emf"/><Relationship Id="rId15" Type="http://schemas.openxmlformats.org/officeDocument/2006/relationships/image" Target="../media/image141.emf"/><Relationship Id="rId10" Type="http://schemas.openxmlformats.org/officeDocument/2006/relationships/control" Target="../activeX/activeX97.xml"/><Relationship Id="rId4" Type="http://schemas.openxmlformats.org/officeDocument/2006/relationships/control" Target="../activeX/activeX94.xml"/><Relationship Id="rId9" Type="http://schemas.openxmlformats.org/officeDocument/2006/relationships/image" Target="../media/image138.emf"/><Relationship Id="rId14" Type="http://schemas.openxmlformats.org/officeDocument/2006/relationships/control" Target="../activeX/activeX99.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image" Target="../media/image147.emf"/><Relationship Id="rId3" Type="http://schemas.openxmlformats.org/officeDocument/2006/relationships/vmlDrawing" Target="../drawings/vmlDrawing14.vml"/><Relationship Id="rId7" Type="http://schemas.openxmlformats.org/officeDocument/2006/relationships/image" Target="../media/image144.emf"/><Relationship Id="rId12" Type="http://schemas.openxmlformats.org/officeDocument/2006/relationships/control" Target="../activeX/activeX105.x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ontrol" Target="../activeX/activeX102.xml"/><Relationship Id="rId11" Type="http://schemas.openxmlformats.org/officeDocument/2006/relationships/image" Target="../media/image146.emf"/><Relationship Id="rId5" Type="http://schemas.openxmlformats.org/officeDocument/2006/relationships/image" Target="../media/image143.emf"/><Relationship Id="rId15" Type="http://schemas.openxmlformats.org/officeDocument/2006/relationships/image" Target="../media/image148.emf"/><Relationship Id="rId10" Type="http://schemas.openxmlformats.org/officeDocument/2006/relationships/control" Target="../activeX/activeX104.xml"/><Relationship Id="rId4" Type="http://schemas.openxmlformats.org/officeDocument/2006/relationships/control" Target="../activeX/activeX101.xml"/><Relationship Id="rId9" Type="http://schemas.openxmlformats.org/officeDocument/2006/relationships/image" Target="../media/image145.emf"/><Relationship Id="rId14" Type="http://schemas.openxmlformats.org/officeDocument/2006/relationships/control" Target="../activeX/activeX106.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109.xml"/><Relationship Id="rId13" Type="http://schemas.openxmlformats.org/officeDocument/2006/relationships/image" Target="../media/image153.emf"/><Relationship Id="rId18" Type="http://schemas.openxmlformats.org/officeDocument/2006/relationships/control" Target="../activeX/activeX114.xml"/><Relationship Id="rId3" Type="http://schemas.openxmlformats.org/officeDocument/2006/relationships/vmlDrawing" Target="../drawings/vmlDrawing15.vml"/><Relationship Id="rId21" Type="http://schemas.openxmlformats.org/officeDocument/2006/relationships/image" Target="../media/image157.emf"/><Relationship Id="rId7" Type="http://schemas.openxmlformats.org/officeDocument/2006/relationships/image" Target="../media/image150.emf"/><Relationship Id="rId12" Type="http://schemas.openxmlformats.org/officeDocument/2006/relationships/control" Target="../activeX/activeX111.xml"/><Relationship Id="rId17" Type="http://schemas.openxmlformats.org/officeDocument/2006/relationships/image" Target="../media/image155.emf"/><Relationship Id="rId25" Type="http://schemas.openxmlformats.org/officeDocument/2006/relationships/image" Target="../media/image159.emf"/><Relationship Id="rId2" Type="http://schemas.openxmlformats.org/officeDocument/2006/relationships/drawing" Target="../drawings/drawing15.xml"/><Relationship Id="rId16" Type="http://schemas.openxmlformats.org/officeDocument/2006/relationships/control" Target="../activeX/activeX113.xml"/><Relationship Id="rId20" Type="http://schemas.openxmlformats.org/officeDocument/2006/relationships/control" Target="../activeX/activeX115.xml"/><Relationship Id="rId1" Type="http://schemas.openxmlformats.org/officeDocument/2006/relationships/printerSettings" Target="../printerSettings/printerSettings16.bin"/><Relationship Id="rId6" Type="http://schemas.openxmlformats.org/officeDocument/2006/relationships/control" Target="../activeX/activeX108.xml"/><Relationship Id="rId11" Type="http://schemas.openxmlformats.org/officeDocument/2006/relationships/image" Target="../media/image152.emf"/><Relationship Id="rId24" Type="http://schemas.openxmlformats.org/officeDocument/2006/relationships/control" Target="../activeX/activeX117.xml"/><Relationship Id="rId5" Type="http://schemas.openxmlformats.org/officeDocument/2006/relationships/image" Target="../media/image149.emf"/><Relationship Id="rId15" Type="http://schemas.openxmlformats.org/officeDocument/2006/relationships/image" Target="../media/image154.emf"/><Relationship Id="rId23" Type="http://schemas.openxmlformats.org/officeDocument/2006/relationships/image" Target="../media/image158.emf"/><Relationship Id="rId10" Type="http://schemas.openxmlformats.org/officeDocument/2006/relationships/control" Target="../activeX/activeX110.xml"/><Relationship Id="rId19" Type="http://schemas.openxmlformats.org/officeDocument/2006/relationships/image" Target="../media/image156.emf"/><Relationship Id="rId4" Type="http://schemas.openxmlformats.org/officeDocument/2006/relationships/control" Target="../activeX/activeX107.xml"/><Relationship Id="rId9" Type="http://schemas.openxmlformats.org/officeDocument/2006/relationships/image" Target="../media/image151.emf"/><Relationship Id="rId14" Type="http://schemas.openxmlformats.org/officeDocument/2006/relationships/control" Target="../activeX/activeX112.xml"/><Relationship Id="rId22" Type="http://schemas.openxmlformats.org/officeDocument/2006/relationships/control" Target="../activeX/activeX116.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120.xml"/><Relationship Id="rId13" Type="http://schemas.openxmlformats.org/officeDocument/2006/relationships/image" Target="../media/image164.emf"/><Relationship Id="rId3" Type="http://schemas.openxmlformats.org/officeDocument/2006/relationships/vmlDrawing" Target="../drawings/vmlDrawing16.vml"/><Relationship Id="rId7" Type="http://schemas.openxmlformats.org/officeDocument/2006/relationships/image" Target="../media/image161.emf"/><Relationship Id="rId12" Type="http://schemas.openxmlformats.org/officeDocument/2006/relationships/control" Target="../activeX/activeX122.x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ontrol" Target="../activeX/activeX119.xml"/><Relationship Id="rId11" Type="http://schemas.openxmlformats.org/officeDocument/2006/relationships/image" Target="../media/image163.emf"/><Relationship Id="rId5" Type="http://schemas.openxmlformats.org/officeDocument/2006/relationships/image" Target="../media/image160.emf"/><Relationship Id="rId10" Type="http://schemas.openxmlformats.org/officeDocument/2006/relationships/control" Target="../activeX/activeX121.xml"/><Relationship Id="rId4" Type="http://schemas.openxmlformats.org/officeDocument/2006/relationships/control" Target="../activeX/activeX118.xml"/><Relationship Id="rId9" Type="http://schemas.openxmlformats.org/officeDocument/2006/relationships/image" Target="../media/image162.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image" Target="../media/image166.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124.xml"/><Relationship Id="rId5" Type="http://schemas.openxmlformats.org/officeDocument/2006/relationships/image" Target="../media/image165.emf"/><Relationship Id="rId4" Type="http://schemas.openxmlformats.org/officeDocument/2006/relationships/control" Target="../activeX/activeX123.xml"/></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127.xml"/><Relationship Id="rId3" Type="http://schemas.openxmlformats.org/officeDocument/2006/relationships/vmlDrawing" Target="../drawings/vmlDrawing18.vml"/><Relationship Id="rId7" Type="http://schemas.openxmlformats.org/officeDocument/2006/relationships/image" Target="../media/image168.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126.xml"/><Relationship Id="rId5" Type="http://schemas.openxmlformats.org/officeDocument/2006/relationships/image" Target="../media/image167.emf"/><Relationship Id="rId4" Type="http://schemas.openxmlformats.org/officeDocument/2006/relationships/control" Target="../activeX/activeX125.xml"/><Relationship Id="rId9" Type="http://schemas.openxmlformats.org/officeDocument/2006/relationships/image" Target="../media/image169.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BQ816"/>
  <sheetViews>
    <sheetView showZeros="0" tabSelected="1" view="pageBreakPreview" zoomScale="70" zoomScaleNormal="40" zoomScaleSheetLayoutView="70" zoomScalePageLayoutView="70" workbookViewId="0">
      <selection activeCell="U38" sqref="U38"/>
    </sheetView>
  </sheetViews>
  <sheetFormatPr baseColWidth="10" defaultColWidth="11.42578125" defaultRowHeight="15"/>
  <cols>
    <col min="1" max="1" width="6.140625" style="274" customWidth="1"/>
    <col min="2" max="4" width="4.5703125" style="274" customWidth="1"/>
    <col min="5" max="5" width="7.28515625" style="274" customWidth="1"/>
    <col min="6" max="13" width="4.5703125" style="274" customWidth="1"/>
    <col min="14" max="14" width="5.7109375" style="274" customWidth="1"/>
    <col min="15" max="16" width="4.5703125" style="274" customWidth="1"/>
    <col min="17" max="17" width="4.5703125" style="276" customWidth="1"/>
    <col min="18" max="18" width="5.42578125" style="276" customWidth="1"/>
    <col min="19" max="20" width="5.42578125" style="274" customWidth="1"/>
    <col min="21" max="23" width="5.7109375" style="275" customWidth="1"/>
    <col min="24" max="24" width="5.85546875" style="275" customWidth="1"/>
    <col min="25" max="26" width="4.5703125" style="274" customWidth="1"/>
    <col min="27" max="27" width="5.5703125" style="274" customWidth="1"/>
    <col min="28" max="28" width="5.5703125" style="275" customWidth="1"/>
    <col min="29" max="29" width="4.7109375" style="275" customWidth="1"/>
    <col min="30" max="52" width="4.5703125" style="275" customWidth="1"/>
    <col min="53" max="53" width="11.42578125" style="274" customWidth="1"/>
    <col min="54" max="54" width="12.5703125" style="274" customWidth="1"/>
    <col min="55" max="55" width="11.42578125" style="274" customWidth="1"/>
    <col min="56" max="56" width="15.85546875" style="274" customWidth="1"/>
    <col min="57" max="57" width="11.42578125" style="274" hidden="1" customWidth="1"/>
    <col min="58" max="58" width="16" style="274" hidden="1" customWidth="1"/>
    <col min="59" max="60" width="11.42578125" style="274" hidden="1" customWidth="1"/>
    <col min="61" max="62" width="11.42578125" style="274" customWidth="1"/>
    <col min="63" max="16384" width="11.42578125" style="274"/>
  </cols>
  <sheetData>
    <row r="1" spans="1:52" s="273" customFormat="1" ht="21" customHeight="1">
      <c r="A1" s="1386" t="s">
        <v>3216</v>
      </c>
      <c r="B1" s="1386"/>
      <c r="C1" s="1386"/>
      <c r="D1" s="1386"/>
      <c r="E1" s="1386"/>
      <c r="F1" s="1386"/>
      <c r="G1" s="1386"/>
      <c r="H1" s="1386"/>
      <c r="I1" s="1386"/>
      <c r="J1" s="1386"/>
      <c r="K1" s="1386"/>
      <c r="L1" s="1386"/>
      <c r="M1" s="1386"/>
      <c r="N1" s="1386"/>
      <c r="O1" s="1386"/>
      <c r="P1" s="1386"/>
      <c r="Q1" s="1386"/>
      <c r="R1" s="1386"/>
      <c r="S1" s="1386"/>
      <c r="T1" s="1386"/>
      <c r="U1" s="1386"/>
      <c r="V1" s="1386"/>
      <c r="W1" s="1386"/>
      <c r="X1" s="1386"/>
      <c r="Y1" s="1386"/>
      <c r="Z1" s="1386"/>
      <c r="AA1" s="1386"/>
      <c r="AB1" s="1386"/>
      <c r="AC1" s="1386"/>
      <c r="AD1" s="1386"/>
      <c r="AE1" s="1386"/>
      <c r="AF1" s="1386"/>
      <c r="AG1" s="1386"/>
      <c r="AH1" s="1386"/>
      <c r="AI1" s="1386"/>
      <c r="AJ1" s="1386"/>
      <c r="AK1" s="1386"/>
      <c r="AL1" s="1386"/>
      <c r="AM1" s="1386"/>
      <c r="AN1" s="1386"/>
      <c r="AO1" s="1386"/>
      <c r="AP1" s="1386"/>
      <c r="AQ1" s="1386"/>
      <c r="AR1" s="1386"/>
      <c r="AS1" s="1386"/>
      <c r="AT1" s="1386"/>
      <c r="AU1" s="1386"/>
      <c r="AV1" s="1386"/>
      <c r="AW1" s="1386"/>
      <c r="AX1" s="1386"/>
      <c r="AY1" s="1386"/>
      <c r="AZ1" s="1386"/>
    </row>
    <row r="2" spans="1:52" s="273" customFormat="1" ht="21.75" customHeight="1">
      <c r="A2" s="1387" t="s">
        <v>373</v>
      </c>
      <c r="B2" s="1387"/>
      <c r="C2" s="1387"/>
      <c r="D2" s="1387"/>
      <c r="E2" s="1387"/>
      <c r="F2" s="1387"/>
      <c r="G2" s="1387"/>
      <c r="H2" s="1387"/>
      <c r="I2" s="1387"/>
      <c r="J2" s="1387"/>
      <c r="K2" s="1387"/>
      <c r="L2" s="1387"/>
      <c r="M2" s="1387"/>
      <c r="N2" s="1387"/>
      <c r="O2" s="1387"/>
      <c r="P2" s="1387"/>
      <c r="Q2" s="1387"/>
      <c r="R2" s="1387"/>
      <c r="S2" s="1387"/>
      <c r="T2" s="1387"/>
      <c r="U2" s="1387"/>
      <c r="V2" s="1387"/>
      <c r="W2" s="1387"/>
      <c r="X2" s="1387"/>
      <c r="Y2" s="1387"/>
      <c r="Z2" s="1387"/>
      <c r="AA2" s="1387"/>
      <c r="AB2" s="1387"/>
      <c r="AC2" s="1387"/>
      <c r="AD2" s="1387"/>
      <c r="AE2" s="1387"/>
      <c r="AF2" s="1387"/>
      <c r="AG2" s="1387"/>
      <c r="AH2" s="1387"/>
      <c r="AI2" s="1387"/>
      <c r="AJ2" s="1387"/>
      <c r="AK2" s="1387"/>
      <c r="AL2" s="1387"/>
      <c r="AM2" s="1387"/>
      <c r="AN2" s="1387"/>
      <c r="AO2" s="1387"/>
      <c r="AP2" s="1387"/>
      <c r="AQ2" s="1387"/>
      <c r="AR2" s="1387"/>
      <c r="AS2" s="1387"/>
      <c r="AT2" s="1387"/>
      <c r="AU2" s="1387"/>
      <c r="AV2" s="1387"/>
      <c r="AW2" s="1387"/>
      <c r="AX2" s="1387"/>
      <c r="AY2" s="1387"/>
      <c r="AZ2" s="1387"/>
    </row>
    <row r="3" spans="1:52" s="273" customFormat="1" ht="16.5" customHeight="1">
      <c r="A3" s="1388" t="s">
        <v>3217</v>
      </c>
      <c r="B3" s="1388"/>
      <c r="C3" s="1388"/>
      <c r="D3" s="1388"/>
      <c r="E3" s="1388"/>
      <c r="F3" s="1388"/>
      <c r="G3" s="1388"/>
      <c r="H3" s="1388"/>
      <c r="I3" s="1388"/>
      <c r="J3" s="1388"/>
      <c r="K3" s="1388"/>
      <c r="L3" s="1388"/>
      <c r="M3" s="1388"/>
      <c r="N3" s="1388"/>
      <c r="O3" s="1388"/>
      <c r="P3" s="1388"/>
      <c r="Q3" s="1388"/>
      <c r="R3" s="1388"/>
      <c r="S3" s="1388"/>
      <c r="T3" s="1388"/>
      <c r="U3" s="1388"/>
      <c r="V3" s="1388"/>
      <c r="W3" s="1388"/>
      <c r="X3" s="1388"/>
      <c r="Y3" s="1388"/>
      <c r="Z3" s="1388"/>
      <c r="AA3" s="1388"/>
      <c r="AB3" s="1388"/>
      <c r="AC3" s="1388"/>
      <c r="AD3" s="1388"/>
      <c r="AE3" s="1388"/>
      <c r="AF3" s="1388"/>
      <c r="AG3" s="1388"/>
      <c r="AH3" s="1388"/>
      <c r="AI3" s="1388"/>
      <c r="AJ3" s="1388"/>
      <c r="AK3" s="1388"/>
      <c r="AL3" s="1388"/>
      <c r="AM3" s="1388"/>
      <c r="AN3" s="1388"/>
      <c r="AO3" s="1388"/>
      <c r="AP3" s="1388"/>
      <c r="AQ3" s="1388"/>
      <c r="AR3" s="1388"/>
      <c r="AS3" s="1388"/>
      <c r="AT3" s="1388"/>
      <c r="AU3" s="1388"/>
      <c r="AV3" s="1388"/>
      <c r="AW3" s="1388"/>
      <c r="AX3" s="1388"/>
      <c r="AY3" s="1388"/>
      <c r="AZ3" s="1388"/>
    </row>
    <row r="4" spans="1:52" ht="53.25" customHeight="1">
      <c r="A4" s="1161"/>
      <c r="B4" s="1161"/>
      <c r="C4" s="1161"/>
      <c r="D4" s="1161"/>
      <c r="E4" s="1161"/>
      <c r="F4" s="1161"/>
      <c r="G4" s="1161"/>
      <c r="H4" s="1161"/>
      <c r="I4" s="1161"/>
      <c r="J4" s="1161"/>
      <c r="K4" s="1161"/>
      <c r="L4" s="1161"/>
      <c r="M4" s="1161"/>
      <c r="N4" s="1161"/>
      <c r="O4" s="1161"/>
      <c r="P4" s="1161"/>
      <c r="Q4" s="1161"/>
      <c r="R4" s="1161"/>
      <c r="S4" s="1161"/>
      <c r="T4" s="1161"/>
      <c r="U4" s="1161"/>
      <c r="V4" s="1161"/>
      <c r="W4" s="1161"/>
      <c r="X4" s="1161"/>
      <c r="Y4" s="1161"/>
      <c r="Z4" s="1161"/>
      <c r="AA4" s="1161"/>
      <c r="AB4" s="1161"/>
      <c r="AC4" s="1161"/>
      <c r="AD4" s="1161"/>
      <c r="AE4" s="1161"/>
      <c r="AF4" s="1161"/>
      <c r="AG4" s="1161"/>
      <c r="AH4" s="1161"/>
      <c r="AI4" s="1161"/>
      <c r="AJ4" s="1161"/>
      <c r="AK4" s="1161"/>
      <c r="AL4" s="1161"/>
      <c r="AM4" s="1161"/>
      <c r="AN4" s="1161"/>
      <c r="AO4" s="1161"/>
      <c r="AP4" s="1161"/>
      <c r="AQ4" s="1161"/>
      <c r="AR4" s="1161"/>
      <c r="AS4" s="1161"/>
      <c r="AT4" s="1162"/>
      <c r="AU4" s="1162"/>
      <c r="AV4" s="1162"/>
      <c r="AW4" s="1162"/>
      <c r="AX4" s="1162"/>
      <c r="AY4" s="1161"/>
      <c r="AZ4" s="1161"/>
    </row>
    <row r="5" spans="1:52" ht="45.75" customHeight="1">
      <c r="A5" s="1161"/>
      <c r="B5" s="1389"/>
      <c r="C5" s="1389"/>
      <c r="D5" s="1389"/>
      <c r="E5" s="1389"/>
      <c r="F5" s="1389"/>
      <c r="G5" s="1389"/>
      <c r="H5" s="1389"/>
      <c r="I5" s="1161"/>
      <c r="J5" s="1662" t="s">
        <v>3218</v>
      </c>
      <c r="K5" s="1662"/>
      <c r="L5" s="1662"/>
      <c r="M5" s="1662"/>
      <c r="N5" s="1662"/>
      <c r="O5" s="1662"/>
      <c r="P5" s="1662"/>
      <c r="Q5" s="1662"/>
      <c r="R5" s="1662"/>
      <c r="S5" s="1662"/>
      <c r="T5" s="1662"/>
      <c r="U5" s="1662"/>
      <c r="V5" s="1662"/>
      <c r="W5" s="1662"/>
      <c r="X5" s="1662"/>
      <c r="Y5" s="1662"/>
      <c r="Z5" s="1662"/>
      <c r="AA5" s="1161"/>
      <c r="AB5" s="1161"/>
      <c r="AC5" s="1161"/>
      <c r="AD5" s="1161"/>
      <c r="AE5" s="1161"/>
      <c r="AF5" s="1161"/>
      <c r="AG5" s="1161"/>
      <c r="AH5" s="1161"/>
      <c r="AI5" s="1161"/>
      <c r="AJ5" s="1161"/>
      <c r="AK5" s="1161"/>
      <c r="AL5" s="1161"/>
      <c r="AM5" s="1161"/>
      <c r="AN5" s="1161"/>
      <c r="AO5" s="1161"/>
      <c r="AP5" s="1161"/>
      <c r="AQ5" s="1161"/>
      <c r="AR5" s="1161"/>
      <c r="AS5" s="1161"/>
      <c r="AT5" s="1162"/>
      <c r="AU5" s="1162"/>
      <c r="AV5" s="1162"/>
      <c r="AW5" s="1162"/>
      <c r="AX5" s="1162"/>
      <c r="AY5" s="1161"/>
      <c r="AZ5" s="1161"/>
    </row>
    <row r="6" spans="1:52" s="291" customFormat="1" ht="26.25" customHeight="1">
      <c r="A6" s="862"/>
      <c r="B6" s="862"/>
      <c r="C6" s="862"/>
      <c r="D6" s="862"/>
      <c r="E6" s="862"/>
      <c r="F6" s="862"/>
      <c r="G6" s="862"/>
      <c r="H6" s="862"/>
      <c r="I6" s="862"/>
      <c r="J6" s="862"/>
      <c r="K6" s="862"/>
      <c r="L6" s="862"/>
      <c r="M6" s="862"/>
      <c r="N6" s="862"/>
      <c r="O6" s="862"/>
      <c r="P6" s="862"/>
      <c r="Q6" s="863"/>
      <c r="R6" s="863"/>
      <c r="S6" s="862"/>
      <c r="T6" s="862"/>
      <c r="U6" s="864"/>
      <c r="V6" s="864"/>
      <c r="W6" s="864"/>
      <c r="X6" s="864"/>
      <c r="Y6" s="862"/>
      <c r="Z6" s="862"/>
      <c r="AA6" s="862"/>
      <c r="AB6" s="864"/>
      <c r="AC6" s="864"/>
      <c r="AD6" s="864"/>
      <c r="AE6" s="864"/>
      <c r="AF6" s="864"/>
      <c r="AG6" s="864"/>
      <c r="AH6" s="864"/>
      <c r="AI6" s="864"/>
      <c r="AJ6" s="864"/>
      <c r="AK6" s="864"/>
      <c r="AL6" s="864"/>
      <c r="AM6" s="864"/>
      <c r="AN6" s="864"/>
      <c r="AO6" s="1216" t="s">
        <v>3215</v>
      </c>
      <c r="AP6" s="1216"/>
      <c r="AQ6" s="1216"/>
      <c r="AR6" s="1216"/>
      <c r="AS6" s="1216"/>
      <c r="AT6" s="1216"/>
      <c r="AU6" s="1214">
        <f ca="1">NOW()</f>
        <v>43705.697185648147</v>
      </c>
      <c r="AV6" s="1215"/>
      <c r="AW6" s="1215"/>
      <c r="AX6" s="1215"/>
      <c r="AY6" s="1215"/>
      <c r="AZ6" s="1215"/>
    </row>
    <row r="7" spans="1:52" s="291" customFormat="1" ht="18" customHeight="1">
      <c r="A7" s="292" t="s">
        <v>410</v>
      </c>
      <c r="B7" s="326" t="s">
        <v>411</v>
      </c>
      <c r="C7" s="287"/>
      <c r="D7" s="287"/>
      <c r="E7" s="287"/>
      <c r="F7" s="287"/>
      <c r="G7" s="287"/>
      <c r="H7" s="287"/>
      <c r="I7" s="287"/>
      <c r="J7" s="287"/>
      <c r="K7" s="287"/>
      <c r="L7" s="287"/>
      <c r="M7" s="287"/>
      <c r="N7" s="287"/>
      <c r="O7" s="287"/>
      <c r="P7" s="287"/>
      <c r="Q7" s="327"/>
      <c r="R7" s="327"/>
      <c r="S7" s="328"/>
      <c r="T7" s="328"/>
      <c r="U7" s="313"/>
      <c r="V7" s="313"/>
      <c r="W7" s="313"/>
      <c r="X7" s="313"/>
      <c r="Y7" s="328"/>
      <c r="Z7" s="328"/>
      <c r="AA7" s="328"/>
      <c r="AB7" s="313"/>
      <c r="AC7" s="313"/>
      <c r="AD7" s="313"/>
      <c r="AE7" s="313"/>
      <c r="AF7" s="313"/>
      <c r="AG7" s="313"/>
      <c r="AH7" s="313"/>
      <c r="AI7" s="313"/>
      <c r="AJ7" s="313"/>
      <c r="AK7" s="313"/>
      <c r="AL7" s="313"/>
      <c r="AM7" s="313"/>
      <c r="AN7" s="313"/>
      <c r="AO7" s="313"/>
      <c r="AP7" s="313"/>
      <c r="AQ7" s="313"/>
      <c r="AR7" s="313"/>
      <c r="AS7" s="313"/>
      <c r="AT7" s="318"/>
      <c r="AU7" s="318"/>
      <c r="AV7" s="318"/>
      <c r="AW7" s="318"/>
      <c r="AX7" s="318"/>
      <c r="AY7" s="313"/>
      <c r="AZ7" s="313"/>
    </row>
    <row r="8" spans="1:52" s="291" customFormat="1" ht="18" customHeight="1">
      <c r="A8" s="294"/>
      <c r="B8" s="287"/>
      <c r="C8" s="287"/>
      <c r="D8" s="287"/>
      <c r="E8" s="287"/>
      <c r="F8" s="287"/>
      <c r="G8" s="287"/>
      <c r="H8" s="287"/>
      <c r="I8" s="287"/>
      <c r="J8" s="287"/>
      <c r="K8" s="287"/>
      <c r="L8" s="287"/>
      <c r="M8" s="287"/>
      <c r="N8" s="287"/>
      <c r="O8" s="287"/>
      <c r="P8" s="287"/>
      <c r="Q8" s="1158"/>
      <c r="R8" s="1158"/>
      <c r="S8" s="287"/>
      <c r="T8" s="287"/>
      <c r="U8" s="288"/>
      <c r="V8" s="288"/>
      <c r="W8" s="288"/>
      <c r="X8" s="288"/>
      <c r="Y8" s="287"/>
      <c r="Z8" s="287"/>
      <c r="AA8" s="287"/>
      <c r="AB8" s="288"/>
      <c r="AC8" s="288"/>
      <c r="AD8" s="288"/>
      <c r="AE8" s="288"/>
      <c r="AF8" s="288"/>
      <c r="AG8" s="288"/>
      <c r="AH8" s="288"/>
      <c r="AI8" s="288"/>
      <c r="AJ8" s="288"/>
      <c r="AK8" s="288"/>
      <c r="AL8" s="288"/>
      <c r="AM8" s="288"/>
      <c r="AN8" s="288"/>
      <c r="AO8" s="288"/>
      <c r="AP8" s="288"/>
      <c r="AQ8" s="288"/>
      <c r="AR8" s="288"/>
      <c r="AS8" s="288"/>
      <c r="AT8" s="318"/>
      <c r="AU8" s="318"/>
      <c r="AV8" s="318"/>
      <c r="AW8" s="318"/>
      <c r="AX8" s="318"/>
      <c r="AY8" s="288"/>
      <c r="AZ8" s="288"/>
    </row>
    <row r="9" spans="1:52" s="291" customFormat="1" ht="18" customHeight="1">
      <c r="A9" s="292">
        <v>1.1000000000000001</v>
      </c>
      <c r="B9" s="305" t="s">
        <v>374</v>
      </c>
      <c r="C9" s="295"/>
      <c r="D9" s="295"/>
      <c r="E9" s="295"/>
      <c r="F9" s="295"/>
      <c r="G9" s="295"/>
      <c r="H9" s="295"/>
      <c r="I9" s="295"/>
      <c r="J9" s="295"/>
      <c r="K9" s="495"/>
      <c r="L9" s="495"/>
      <c r="M9" s="495"/>
      <c r="N9" s="295"/>
      <c r="O9" s="295"/>
      <c r="P9" s="295"/>
      <c r="Q9" s="303"/>
      <c r="R9" s="303"/>
      <c r="S9" s="295"/>
      <c r="T9" s="295"/>
      <c r="U9" s="318"/>
      <c r="V9" s="318"/>
      <c r="W9" s="318"/>
      <c r="X9" s="318"/>
      <c r="Y9" s="295"/>
      <c r="Z9" s="295"/>
      <c r="AA9" s="287"/>
      <c r="AB9" s="288"/>
      <c r="AC9" s="288"/>
      <c r="AD9" s="288"/>
      <c r="AE9" s="288"/>
      <c r="AF9" s="288"/>
      <c r="AG9" s="288"/>
      <c r="AH9" s="288"/>
      <c r="AI9" s="288"/>
      <c r="AJ9" s="288"/>
      <c r="AK9" s="288"/>
      <c r="AL9" s="288"/>
      <c r="AM9" s="288"/>
      <c r="AN9" s="288"/>
      <c r="AO9" s="288"/>
      <c r="AP9" s="288"/>
      <c r="AQ9" s="288"/>
      <c r="AR9" s="288"/>
      <c r="AS9" s="288"/>
      <c r="AT9" s="288"/>
      <c r="AU9" s="288"/>
      <c r="AV9" s="288"/>
      <c r="AW9" s="288"/>
      <c r="AX9" s="288"/>
      <c r="AY9" s="288"/>
      <c r="AZ9" s="288"/>
    </row>
    <row r="10" spans="1:52" s="291" customFormat="1" ht="31.5" customHeight="1">
      <c r="A10" s="294"/>
      <c r="B10" s="287"/>
      <c r="C10" s="1151" t="s">
        <v>2522</v>
      </c>
      <c r="D10" s="1151"/>
      <c r="E10" s="1151"/>
      <c r="F10" s="1151"/>
      <c r="G10" s="1151"/>
      <c r="H10" s="1151"/>
      <c r="I10" s="1151"/>
      <c r="J10" s="1151"/>
      <c r="K10" s="1152"/>
      <c r="L10" s="1152"/>
      <c r="M10" s="1152"/>
      <c r="N10" s="1153"/>
      <c r="O10" s="1153"/>
      <c r="P10" s="1153"/>
      <c r="Q10" s="1153"/>
      <c r="R10" s="1153"/>
      <c r="S10" s="1153"/>
      <c r="T10" s="1153"/>
      <c r="U10" s="1669" t="s">
        <v>415</v>
      </c>
      <c r="V10" s="1669"/>
      <c r="W10" s="1669"/>
      <c r="X10" s="1669"/>
      <c r="Y10" s="1669"/>
      <c r="Z10" s="1669"/>
      <c r="AA10" s="1669"/>
      <c r="AB10" s="1669"/>
      <c r="AC10" s="1669"/>
      <c r="AD10" s="1669"/>
      <c r="AE10" s="1669"/>
      <c r="AF10" s="1669"/>
      <c r="AG10" s="1669"/>
      <c r="AH10" s="1669"/>
      <c r="AI10" s="1669"/>
      <c r="AJ10" s="1669"/>
      <c r="AK10" s="1669"/>
      <c r="AL10" s="1669"/>
      <c r="AM10" s="1669"/>
      <c r="AN10" s="288"/>
      <c r="AO10" s="288"/>
      <c r="AP10" s="288"/>
      <c r="AQ10" s="288"/>
      <c r="AR10" s="288"/>
      <c r="AS10" s="288"/>
      <c r="AT10" s="288"/>
      <c r="AU10" s="288"/>
      <c r="AV10" s="288"/>
      <c r="AW10" s="288"/>
      <c r="AX10" s="288"/>
      <c r="AY10" s="288"/>
      <c r="AZ10" s="288"/>
    </row>
    <row r="11" spans="1:52" s="291" customFormat="1" ht="18" customHeight="1">
      <c r="A11" s="294"/>
      <c r="B11" s="287"/>
      <c r="C11" s="287"/>
      <c r="D11" s="287"/>
      <c r="E11" s="287"/>
      <c r="F11" s="287"/>
      <c r="G11" s="287"/>
      <c r="H11" s="287"/>
      <c r="I11" s="287"/>
      <c r="J11" s="287"/>
      <c r="K11" s="328"/>
      <c r="L11" s="328"/>
      <c r="M11" s="328"/>
      <c r="N11" s="1158"/>
      <c r="O11" s="1158"/>
      <c r="P11" s="1158"/>
      <c r="Q11" s="1158"/>
      <c r="R11" s="1158"/>
      <c r="S11" s="1158"/>
      <c r="T11" s="1158"/>
      <c r="U11" s="1155"/>
      <c r="V11" s="1155"/>
      <c r="W11" s="1155"/>
      <c r="X11" s="288"/>
      <c r="Y11" s="287"/>
      <c r="Z11" s="287"/>
      <c r="AA11" s="287"/>
      <c r="AB11" s="288"/>
      <c r="AC11" s="288"/>
      <c r="AD11" s="288"/>
      <c r="AE11" s="288"/>
      <c r="AF11" s="288"/>
      <c r="AG11" s="288"/>
      <c r="AH11" s="288"/>
      <c r="AI11" s="288"/>
      <c r="AJ11" s="288"/>
      <c r="AK11" s="288"/>
      <c r="AL11" s="288"/>
      <c r="AM11" s="288"/>
      <c r="AN11" s="288"/>
      <c r="AO11" s="288"/>
      <c r="AP11" s="288"/>
      <c r="AQ11" s="288"/>
      <c r="AR11" s="288"/>
      <c r="AS11" s="288"/>
      <c r="AT11" s="288"/>
      <c r="AU11" s="288"/>
      <c r="AV11" s="288"/>
      <c r="AW11" s="288"/>
      <c r="AX11" s="288"/>
      <c r="AY11" s="288"/>
      <c r="AZ11" s="288"/>
    </row>
    <row r="12" spans="1:52" s="291" customFormat="1" ht="18" customHeight="1">
      <c r="A12" s="294"/>
      <c r="B12" s="287"/>
      <c r="C12" s="287" t="s">
        <v>2523</v>
      </c>
      <c r="D12" s="287"/>
      <c r="E12" s="287"/>
      <c r="F12" s="287"/>
      <c r="G12" s="287"/>
      <c r="H12" s="287"/>
      <c r="I12" s="287"/>
      <c r="J12" s="287"/>
      <c r="K12" s="328"/>
      <c r="L12" s="328"/>
      <c r="M12" s="328"/>
      <c r="N12" s="1158"/>
      <c r="O12" s="1158"/>
      <c r="P12" s="1158"/>
      <c r="Q12" s="1158"/>
      <c r="R12" s="1158"/>
      <c r="S12" s="1158"/>
      <c r="T12" s="1158"/>
      <c r="U12" s="1228" t="s">
        <v>2521</v>
      </c>
      <c r="V12" s="1229"/>
      <c r="W12" s="1229"/>
      <c r="X12" s="1229"/>
      <c r="Y12" s="1229"/>
      <c r="Z12" s="1229"/>
      <c r="AA12" s="1229"/>
      <c r="AB12" s="1229"/>
      <c r="AC12" s="1229"/>
      <c r="AD12" s="1229"/>
      <c r="AE12" s="1229"/>
      <c r="AF12" s="1229"/>
      <c r="AG12" s="1229"/>
      <c r="AH12" s="1229"/>
      <c r="AI12" s="1229"/>
      <c r="AJ12" s="1229"/>
      <c r="AK12" s="1229"/>
      <c r="AL12" s="1229"/>
      <c r="AM12" s="1229"/>
      <c r="AN12" s="1229"/>
      <c r="AO12" s="1229"/>
      <c r="AP12" s="1229"/>
      <c r="AQ12" s="1229"/>
      <c r="AR12" s="1229"/>
      <c r="AS12" s="1229"/>
      <c r="AT12" s="1229"/>
      <c r="AU12" s="1229"/>
      <c r="AV12" s="1229"/>
      <c r="AW12" s="1229"/>
      <c r="AX12" s="1229"/>
      <c r="AY12" s="1229"/>
      <c r="AZ12" s="1230"/>
    </row>
    <row r="13" spans="1:52" ht="18" customHeight="1">
      <c r="A13" s="1163"/>
      <c r="B13" s="24"/>
      <c r="C13" s="24"/>
      <c r="D13" s="24"/>
      <c r="E13" s="24"/>
      <c r="F13" s="24"/>
      <c r="G13" s="24"/>
      <c r="H13" s="24"/>
      <c r="I13" s="24"/>
      <c r="J13" s="24"/>
      <c r="K13" s="24"/>
      <c r="L13" s="24"/>
      <c r="M13" s="24"/>
      <c r="N13" s="24"/>
      <c r="O13" s="24"/>
      <c r="P13" s="24"/>
      <c r="Q13" s="270"/>
      <c r="R13" s="270"/>
      <c r="S13" s="24"/>
      <c r="T13" s="24"/>
      <c r="U13" s="27"/>
      <c r="V13" s="27"/>
      <c r="W13" s="27"/>
      <c r="X13" s="27"/>
      <c r="Y13" s="24"/>
      <c r="Z13" s="24"/>
      <c r="AA13" s="24"/>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row>
    <row r="14" spans="1:52" s="291" customFormat="1" ht="18" customHeight="1">
      <c r="A14" s="292">
        <v>1.2</v>
      </c>
      <c r="B14" s="295" t="s">
        <v>412</v>
      </c>
      <c r="C14" s="295"/>
      <c r="D14" s="295"/>
      <c r="E14" s="295"/>
      <c r="F14" s="295"/>
      <c r="G14" s="295"/>
      <c r="H14" s="295"/>
      <c r="I14" s="295"/>
      <c r="J14" s="295"/>
      <c r="K14" s="328"/>
      <c r="L14" s="1362" t="str">
        <f>+CONCATENATE(B17," DEL ",AB17," EN LA LOCALIDAD DE ",AO20, ", DISTRITO ",AB20, ", PROVINCIA ",O20, ", DEPARTAMENTO ",B20)</f>
        <v>0 DEL SERVICIO DE LIMPIEZA PÚBLICA EN LA LOCALIDAD DE SAN JUAN, DISTRITO CALLERÍA, PROVINCIA CORONEL PORTILLO, DEPARTAMENTO UCAYALI</v>
      </c>
      <c r="M14" s="1362"/>
      <c r="N14" s="1362"/>
      <c r="O14" s="1362"/>
      <c r="P14" s="1362"/>
      <c r="Q14" s="1362"/>
      <c r="R14" s="1362"/>
      <c r="S14" s="1362"/>
      <c r="T14" s="1362"/>
      <c r="U14" s="1362"/>
      <c r="V14" s="1362"/>
      <c r="W14" s="1362"/>
      <c r="X14" s="1362"/>
      <c r="Y14" s="1362"/>
      <c r="Z14" s="1362"/>
      <c r="AA14" s="1362"/>
      <c r="AB14" s="1362"/>
      <c r="AC14" s="1362"/>
      <c r="AD14" s="1362"/>
      <c r="AE14" s="1362"/>
      <c r="AF14" s="1362"/>
      <c r="AG14" s="1362"/>
      <c r="AH14" s="1362"/>
      <c r="AI14" s="1362"/>
      <c r="AJ14" s="1362"/>
      <c r="AK14" s="1362"/>
      <c r="AL14" s="1362"/>
      <c r="AM14" s="1362"/>
      <c r="AN14" s="1362"/>
      <c r="AO14" s="1362"/>
      <c r="AP14" s="1362"/>
      <c r="AQ14" s="1362"/>
      <c r="AR14" s="1362"/>
      <c r="AS14" s="1362"/>
      <c r="AT14" s="1362"/>
      <c r="AU14" s="1362"/>
      <c r="AV14" s="1362"/>
      <c r="AW14" s="1362"/>
      <c r="AX14" s="1362"/>
      <c r="AY14" s="1362"/>
      <c r="AZ14" s="1362"/>
    </row>
    <row r="15" spans="1:52" s="291" customFormat="1" ht="18" customHeight="1">
      <c r="A15" s="294"/>
      <c r="B15" s="287"/>
      <c r="C15" s="287"/>
      <c r="D15" s="287"/>
      <c r="E15" s="287"/>
      <c r="F15" s="287"/>
      <c r="G15" s="287"/>
      <c r="H15" s="287"/>
      <c r="I15" s="287"/>
      <c r="J15" s="287"/>
      <c r="K15" s="287"/>
      <c r="L15" s="287"/>
      <c r="M15" s="287"/>
      <c r="N15" s="287"/>
      <c r="O15" s="287"/>
      <c r="P15" s="287"/>
      <c r="Q15" s="1158"/>
      <c r="R15" s="1158"/>
      <c r="S15" s="287"/>
      <c r="T15" s="287"/>
      <c r="U15" s="288"/>
      <c r="V15" s="288"/>
      <c r="W15" s="288"/>
      <c r="X15" s="288"/>
      <c r="Y15" s="287"/>
      <c r="Z15" s="287"/>
      <c r="AA15" s="287"/>
      <c r="AB15" s="288"/>
      <c r="AC15" s="288"/>
      <c r="AD15" s="288"/>
      <c r="AE15" s="288"/>
      <c r="AF15" s="288"/>
      <c r="AG15" s="288"/>
      <c r="AH15" s="288"/>
      <c r="AI15" s="288"/>
      <c r="AJ15" s="288"/>
      <c r="AK15" s="288"/>
      <c r="AL15" s="288"/>
      <c r="AM15" s="288"/>
      <c r="AN15" s="288"/>
      <c r="AO15" s="288"/>
      <c r="AP15" s="288"/>
      <c r="AQ15" s="288"/>
      <c r="AR15" s="288"/>
      <c r="AS15" s="288"/>
      <c r="AT15" s="288"/>
      <c r="AU15" s="288"/>
      <c r="AV15" s="288"/>
      <c r="AW15" s="288"/>
      <c r="AX15" s="288"/>
      <c r="AY15" s="288"/>
      <c r="AZ15" s="288"/>
    </row>
    <row r="16" spans="1:52" s="291" customFormat="1" ht="18" customHeight="1">
      <c r="A16" s="294"/>
      <c r="B16" s="1177" t="s">
        <v>413</v>
      </c>
      <c r="C16" s="1178"/>
      <c r="D16" s="1178"/>
      <c r="E16" s="1178"/>
      <c r="F16" s="1178"/>
      <c r="G16" s="1178"/>
      <c r="H16" s="1178"/>
      <c r="I16" s="1178"/>
      <c r="J16" s="1178"/>
      <c r="K16" s="1178"/>
      <c r="L16" s="1178"/>
      <c r="M16" s="1178"/>
      <c r="N16" s="1178"/>
      <c r="O16" s="1178"/>
      <c r="P16" s="1178"/>
      <c r="Q16" s="1178"/>
      <c r="R16" s="1178"/>
      <c r="S16" s="1178"/>
      <c r="T16" s="1178"/>
      <c r="U16" s="1179"/>
      <c r="V16" s="1179"/>
      <c r="W16" s="1179"/>
      <c r="X16" s="1179"/>
      <c r="Y16" s="1179"/>
      <c r="Z16" s="1179"/>
      <c r="AA16" s="1180"/>
      <c r="AB16" s="1177" t="s">
        <v>375</v>
      </c>
      <c r="AC16" s="1178"/>
      <c r="AD16" s="1178"/>
      <c r="AE16" s="1178"/>
      <c r="AF16" s="1178"/>
      <c r="AG16" s="1178"/>
      <c r="AH16" s="1178"/>
      <c r="AI16" s="1178"/>
      <c r="AJ16" s="1178"/>
      <c r="AK16" s="1178"/>
      <c r="AL16" s="1178"/>
      <c r="AM16" s="1178"/>
      <c r="AN16" s="1178"/>
      <c r="AO16" s="1178"/>
      <c r="AP16" s="1178"/>
      <c r="AQ16" s="1178"/>
      <c r="AR16" s="1178"/>
      <c r="AS16" s="1178"/>
      <c r="AT16" s="1178"/>
      <c r="AU16" s="1178"/>
      <c r="AV16" s="1181"/>
      <c r="AW16" s="1181"/>
      <c r="AX16" s="1181"/>
      <c r="AY16" s="1181"/>
      <c r="AZ16" s="1182"/>
    </row>
    <row r="17" spans="1:57" s="291" customFormat="1" ht="18" customHeight="1">
      <c r="A17" s="294"/>
      <c r="B17" s="1183">
        <f>INDEX(BASE!B5:B9,BE17)</f>
        <v>0</v>
      </c>
      <c r="C17" s="1184"/>
      <c r="D17" s="1184"/>
      <c r="E17" s="1184"/>
      <c r="F17" s="1184"/>
      <c r="G17" s="1184"/>
      <c r="H17" s="1184"/>
      <c r="I17" s="1184"/>
      <c r="J17" s="1184"/>
      <c r="K17" s="1184"/>
      <c r="L17" s="1184"/>
      <c r="M17" s="1184"/>
      <c r="N17" s="1184"/>
      <c r="O17" s="1184"/>
      <c r="P17" s="1184"/>
      <c r="Q17" s="1184"/>
      <c r="R17" s="1184"/>
      <c r="S17" s="1184"/>
      <c r="T17" s="1184"/>
      <c r="U17" s="1185"/>
      <c r="V17" s="1185"/>
      <c r="W17" s="1185"/>
      <c r="X17" s="1185"/>
      <c r="Y17" s="1185"/>
      <c r="Z17" s="1185"/>
      <c r="AA17" s="1186"/>
      <c r="AB17" s="1187" t="s">
        <v>415</v>
      </c>
      <c r="AC17" s="1188"/>
      <c r="AD17" s="1188"/>
      <c r="AE17" s="1188"/>
      <c r="AF17" s="1188"/>
      <c r="AG17" s="1188"/>
      <c r="AH17" s="1188"/>
      <c r="AI17" s="1188"/>
      <c r="AJ17" s="1188"/>
      <c r="AK17" s="1188"/>
      <c r="AL17" s="1188"/>
      <c r="AM17" s="1188"/>
      <c r="AN17" s="1188"/>
      <c r="AO17" s="1188"/>
      <c r="AP17" s="1188"/>
      <c r="AQ17" s="1188"/>
      <c r="AR17" s="1188"/>
      <c r="AS17" s="1188"/>
      <c r="AT17" s="1188"/>
      <c r="AU17" s="1188"/>
      <c r="AV17" s="1189"/>
      <c r="AW17" s="1189"/>
      <c r="AX17" s="1189"/>
      <c r="AY17" s="1189"/>
      <c r="AZ17" s="1190"/>
      <c r="BD17" s="496"/>
      <c r="BE17" s="291">
        <v>1</v>
      </c>
    </row>
    <row r="18" spans="1:57" s="291" customFormat="1" ht="18" customHeight="1">
      <c r="A18" s="294"/>
      <c r="B18" s="1344" t="s">
        <v>416</v>
      </c>
      <c r="C18" s="1345"/>
      <c r="D18" s="1345"/>
      <c r="E18" s="1345"/>
      <c r="F18" s="1345"/>
      <c r="G18" s="1345"/>
      <c r="H18" s="1345"/>
      <c r="I18" s="1345"/>
      <c r="J18" s="1345"/>
      <c r="K18" s="1345"/>
      <c r="L18" s="1345"/>
      <c r="M18" s="1345"/>
      <c r="N18" s="1345"/>
      <c r="O18" s="1345"/>
      <c r="P18" s="1345"/>
      <c r="Q18" s="1345"/>
      <c r="R18" s="1345"/>
      <c r="S18" s="1345"/>
      <c r="T18" s="1345"/>
      <c r="U18" s="1345"/>
      <c r="V18" s="1345"/>
      <c r="W18" s="1345"/>
      <c r="X18" s="1345"/>
      <c r="Y18" s="1345"/>
      <c r="Z18" s="1345"/>
      <c r="AA18" s="1345"/>
      <c r="AB18" s="1345"/>
      <c r="AC18" s="1345"/>
      <c r="AD18" s="1345"/>
      <c r="AE18" s="1345"/>
      <c r="AF18" s="1345"/>
      <c r="AG18" s="1345"/>
      <c r="AH18" s="1345"/>
      <c r="AI18" s="1345"/>
      <c r="AJ18" s="1345"/>
      <c r="AK18" s="1345"/>
      <c r="AL18" s="1345"/>
      <c r="AM18" s="1345"/>
      <c r="AN18" s="1345"/>
      <c r="AO18" s="1345"/>
      <c r="AP18" s="1345"/>
      <c r="AQ18" s="1345"/>
      <c r="AR18" s="1345"/>
      <c r="AS18" s="1345"/>
      <c r="AT18" s="1345"/>
      <c r="AU18" s="1345"/>
      <c r="AV18" s="1345"/>
      <c r="AW18" s="1345"/>
      <c r="AX18" s="1345"/>
      <c r="AY18" s="1345"/>
      <c r="AZ18" s="1345"/>
    </row>
    <row r="19" spans="1:57" s="291" customFormat="1" ht="18" customHeight="1">
      <c r="A19" s="294"/>
      <c r="B19" s="1177" t="s">
        <v>376</v>
      </c>
      <c r="C19" s="1178"/>
      <c r="D19" s="1178"/>
      <c r="E19" s="1178"/>
      <c r="F19" s="1178"/>
      <c r="G19" s="1178"/>
      <c r="H19" s="1178"/>
      <c r="I19" s="1178"/>
      <c r="J19" s="1178"/>
      <c r="K19" s="1178"/>
      <c r="L19" s="1178"/>
      <c r="M19" s="1178"/>
      <c r="N19" s="1191"/>
      <c r="O19" s="1177" t="s">
        <v>377</v>
      </c>
      <c r="P19" s="1178"/>
      <c r="Q19" s="1178"/>
      <c r="R19" s="1178"/>
      <c r="S19" s="1178"/>
      <c r="T19" s="1178"/>
      <c r="U19" s="1178"/>
      <c r="V19" s="1178"/>
      <c r="W19" s="1178"/>
      <c r="X19" s="1178"/>
      <c r="Y19" s="1178"/>
      <c r="Z19" s="1178"/>
      <c r="AA19" s="1191"/>
      <c r="AB19" s="1177" t="s">
        <v>378</v>
      </c>
      <c r="AC19" s="1178"/>
      <c r="AD19" s="1178"/>
      <c r="AE19" s="1178"/>
      <c r="AF19" s="1178"/>
      <c r="AG19" s="1178"/>
      <c r="AH19" s="1178"/>
      <c r="AI19" s="1178"/>
      <c r="AJ19" s="1178"/>
      <c r="AK19" s="1178"/>
      <c r="AL19" s="1178"/>
      <c r="AM19" s="1178"/>
      <c r="AN19" s="1191"/>
      <c r="AO19" s="1177" t="s">
        <v>629</v>
      </c>
      <c r="AP19" s="1178"/>
      <c r="AQ19" s="1178"/>
      <c r="AR19" s="1178"/>
      <c r="AS19" s="1178"/>
      <c r="AT19" s="1178"/>
      <c r="AU19" s="1178"/>
      <c r="AV19" s="1178"/>
      <c r="AW19" s="1178"/>
      <c r="AX19" s="1178"/>
      <c r="AY19" s="1178"/>
      <c r="AZ19" s="1191"/>
    </row>
    <row r="20" spans="1:57" s="291" customFormat="1" ht="18" customHeight="1">
      <c r="A20" s="297"/>
      <c r="B20" s="1251" t="s">
        <v>3298</v>
      </c>
      <c r="C20" s="1252"/>
      <c r="D20" s="1252"/>
      <c r="E20" s="1252"/>
      <c r="F20" s="1252"/>
      <c r="G20" s="1252"/>
      <c r="H20" s="1252"/>
      <c r="I20" s="1252"/>
      <c r="J20" s="1252"/>
      <c r="K20" s="1252"/>
      <c r="L20" s="1252"/>
      <c r="M20" s="1252"/>
      <c r="N20" s="1374"/>
      <c r="O20" s="1251" t="s">
        <v>3299</v>
      </c>
      <c r="P20" s="1252"/>
      <c r="Q20" s="1252"/>
      <c r="R20" s="1252"/>
      <c r="S20" s="1252"/>
      <c r="T20" s="1252"/>
      <c r="U20" s="1252"/>
      <c r="V20" s="1252"/>
      <c r="W20" s="1252"/>
      <c r="X20" s="1252"/>
      <c r="Y20" s="1252"/>
      <c r="Z20" s="1252"/>
      <c r="AA20" s="1374"/>
      <c r="AB20" s="1251" t="s">
        <v>3300</v>
      </c>
      <c r="AC20" s="1252"/>
      <c r="AD20" s="1252"/>
      <c r="AE20" s="1252"/>
      <c r="AF20" s="1252"/>
      <c r="AG20" s="1252"/>
      <c r="AH20" s="1252"/>
      <c r="AI20" s="1252"/>
      <c r="AJ20" s="1252"/>
      <c r="AK20" s="1252"/>
      <c r="AL20" s="1252"/>
      <c r="AM20" s="1252"/>
      <c r="AN20" s="1374"/>
      <c r="AO20" s="1251" t="s">
        <v>3301</v>
      </c>
      <c r="AP20" s="1252"/>
      <c r="AQ20" s="1252"/>
      <c r="AR20" s="1252"/>
      <c r="AS20" s="1252"/>
      <c r="AT20" s="1252"/>
      <c r="AU20" s="1252"/>
      <c r="AV20" s="1252"/>
      <c r="AW20" s="1252"/>
      <c r="AX20" s="1252"/>
      <c r="AY20" s="1252"/>
      <c r="AZ20" s="1374"/>
    </row>
    <row r="21" spans="1:57" ht="18" customHeight="1">
      <c r="A21" s="30"/>
      <c r="B21" s="25"/>
      <c r="C21" s="25"/>
      <c r="D21" s="25"/>
      <c r="E21" s="25"/>
      <c r="F21" s="25"/>
      <c r="G21" s="25"/>
      <c r="H21" s="25"/>
      <c r="I21" s="25"/>
      <c r="J21" s="25"/>
      <c r="K21" s="25"/>
      <c r="L21" s="25"/>
      <c r="M21" s="25"/>
      <c r="N21" s="25"/>
      <c r="O21" s="25"/>
      <c r="P21" s="25"/>
      <c r="Q21" s="272"/>
      <c r="R21" s="272"/>
      <c r="S21" s="25"/>
      <c r="T21" s="25"/>
      <c r="U21" s="26"/>
      <c r="V21" s="26"/>
      <c r="W21" s="26"/>
      <c r="X21" s="26"/>
      <c r="Y21" s="25"/>
      <c r="Z21" s="25"/>
      <c r="AA21" s="25"/>
      <c r="AB21" s="26"/>
      <c r="AC21" s="26"/>
      <c r="AD21" s="26"/>
      <c r="AE21" s="26"/>
      <c r="AF21" s="26"/>
      <c r="AG21" s="26"/>
      <c r="AH21" s="26"/>
      <c r="AI21" s="26"/>
      <c r="AJ21" s="26"/>
      <c r="AK21" s="26"/>
      <c r="AL21" s="26"/>
      <c r="AM21" s="26"/>
      <c r="AN21" s="26"/>
      <c r="AO21" s="26"/>
      <c r="AP21" s="26"/>
      <c r="AQ21" s="26"/>
      <c r="AR21" s="26"/>
      <c r="AS21" s="26"/>
      <c r="AT21" s="26"/>
      <c r="AU21" s="26"/>
      <c r="AV21" s="26"/>
      <c r="AW21" s="26"/>
      <c r="AX21" s="26"/>
      <c r="AY21" s="26"/>
      <c r="AZ21" s="26"/>
    </row>
    <row r="22" spans="1:57" s="291" customFormat="1" ht="18" customHeight="1">
      <c r="A22" s="292">
        <v>1.3</v>
      </c>
      <c r="B22" s="295" t="s">
        <v>417</v>
      </c>
      <c r="C22" s="295"/>
      <c r="D22" s="295"/>
      <c r="E22" s="295"/>
      <c r="F22" s="295"/>
      <c r="G22" s="295"/>
      <c r="H22" s="295"/>
      <c r="I22" s="295"/>
      <c r="J22" s="295"/>
      <c r="K22" s="295"/>
      <c r="L22" s="295"/>
      <c r="M22" s="295"/>
      <c r="N22" s="295"/>
      <c r="O22" s="295"/>
      <c r="P22" s="295"/>
      <c r="Q22" s="303"/>
      <c r="R22" s="303"/>
      <c r="S22" s="295"/>
      <c r="T22" s="295"/>
      <c r="U22" s="318"/>
      <c r="V22" s="318"/>
      <c r="W22" s="318"/>
      <c r="X22" s="318"/>
      <c r="Y22" s="295"/>
      <c r="Z22" s="295"/>
      <c r="AA22" s="287"/>
      <c r="AB22" s="288"/>
      <c r="AC22" s="288"/>
      <c r="AD22" s="288"/>
      <c r="AE22" s="288"/>
      <c r="AF22" s="288"/>
      <c r="AG22" s="288"/>
      <c r="AH22" s="288"/>
      <c r="AI22" s="288"/>
      <c r="AJ22" s="288"/>
      <c r="AK22" s="288"/>
      <c r="AL22" s="288"/>
      <c r="AM22" s="288"/>
      <c r="AN22" s="288"/>
      <c r="AO22" s="288"/>
      <c r="AP22" s="288"/>
      <c r="AQ22" s="288"/>
      <c r="AR22" s="288"/>
      <c r="AS22" s="288"/>
      <c r="AT22" s="288"/>
      <c r="AU22" s="288"/>
      <c r="AV22" s="288"/>
      <c r="AW22" s="288"/>
      <c r="AX22" s="288"/>
      <c r="AY22" s="288"/>
      <c r="AZ22" s="288"/>
    </row>
    <row r="23" spans="1:57" s="291" customFormat="1" ht="18" customHeight="1">
      <c r="A23" s="294"/>
      <c r="B23" s="1164"/>
      <c r="C23" s="1164"/>
      <c r="D23" s="1164"/>
      <c r="E23" s="1164"/>
      <c r="F23" s="1164"/>
      <c r="G23" s="1164"/>
      <c r="H23" s="1164"/>
      <c r="I23" s="1164"/>
      <c r="J23" s="1164"/>
      <c r="K23" s="1164"/>
      <c r="L23" s="1164"/>
      <c r="M23" s="1164"/>
      <c r="N23" s="1164"/>
      <c r="O23" s="1164"/>
      <c r="P23" s="1164"/>
      <c r="Q23" s="338"/>
      <c r="R23" s="338"/>
      <c r="S23" s="1164"/>
      <c r="T23" s="1164"/>
      <c r="U23" s="526"/>
      <c r="V23" s="288"/>
      <c r="W23" s="288"/>
      <c r="X23" s="288"/>
      <c r="Y23" s="287"/>
      <c r="Z23" s="287"/>
      <c r="AA23" s="287"/>
      <c r="AB23" s="288"/>
      <c r="AC23" s="288"/>
      <c r="AD23" s="288"/>
      <c r="AE23" s="288"/>
      <c r="AF23" s="288"/>
      <c r="AG23" s="288"/>
      <c r="AH23" s="288"/>
      <c r="AI23" s="288"/>
      <c r="AJ23" s="288"/>
      <c r="AK23" s="288"/>
      <c r="AL23" s="288"/>
      <c r="AM23" s="288"/>
      <c r="AN23" s="288"/>
      <c r="AO23" s="288"/>
      <c r="AP23" s="288"/>
      <c r="AQ23" s="288"/>
      <c r="AR23" s="288"/>
      <c r="AS23" s="288"/>
      <c r="AT23" s="288"/>
      <c r="AU23" s="288"/>
      <c r="AV23" s="288"/>
      <c r="AW23" s="288"/>
      <c r="AX23" s="288"/>
      <c r="AY23" s="288"/>
      <c r="AZ23" s="288"/>
    </row>
    <row r="24" spans="1:57" s="291" customFormat="1" ht="18" customHeight="1">
      <c r="A24" s="294"/>
      <c r="B24" s="1169" t="s">
        <v>418</v>
      </c>
      <c r="C24" s="1170"/>
      <c r="D24" s="1170"/>
      <c r="E24" s="1170"/>
      <c r="F24" s="1170"/>
      <c r="G24" s="1170"/>
      <c r="H24" s="1170"/>
      <c r="I24" s="1170"/>
      <c r="J24" s="1170"/>
      <c r="K24" s="1170"/>
      <c r="L24" s="1170"/>
      <c r="M24" s="1170"/>
      <c r="N24" s="1170"/>
      <c r="O24" s="1170"/>
      <c r="P24" s="1171"/>
      <c r="Q24" s="1169" t="s">
        <v>419</v>
      </c>
      <c r="R24" s="1170"/>
      <c r="S24" s="1170"/>
      <c r="T24" s="1170"/>
      <c r="U24" s="1170"/>
      <c r="V24" s="1170"/>
      <c r="W24" s="1170"/>
      <c r="X24" s="1170"/>
      <c r="Y24" s="1170"/>
      <c r="Z24" s="1170"/>
      <c r="AA24" s="1170"/>
      <c r="AB24" s="1170"/>
      <c r="AC24" s="1170"/>
      <c r="AD24" s="1170"/>
      <c r="AE24" s="1170"/>
      <c r="AF24" s="1170"/>
      <c r="AG24" s="1170"/>
      <c r="AH24" s="1170"/>
      <c r="AI24" s="1170"/>
      <c r="AJ24" s="1170"/>
      <c r="AK24" s="1170"/>
      <c r="AL24" s="1170"/>
      <c r="AM24" s="1170"/>
      <c r="AN24" s="1170"/>
      <c r="AO24" s="1170"/>
      <c r="AP24" s="1170"/>
      <c r="AQ24" s="1170"/>
      <c r="AR24" s="1170"/>
      <c r="AS24" s="1170"/>
      <c r="AT24" s="1170"/>
      <c r="AU24" s="1170"/>
      <c r="AV24" s="1170"/>
      <c r="AW24" s="1170"/>
      <c r="AX24" s="1170"/>
      <c r="AY24" s="1170"/>
      <c r="AZ24" s="1171"/>
    </row>
    <row r="25" spans="1:57" s="291" customFormat="1" ht="18" customHeight="1">
      <c r="A25" s="294"/>
      <c r="B25" s="1169" t="s">
        <v>420</v>
      </c>
      <c r="C25" s="1170"/>
      <c r="D25" s="1170"/>
      <c r="E25" s="1170"/>
      <c r="F25" s="1170"/>
      <c r="G25" s="1170"/>
      <c r="H25" s="1170"/>
      <c r="I25" s="1170"/>
      <c r="J25" s="1170"/>
      <c r="K25" s="1170"/>
      <c r="L25" s="1170"/>
      <c r="M25" s="1170"/>
      <c r="N25" s="1170"/>
      <c r="O25" s="1170"/>
      <c r="P25" s="1171"/>
      <c r="Q25" s="1169" t="s">
        <v>2799</v>
      </c>
      <c r="R25" s="1170"/>
      <c r="S25" s="1170"/>
      <c r="T25" s="1170"/>
      <c r="U25" s="1170"/>
      <c r="V25" s="1170"/>
      <c r="W25" s="1170"/>
      <c r="X25" s="1170"/>
      <c r="Y25" s="1170"/>
      <c r="Z25" s="1170"/>
      <c r="AA25" s="1170"/>
      <c r="AB25" s="1170"/>
      <c r="AC25" s="1170"/>
      <c r="AD25" s="1170"/>
      <c r="AE25" s="1170"/>
      <c r="AF25" s="1170"/>
      <c r="AG25" s="1170"/>
      <c r="AH25" s="1170"/>
      <c r="AI25" s="1170"/>
      <c r="AJ25" s="1170"/>
      <c r="AK25" s="1170"/>
      <c r="AL25" s="1170"/>
      <c r="AM25" s="1170"/>
      <c r="AN25" s="1170"/>
      <c r="AO25" s="1170"/>
      <c r="AP25" s="1170"/>
      <c r="AQ25" s="1170"/>
      <c r="AR25" s="1170"/>
      <c r="AS25" s="1170"/>
      <c r="AT25" s="1170"/>
      <c r="AU25" s="1170"/>
      <c r="AV25" s="1170"/>
      <c r="AW25" s="1170"/>
      <c r="AX25" s="1170"/>
      <c r="AY25" s="1170"/>
      <c r="AZ25" s="1171"/>
    </row>
    <row r="26" spans="1:57" s="291" customFormat="1" ht="18" customHeight="1">
      <c r="A26" s="294"/>
      <c r="B26" s="1169" t="s">
        <v>421</v>
      </c>
      <c r="C26" s="1170"/>
      <c r="D26" s="1170"/>
      <c r="E26" s="1170"/>
      <c r="F26" s="1170"/>
      <c r="G26" s="1170"/>
      <c r="H26" s="1170"/>
      <c r="I26" s="1170"/>
      <c r="J26" s="1170"/>
      <c r="K26" s="1170"/>
      <c r="L26" s="1170"/>
      <c r="M26" s="1170"/>
      <c r="N26" s="1170"/>
      <c r="O26" s="1170"/>
      <c r="P26" s="1171"/>
      <c r="Q26" s="1169" t="s">
        <v>2800</v>
      </c>
      <c r="R26" s="1170"/>
      <c r="S26" s="1170"/>
      <c r="T26" s="1170"/>
      <c r="U26" s="1170"/>
      <c r="V26" s="1170"/>
      <c r="W26" s="1170"/>
      <c r="X26" s="1170"/>
      <c r="Y26" s="1170"/>
      <c r="Z26" s="1170"/>
      <c r="AA26" s="1170"/>
      <c r="AB26" s="1170"/>
      <c r="AC26" s="1170"/>
      <c r="AD26" s="1170"/>
      <c r="AE26" s="1170"/>
      <c r="AF26" s="1170"/>
      <c r="AG26" s="1170"/>
      <c r="AH26" s="1170"/>
      <c r="AI26" s="1170"/>
      <c r="AJ26" s="1170"/>
      <c r="AK26" s="1170"/>
      <c r="AL26" s="1170"/>
      <c r="AM26" s="1170"/>
      <c r="AN26" s="1170"/>
      <c r="AO26" s="1170"/>
      <c r="AP26" s="1170"/>
      <c r="AQ26" s="1170"/>
      <c r="AR26" s="1170"/>
      <c r="AS26" s="1170"/>
      <c r="AT26" s="1170"/>
      <c r="AU26" s="1170"/>
      <c r="AV26" s="1170"/>
      <c r="AW26" s="1170"/>
      <c r="AX26" s="1170"/>
      <c r="AY26" s="1170"/>
      <c r="AZ26" s="1171"/>
    </row>
    <row r="27" spans="1:57" s="291" customFormat="1" ht="18" customHeight="1">
      <c r="A27" s="294"/>
      <c r="B27" s="1169" t="s">
        <v>422</v>
      </c>
      <c r="C27" s="1170"/>
      <c r="D27" s="1170"/>
      <c r="E27" s="1170"/>
      <c r="F27" s="1170"/>
      <c r="G27" s="1170"/>
      <c r="H27" s="1170"/>
      <c r="I27" s="1170"/>
      <c r="J27" s="1170"/>
      <c r="K27" s="1170"/>
      <c r="L27" s="1170"/>
      <c r="M27" s="1170"/>
      <c r="N27" s="1170"/>
      <c r="O27" s="1170"/>
      <c r="P27" s="1171"/>
      <c r="Q27" s="1169" t="s">
        <v>423</v>
      </c>
      <c r="R27" s="1170"/>
      <c r="S27" s="1170"/>
      <c r="T27" s="1170"/>
      <c r="U27" s="1170"/>
      <c r="V27" s="1170"/>
      <c r="W27" s="1170"/>
      <c r="X27" s="1170"/>
      <c r="Y27" s="1170"/>
      <c r="Z27" s="1170"/>
      <c r="AA27" s="1170"/>
      <c r="AB27" s="1170"/>
      <c r="AC27" s="1170"/>
      <c r="AD27" s="1170"/>
      <c r="AE27" s="1170"/>
      <c r="AF27" s="1170"/>
      <c r="AG27" s="1170"/>
      <c r="AH27" s="1170"/>
      <c r="AI27" s="1170"/>
      <c r="AJ27" s="1170"/>
      <c r="AK27" s="1170"/>
      <c r="AL27" s="1170"/>
      <c r="AM27" s="1170"/>
      <c r="AN27" s="1170"/>
      <c r="AO27" s="1170"/>
      <c r="AP27" s="1170"/>
      <c r="AQ27" s="1170"/>
      <c r="AR27" s="1170"/>
      <c r="AS27" s="1170"/>
      <c r="AT27" s="1170"/>
      <c r="AU27" s="1170"/>
      <c r="AV27" s="1170"/>
      <c r="AW27" s="1170"/>
      <c r="AX27" s="1170"/>
      <c r="AY27" s="1170"/>
      <c r="AZ27" s="1171"/>
    </row>
    <row r="28" spans="1:57" s="291" customFormat="1" ht="18" customHeight="1">
      <c r="A28" s="294"/>
      <c r="B28" s="287"/>
      <c r="C28" s="287"/>
      <c r="D28" s="287"/>
      <c r="E28" s="287"/>
      <c r="F28" s="287"/>
      <c r="G28" s="287"/>
      <c r="H28" s="287"/>
      <c r="I28" s="287"/>
      <c r="J28" s="287"/>
      <c r="K28" s="287"/>
      <c r="L28" s="287"/>
      <c r="M28" s="287"/>
      <c r="N28" s="287"/>
      <c r="O28" s="287"/>
      <c r="P28" s="287"/>
      <c r="Q28" s="488"/>
      <c r="R28" s="488"/>
      <c r="S28" s="287"/>
      <c r="T28" s="287"/>
      <c r="U28" s="288"/>
      <c r="V28" s="288"/>
      <c r="W28" s="288"/>
      <c r="X28" s="288"/>
      <c r="Y28" s="287"/>
      <c r="Z28" s="287"/>
      <c r="AA28" s="287"/>
      <c r="AB28" s="288"/>
      <c r="AC28" s="289"/>
      <c r="AD28" s="289"/>
      <c r="AE28" s="289"/>
      <c r="AF28" s="289"/>
      <c r="AG28" s="289"/>
      <c r="AH28" s="289"/>
      <c r="AI28" s="289"/>
      <c r="AJ28" s="289"/>
      <c r="AK28" s="289"/>
      <c r="AL28" s="289"/>
      <c r="AM28" s="289"/>
      <c r="AN28" s="289"/>
      <c r="AO28" s="289"/>
      <c r="AP28" s="289"/>
      <c r="AQ28" s="289"/>
      <c r="AR28" s="289"/>
      <c r="AS28" s="289"/>
      <c r="AT28" s="289"/>
      <c r="AU28" s="289"/>
      <c r="AV28" s="289"/>
      <c r="AW28" s="289"/>
      <c r="AX28" s="289"/>
      <c r="AY28" s="289"/>
      <c r="AZ28" s="289"/>
      <c r="BE28" s="291">
        <v>3</v>
      </c>
    </row>
    <row r="29" spans="1:57" s="291" customFormat="1" ht="18" customHeight="1">
      <c r="A29" s="294"/>
      <c r="B29" s="287" t="s">
        <v>424</v>
      </c>
      <c r="C29" s="287"/>
      <c r="D29" s="287"/>
      <c r="E29" s="287"/>
      <c r="F29" s="287"/>
      <c r="G29" s="287"/>
      <c r="H29" s="287"/>
      <c r="I29" s="287"/>
      <c r="J29" s="287"/>
      <c r="K29" s="287"/>
      <c r="L29" s="287"/>
      <c r="M29" s="287"/>
      <c r="N29" s="287"/>
      <c r="O29" s="287"/>
      <c r="P29" s="287"/>
      <c r="Q29" s="488"/>
      <c r="R29" s="488"/>
      <c r="S29" s="287"/>
      <c r="T29" s="287"/>
      <c r="U29" s="288"/>
      <c r="V29" s="321"/>
      <c r="W29" s="288"/>
      <c r="X29" s="313"/>
      <c r="Y29" s="488"/>
      <c r="Z29" s="287"/>
      <c r="AA29" s="488"/>
      <c r="AB29" s="313"/>
      <c r="AC29" s="1379">
        <f>INDEX(BASE!$C$5:$C$7,BE29)</f>
        <v>0</v>
      </c>
      <c r="AD29" s="1379"/>
      <c r="AE29" s="1379"/>
      <c r="AF29" s="1379"/>
      <c r="AG29" s="293"/>
      <c r="AH29" s="289"/>
      <c r="AI29" s="289"/>
      <c r="AJ29" s="289"/>
      <c r="AK29" s="289"/>
      <c r="AL29" s="289"/>
      <c r="AM29" s="289"/>
      <c r="AN29" s="289"/>
      <c r="AO29" s="289"/>
      <c r="AP29" s="289"/>
      <c r="AQ29" s="289"/>
      <c r="AR29" s="289"/>
      <c r="AS29" s="289"/>
      <c r="AT29" s="289"/>
      <c r="AU29" s="289"/>
      <c r="AV29" s="289"/>
      <c r="AW29" s="289"/>
      <c r="AX29" s="289"/>
      <c r="AY29" s="289"/>
      <c r="AZ29" s="289"/>
      <c r="BE29" s="291">
        <v>1</v>
      </c>
    </row>
    <row r="30" spans="1:57" s="291" customFormat="1" ht="18" customHeight="1">
      <c r="A30" s="294"/>
      <c r="B30" s="295"/>
      <c r="C30" s="488"/>
      <c r="D30" s="488"/>
      <c r="E30" s="488"/>
      <c r="F30" s="488"/>
      <c r="G30" s="488"/>
      <c r="H30" s="287"/>
      <c r="I30" s="287"/>
      <c r="J30" s="287"/>
      <c r="K30" s="287"/>
      <c r="L30" s="488"/>
      <c r="M30" s="328"/>
      <c r="N30" s="488"/>
      <c r="O30" s="488"/>
      <c r="P30" s="488"/>
      <c r="Q30" s="488"/>
      <c r="R30" s="488"/>
      <c r="S30" s="287"/>
      <c r="T30" s="287"/>
      <c r="U30" s="288"/>
      <c r="V30" s="288"/>
      <c r="W30" s="288"/>
      <c r="X30" s="288"/>
      <c r="Y30" s="328"/>
      <c r="Z30" s="328"/>
      <c r="AA30" s="328"/>
      <c r="AB30" s="313"/>
      <c r="AC30" s="313"/>
      <c r="AD30" s="313"/>
      <c r="AE30" s="313"/>
      <c r="AF30" s="289"/>
      <c r="AG30" s="293"/>
      <c r="AH30" s="293"/>
      <c r="AI30" s="293"/>
      <c r="AJ30" s="293"/>
      <c r="AK30" s="293"/>
      <c r="AL30" s="293"/>
      <c r="AM30" s="293"/>
      <c r="AN30" s="293"/>
      <c r="AO30" s="289"/>
      <c r="AP30" s="289"/>
      <c r="AQ30" s="289"/>
      <c r="AR30" s="289"/>
      <c r="AS30" s="289"/>
      <c r="AT30" s="289"/>
      <c r="AU30" s="289"/>
      <c r="AV30" s="289"/>
      <c r="AW30" s="289"/>
      <c r="AX30" s="289"/>
      <c r="AY30" s="289"/>
      <c r="AZ30" s="289"/>
    </row>
    <row r="31" spans="1:57" s="291" customFormat="1" ht="18" customHeight="1">
      <c r="A31" s="294"/>
      <c r="B31" s="287" t="s">
        <v>426</v>
      </c>
      <c r="C31" s="287"/>
      <c r="D31" s="287"/>
      <c r="E31" s="287"/>
      <c r="F31" s="287"/>
      <c r="G31" s="287"/>
      <c r="H31" s="287"/>
      <c r="I31" s="287"/>
      <c r="J31" s="287"/>
      <c r="K31" s="287"/>
      <c r="L31" s="287"/>
      <c r="M31" s="287"/>
      <c r="N31" s="287"/>
      <c r="O31" s="287"/>
      <c r="P31" s="287"/>
      <c r="Q31" s="488"/>
      <c r="R31" s="488"/>
      <c r="S31" s="287"/>
      <c r="T31" s="287"/>
      <c r="U31" s="288"/>
      <c r="V31" s="321"/>
      <c r="W31" s="288"/>
      <c r="X31" s="288"/>
      <c r="Y31" s="287"/>
      <c r="Z31" s="287"/>
      <c r="AA31" s="287"/>
      <c r="AB31" s="288"/>
      <c r="AC31" s="1175"/>
      <c r="AD31" s="1175"/>
      <c r="AE31" s="1175"/>
      <c r="AF31" s="1175"/>
      <c r="AG31" s="1175"/>
      <c r="AH31" s="1175"/>
      <c r="AI31" s="1175"/>
      <c r="AJ31" s="1175"/>
      <c r="AK31" s="1175"/>
      <c r="AL31" s="1175"/>
      <c r="AM31" s="1175"/>
      <c r="AN31" s="1175"/>
      <c r="AO31" s="1175"/>
      <c r="AP31" s="1175"/>
      <c r="AQ31" s="1175"/>
      <c r="AR31" s="1175"/>
      <c r="AS31" s="1175"/>
      <c r="AT31" s="1175"/>
      <c r="AU31" s="1175"/>
      <c r="AV31" s="1175"/>
      <c r="AW31" s="1175"/>
      <c r="AX31" s="1175"/>
      <c r="AY31" s="1175"/>
      <c r="AZ31" s="1175"/>
      <c r="BB31" s="575"/>
      <c r="BC31" s="575"/>
    </row>
    <row r="32" spans="1:57" s="291" customFormat="1" ht="18" customHeight="1">
      <c r="A32" s="294"/>
      <c r="B32" s="287"/>
      <c r="C32" s="287"/>
      <c r="D32" s="287"/>
      <c r="E32" s="287"/>
      <c r="F32" s="287"/>
      <c r="G32" s="287"/>
      <c r="H32" s="287"/>
      <c r="I32" s="287"/>
      <c r="J32" s="287"/>
      <c r="K32" s="287"/>
      <c r="L32" s="287"/>
      <c r="M32" s="287"/>
      <c r="N32" s="287"/>
      <c r="O32" s="287"/>
      <c r="P32" s="287"/>
      <c r="Q32" s="488"/>
      <c r="R32" s="488"/>
      <c r="S32" s="287"/>
      <c r="T32" s="287"/>
      <c r="U32" s="288"/>
      <c r="V32" s="288"/>
      <c r="W32" s="288"/>
      <c r="X32" s="288"/>
      <c r="Y32" s="287"/>
      <c r="Z32" s="287"/>
      <c r="AA32" s="287"/>
      <c r="AB32" s="288"/>
      <c r="AC32" s="288"/>
      <c r="AD32" s="288"/>
      <c r="AE32" s="288"/>
      <c r="AF32" s="289"/>
      <c r="AG32" s="289"/>
      <c r="AH32" s="289"/>
      <c r="AI32" s="289"/>
      <c r="AJ32" s="289"/>
      <c r="AK32" s="289"/>
      <c r="AL32" s="289"/>
      <c r="AM32" s="289"/>
      <c r="AN32" s="289"/>
      <c r="AO32" s="289"/>
      <c r="AP32" s="289"/>
      <c r="AQ32" s="289"/>
      <c r="AR32" s="289"/>
      <c r="AS32" s="289"/>
      <c r="AT32" s="289"/>
      <c r="AU32" s="289"/>
      <c r="AV32" s="289"/>
      <c r="AW32" s="289"/>
      <c r="AX32" s="289"/>
      <c r="AY32" s="289"/>
      <c r="AZ32" s="289"/>
    </row>
    <row r="33" spans="1:57" s="291" customFormat="1" ht="18" customHeight="1">
      <c r="A33" s="294"/>
      <c r="B33" s="287"/>
      <c r="C33" s="287"/>
      <c r="D33" s="287"/>
      <c r="E33" s="287"/>
      <c r="F33" s="287"/>
      <c r="G33" s="287"/>
      <c r="H33" s="287"/>
      <c r="I33" s="287"/>
      <c r="J33" s="287"/>
      <c r="K33" s="287"/>
      <c r="L33" s="287"/>
      <c r="M33" s="287"/>
      <c r="N33" s="287"/>
      <c r="O33" s="287"/>
      <c r="P33" s="287"/>
      <c r="Q33" s="488"/>
      <c r="R33" s="488"/>
      <c r="S33" s="287"/>
      <c r="T33" s="287"/>
      <c r="U33" s="288"/>
      <c r="V33" s="288"/>
      <c r="W33" s="288"/>
      <c r="X33" s="288"/>
      <c r="Y33" s="287"/>
      <c r="Z33" s="287"/>
      <c r="AA33" s="287"/>
      <c r="AB33" s="288"/>
      <c r="AC33" s="289"/>
      <c r="AD33" s="289"/>
      <c r="AE33" s="289"/>
      <c r="AF33" s="289"/>
      <c r="AG33" s="289"/>
      <c r="AH33" s="289"/>
      <c r="AI33" s="289"/>
      <c r="AJ33" s="289"/>
      <c r="AK33" s="289"/>
      <c r="AL33" s="289"/>
      <c r="AM33" s="289"/>
      <c r="AN33" s="289"/>
      <c r="AO33" s="289"/>
      <c r="AP33" s="289"/>
      <c r="AQ33" s="289"/>
      <c r="AR33" s="289"/>
      <c r="AS33" s="289"/>
      <c r="AT33" s="289"/>
      <c r="AU33" s="289"/>
      <c r="AV33" s="289"/>
      <c r="AW33" s="289"/>
      <c r="AX33" s="289"/>
      <c r="AY33" s="289"/>
      <c r="AZ33" s="289"/>
      <c r="BE33" s="291">
        <v>3</v>
      </c>
    </row>
    <row r="34" spans="1:57" s="291" customFormat="1" ht="18" customHeight="1">
      <c r="A34" s="294"/>
      <c r="B34" s="287" t="s">
        <v>427</v>
      </c>
      <c r="C34" s="287"/>
      <c r="D34" s="287"/>
      <c r="E34" s="287"/>
      <c r="F34" s="287"/>
      <c r="G34" s="287"/>
      <c r="H34" s="287"/>
      <c r="I34" s="287"/>
      <c r="J34" s="287"/>
      <c r="K34" s="287"/>
      <c r="L34" s="287"/>
      <c r="M34" s="287"/>
      <c r="N34" s="287"/>
      <c r="O34" s="287"/>
      <c r="P34" s="287"/>
      <c r="Q34" s="488"/>
      <c r="R34" s="488"/>
      <c r="S34" s="287"/>
      <c r="T34" s="287"/>
      <c r="U34" s="288"/>
      <c r="V34" s="288"/>
      <c r="W34" s="288"/>
      <c r="X34" s="313"/>
      <c r="Y34" s="328"/>
      <c r="Z34" s="328"/>
      <c r="AA34" s="488"/>
      <c r="AB34" s="313"/>
      <c r="AC34" s="1375">
        <f>INDEX(BASE!$C$5:$C$7,BE29)</f>
        <v>0</v>
      </c>
      <c r="AD34" s="1377" t="s">
        <v>425</v>
      </c>
      <c r="AE34" s="1377"/>
      <c r="AF34" s="1376"/>
      <c r="AG34" s="293"/>
      <c r="AH34" s="289"/>
      <c r="AI34" s="289"/>
      <c r="AJ34" s="289"/>
      <c r="AK34" s="289"/>
      <c r="AL34" s="289"/>
      <c r="AM34" s="289"/>
      <c r="AN34" s="289"/>
      <c r="AO34" s="289"/>
      <c r="AP34" s="289"/>
      <c r="AQ34" s="289"/>
      <c r="AR34" s="289"/>
      <c r="AS34" s="289"/>
      <c r="AT34" s="289"/>
      <c r="AU34" s="289"/>
      <c r="AV34" s="289"/>
      <c r="AW34" s="289"/>
      <c r="AX34" s="289"/>
      <c r="AY34" s="289"/>
      <c r="AZ34" s="289"/>
      <c r="BE34" s="291">
        <v>1</v>
      </c>
    </row>
    <row r="35" spans="1:57" s="291" customFormat="1" ht="18" customHeight="1">
      <c r="A35" s="294"/>
      <c r="B35" s="287"/>
      <c r="C35" s="287"/>
      <c r="D35" s="287"/>
      <c r="E35" s="287"/>
      <c r="F35" s="287"/>
      <c r="G35" s="295"/>
      <c r="H35" s="287"/>
      <c r="I35" s="287"/>
      <c r="J35" s="287"/>
      <c r="K35" s="287"/>
      <c r="L35" s="287"/>
      <c r="M35" s="287"/>
      <c r="N35" s="287"/>
      <c r="O35" s="287"/>
      <c r="P35" s="287"/>
      <c r="Q35" s="488"/>
      <c r="R35" s="488"/>
      <c r="S35" s="287"/>
      <c r="T35" s="287"/>
      <c r="U35" s="288"/>
      <c r="V35" s="288"/>
      <c r="W35" s="288"/>
      <c r="X35" s="288"/>
      <c r="Y35" s="328"/>
      <c r="Z35" s="328"/>
      <c r="AA35" s="328"/>
      <c r="AB35" s="313"/>
      <c r="AC35" s="293"/>
      <c r="AD35" s="293"/>
      <c r="AE35" s="293"/>
      <c r="AF35" s="293"/>
      <c r="AG35" s="293"/>
      <c r="AH35" s="293"/>
      <c r="AI35" s="293"/>
      <c r="AJ35" s="293"/>
      <c r="AK35" s="293"/>
      <c r="AL35" s="293"/>
      <c r="AM35" s="289"/>
      <c r="AN35" s="289"/>
      <c r="AO35" s="289"/>
      <c r="AP35" s="289"/>
      <c r="AQ35" s="289"/>
      <c r="AR35" s="289"/>
      <c r="AS35" s="289"/>
      <c r="AT35" s="289"/>
      <c r="AU35" s="289"/>
      <c r="AV35" s="289"/>
      <c r="AW35" s="289"/>
      <c r="AX35" s="289"/>
      <c r="AY35" s="289"/>
      <c r="AZ35" s="289"/>
    </row>
    <row r="36" spans="1:57" s="291" customFormat="1" ht="18" customHeight="1">
      <c r="A36" s="294"/>
      <c r="B36" s="287" t="s">
        <v>428</v>
      </c>
      <c r="C36" s="287"/>
      <c r="D36" s="287"/>
      <c r="E36" s="287"/>
      <c r="F36" s="287"/>
      <c r="G36" s="287"/>
      <c r="H36" s="287"/>
      <c r="I36" s="287"/>
      <c r="J36" s="287"/>
      <c r="K36" s="287"/>
      <c r="L36" s="287"/>
      <c r="M36" s="287"/>
      <c r="N36" s="287"/>
      <c r="O36" s="287"/>
      <c r="P36" s="287"/>
      <c r="Q36" s="488"/>
      <c r="R36" s="488"/>
      <c r="S36" s="287"/>
      <c r="T36" s="287"/>
      <c r="U36" s="288"/>
      <c r="V36" s="288"/>
      <c r="W36" s="288"/>
      <c r="X36" s="288"/>
      <c r="Y36" s="287"/>
      <c r="Z36" s="287"/>
      <c r="AA36" s="287"/>
      <c r="AB36" s="288"/>
      <c r="AC36" s="1176"/>
      <c r="AD36" s="1176"/>
      <c r="AE36" s="1176"/>
      <c r="AF36" s="1176"/>
      <c r="AG36" s="1176"/>
      <c r="AH36" s="1176"/>
      <c r="AI36" s="1176"/>
      <c r="AJ36" s="1176"/>
      <c r="AK36" s="1176"/>
      <c r="AL36" s="1176"/>
      <c r="AM36" s="1176"/>
      <c r="AN36" s="1176"/>
      <c r="AO36" s="1176"/>
      <c r="AP36" s="1176"/>
      <c r="AQ36" s="1176"/>
      <c r="AR36" s="1176"/>
      <c r="AS36" s="1176"/>
      <c r="AT36" s="1176"/>
      <c r="AU36" s="1176"/>
      <c r="AV36" s="1176"/>
      <c r="AW36" s="1176"/>
      <c r="AX36" s="1176"/>
      <c r="AY36" s="1176"/>
      <c r="AZ36" s="1176"/>
    </row>
    <row r="37" spans="1:57" s="291" customFormat="1" ht="18" customHeight="1">
      <c r="A37" s="294"/>
      <c r="B37" s="287"/>
      <c r="C37" s="287"/>
      <c r="D37" s="287"/>
      <c r="E37" s="287"/>
      <c r="F37" s="287"/>
      <c r="G37" s="287"/>
      <c r="H37" s="287"/>
      <c r="I37" s="287"/>
      <c r="J37" s="287"/>
      <c r="K37" s="287"/>
      <c r="L37" s="287"/>
      <c r="M37" s="287"/>
      <c r="N37" s="287"/>
      <c r="O37" s="287"/>
      <c r="P37" s="287"/>
      <c r="Q37" s="488"/>
      <c r="R37" s="488"/>
      <c r="S37" s="287"/>
      <c r="T37" s="287"/>
      <c r="U37" s="288"/>
      <c r="V37" s="288"/>
      <c r="W37" s="288"/>
      <c r="X37" s="288"/>
      <c r="Y37" s="287"/>
      <c r="Z37" s="287"/>
      <c r="AA37" s="287"/>
      <c r="AB37" s="288"/>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row>
    <row r="38" spans="1:57" s="291" customFormat="1" ht="18" customHeight="1">
      <c r="A38" s="292" t="s">
        <v>429</v>
      </c>
      <c r="B38" s="295" t="s">
        <v>430</v>
      </c>
      <c r="C38" s="295"/>
      <c r="D38" s="295"/>
      <c r="E38" s="295"/>
      <c r="F38" s="295"/>
      <c r="G38" s="287"/>
      <c r="H38" s="287"/>
      <c r="I38" s="287"/>
      <c r="J38" s="287"/>
      <c r="K38" s="287"/>
      <c r="L38" s="287"/>
      <c r="M38" s="287"/>
      <c r="N38" s="287"/>
      <c r="O38" s="287"/>
      <c r="P38" s="287"/>
      <c r="Q38" s="1158"/>
      <c r="R38" s="1158"/>
      <c r="S38" s="287"/>
      <c r="T38" s="287"/>
      <c r="U38" s="288"/>
      <c r="V38" s="288"/>
      <c r="W38" s="288"/>
      <c r="X38" s="288"/>
      <c r="Y38" s="287"/>
      <c r="Z38" s="287"/>
      <c r="AA38" s="287"/>
      <c r="AB38" s="288"/>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row>
    <row r="39" spans="1:57" s="291" customFormat="1" ht="18" customHeight="1">
      <c r="A39" s="294"/>
      <c r="B39" s="287"/>
      <c r="C39" s="287"/>
      <c r="D39" s="287"/>
      <c r="E39" s="287"/>
      <c r="F39" s="287"/>
      <c r="G39" s="287"/>
      <c r="H39" s="287"/>
      <c r="I39" s="287"/>
      <c r="J39" s="287"/>
      <c r="K39" s="287"/>
      <c r="L39" s="287"/>
      <c r="M39" s="287"/>
      <c r="N39" s="287"/>
      <c r="O39" s="287"/>
      <c r="P39" s="287"/>
      <c r="Q39" s="1158"/>
      <c r="R39" s="1158"/>
      <c r="S39" s="287"/>
      <c r="T39" s="287"/>
      <c r="U39" s="288"/>
      <c r="V39" s="288"/>
      <c r="W39" s="288"/>
      <c r="X39" s="288"/>
      <c r="Y39" s="287"/>
      <c r="Z39" s="287"/>
      <c r="AA39" s="287"/>
      <c r="AB39" s="288"/>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row>
    <row r="40" spans="1:57" s="291" customFormat="1" ht="18" customHeight="1">
      <c r="A40" s="294"/>
      <c r="B40" s="1169" t="s">
        <v>431</v>
      </c>
      <c r="C40" s="1170"/>
      <c r="D40" s="1170"/>
      <c r="E40" s="1170"/>
      <c r="F40" s="1170"/>
      <c r="G40" s="1170"/>
      <c r="H40" s="1170"/>
      <c r="I40" s="1170"/>
      <c r="J40" s="1170"/>
      <c r="K40" s="1170"/>
      <c r="L40" s="1170"/>
      <c r="M40" s="1170"/>
      <c r="N40" s="1170"/>
      <c r="O40" s="1170"/>
      <c r="P40" s="1170"/>
      <c r="Q40" s="1170"/>
      <c r="R40" s="1171"/>
      <c r="S40" s="1172"/>
      <c r="T40" s="1173"/>
      <c r="U40" s="1173"/>
      <c r="V40" s="1173"/>
      <c r="W40" s="1173"/>
      <c r="X40" s="1173"/>
      <c r="Y40" s="1173"/>
      <c r="Z40" s="1173"/>
      <c r="AA40" s="1173"/>
      <c r="AB40" s="1173"/>
      <c r="AC40" s="1173"/>
      <c r="AD40" s="1173"/>
      <c r="AE40" s="1173"/>
      <c r="AF40" s="1173"/>
      <c r="AG40" s="1173"/>
      <c r="AH40" s="1173"/>
      <c r="AI40" s="1173"/>
      <c r="AJ40" s="1173"/>
      <c r="AK40" s="1173"/>
      <c r="AL40" s="1173"/>
      <c r="AM40" s="1173"/>
      <c r="AN40" s="1173"/>
      <c r="AO40" s="1173"/>
      <c r="AP40" s="1173"/>
      <c r="AQ40" s="1173"/>
      <c r="AR40" s="1173"/>
      <c r="AS40" s="1173"/>
      <c r="AT40" s="1173"/>
      <c r="AU40" s="1173"/>
      <c r="AV40" s="1173"/>
      <c r="AW40" s="1173"/>
      <c r="AX40" s="1173"/>
      <c r="AY40" s="1173"/>
      <c r="AZ40" s="1174"/>
    </row>
    <row r="41" spans="1:57" s="291" customFormat="1" ht="18" customHeight="1">
      <c r="A41" s="294"/>
      <c r="B41" s="1169" t="s">
        <v>432</v>
      </c>
      <c r="C41" s="1170"/>
      <c r="D41" s="1170"/>
      <c r="E41" s="1170"/>
      <c r="F41" s="1170"/>
      <c r="G41" s="1170"/>
      <c r="H41" s="1170"/>
      <c r="I41" s="1170"/>
      <c r="J41" s="1170"/>
      <c r="K41" s="1170"/>
      <c r="L41" s="1170"/>
      <c r="M41" s="1170"/>
      <c r="N41" s="1170"/>
      <c r="O41" s="1170"/>
      <c r="P41" s="1170"/>
      <c r="Q41" s="1170"/>
      <c r="R41" s="1171"/>
      <c r="S41" s="1172"/>
      <c r="T41" s="1173"/>
      <c r="U41" s="1173"/>
      <c r="V41" s="1173"/>
      <c r="W41" s="1173"/>
      <c r="X41" s="1173"/>
      <c r="Y41" s="1173"/>
      <c r="Z41" s="1173"/>
      <c r="AA41" s="1173"/>
      <c r="AB41" s="1173"/>
      <c r="AC41" s="1173"/>
      <c r="AD41" s="1173"/>
      <c r="AE41" s="1173"/>
      <c r="AF41" s="1173"/>
      <c r="AG41" s="1173"/>
      <c r="AH41" s="1173"/>
      <c r="AI41" s="1173"/>
      <c r="AJ41" s="1173"/>
      <c r="AK41" s="1173"/>
      <c r="AL41" s="1173"/>
      <c r="AM41" s="1173"/>
      <c r="AN41" s="1173"/>
      <c r="AO41" s="1173"/>
      <c r="AP41" s="1173"/>
      <c r="AQ41" s="1173"/>
      <c r="AR41" s="1173"/>
      <c r="AS41" s="1173"/>
      <c r="AT41" s="1173"/>
      <c r="AU41" s="1173"/>
      <c r="AV41" s="1173"/>
      <c r="AW41" s="1173"/>
      <c r="AX41" s="1173"/>
      <c r="AY41" s="1173"/>
      <c r="AZ41" s="1174"/>
    </row>
    <row r="42" spans="1:57" s="291" customFormat="1" ht="18" customHeight="1">
      <c r="A42" s="294"/>
      <c r="B42" s="1169" t="s">
        <v>433</v>
      </c>
      <c r="C42" s="1170"/>
      <c r="D42" s="1170"/>
      <c r="E42" s="1170"/>
      <c r="F42" s="1170"/>
      <c r="G42" s="1170"/>
      <c r="H42" s="1170"/>
      <c r="I42" s="1170"/>
      <c r="J42" s="1170"/>
      <c r="K42" s="1170"/>
      <c r="L42" s="1170"/>
      <c r="M42" s="1170"/>
      <c r="N42" s="1170"/>
      <c r="O42" s="1170"/>
      <c r="P42" s="1170"/>
      <c r="Q42" s="1170"/>
      <c r="R42" s="1171"/>
      <c r="S42" s="1172"/>
      <c r="T42" s="1173"/>
      <c r="U42" s="1173"/>
      <c r="V42" s="1173"/>
      <c r="W42" s="1173"/>
      <c r="X42" s="1173"/>
      <c r="Y42" s="1173"/>
      <c r="Z42" s="1173"/>
      <c r="AA42" s="1173"/>
      <c r="AB42" s="1173"/>
      <c r="AC42" s="1173"/>
      <c r="AD42" s="1173"/>
      <c r="AE42" s="1173"/>
      <c r="AF42" s="1173"/>
      <c r="AG42" s="1173"/>
      <c r="AH42" s="1173"/>
      <c r="AI42" s="1173"/>
      <c r="AJ42" s="1173"/>
      <c r="AK42" s="1173"/>
      <c r="AL42" s="1173"/>
      <c r="AM42" s="1173"/>
      <c r="AN42" s="1173"/>
      <c r="AO42" s="1173"/>
      <c r="AP42" s="1173"/>
      <c r="AQ42" s="1173"/>
      <c r="AR42" s="1173"/>
      <c r="AS42" s="1173"/>
      <c r="AT42" s="1173"/>
      <c r="AU42" s="1173"/>
      <c r="AV42" s="1173"/>
      <c r="AW42" s="1173"/>
      <c r="AX42" s="1173"/>
      <c r="AY42" s="1173"/>
      <c r="AZ42" s="1174"/>
    </row>
    <row r="43" spans="1:57" s="291" customFormat="1" ht="18" customHeight="1">
      <c r="A43" s="287"/>
      <c r="B43" s="1169" t="s">
        <v>434</v>
      </c>
      <c r="C43" s="1170"/>
      <c r="D43" s="1170"/>
      <c r="E43" s="1170"/>
      <c r="F43" s="1170"/>
      <c r="G43" s="1170"/>
      <c r="H43" s="1170"/>
      <c r="I43" s="1170"/>
      <c r="J43" s="1170"/>
      <c r="K43" s="1170"/>
      <c r="L43" s="1170"/>
      <c r="M43" s="1170"/>
      <c r="N43" s="1170"/>
      <c r="O43" s="1170"/>
      <c r="P43" s="1170"/>
      <c r="Q43" s="1170"/>
      <c r="R43" s="1171"/>
      <c r="S43" s="1172"/>
      <c r="T43" s="1173"/>
      <c r="U43" s="1173"/>
      <c r="V43" s="1173"/>
      <c r="W43" s="1173"/>
      <c r="X43" s="1173"/>
      <c r="Y43" s="1173"/>
      <c r="Z43" s="1173"/>
      <c r="AA43" s="1173"/>
      <c r="AB43" s="1173"/>
      <c r="AC43" s="1173"/>
      <c r="AD43" s="1173"/>
      <c r="AE43" s="1173"/>
      <c r="AF43" s="1173"/>
      <c r="AG43" s="1173"/>
      <c r="AH43" s="1173"/>
      <c r="AI43" s="1173"/>
      <c r="AJ43" s="1173"/>
      <c r="AK43" s="1173"/>
      <c r="AL43" s="1173"/>
      <c r="AM43" s="1173"/>
      <c r="AN43" s="1173"/>
      <c r="AO43" s="1173"/>
      <c r="AP43" s="1173"/>
      <c r="AQ43" s="1173"/>
      <c r="AR43" s="1173"/>
      <c r="AS43" s="1173"/>
      <c r="AT43" s="1173"/>
      <c r="AU43" s="1173"/>
      <c r="AV43" s="1173"/>
      <c r="AW43" s="1173"/>
      <c r="AX43" s="1173"/>
      <c r="AY43" s="1173"/>
      <c r="AZ43" s="1174"/>
    </row>
    <row r="44" spans="1:57" s="291" customFormat="1" ht="18" customHeight="1">
      <c r="A44" s="294"/>
      <c r="B44" s="1169" t="s">
        <v>435</v>
      </c>
      <c r="C44" s="1170"/>
      <c r="D44" s="1170"/>
      <c r="E44" s="1170"/>
      <c r="F44" s="1170"/>
      <c r="G44" s="1170"/>
      <c r="H44" s="1170"/>
      <c r="I44" s="1170"/>
      <c r="J44" s="1170"/>
      <c r="K44" s="1170"/>
      <c r="L44" s="1170"/>
      <c r="M44" s="1170"/>
      <c r="N44" s="1170"/>
      <c r="O44" s="1170"/>
      <c r="P44" s="1170"/>
      <c r="Q44" s="1170"/>
      <c r="R44" s="1171"/>
      <c r="S44" s="1172"/>
      <c r="T44" s="1173"/>
      <c r="U44" s="1173"/>
      <c r="V44" s="1173"/>
      <c r="W44" s="1173"/>
      <c r="X44" s="1173"/>
      <c r="Y44" s="1173"/>
      <c r="Z44" s="1173"/>
      <c r="AA44" s="1173"/>
      <c r="AB44" s="1173"/>
      <c r="AC44" s="1173"/>
      <c r="AD44" s="1173"/>
      <c r="AE44" s="1173"/>
      <c r="AF44" s="1173"/>
      <c r="AG44" s="1173"/>
      <c r="AH44" s="1173"/>
      <c r="AI44" s="1173"/>
      <c r="AJ44" s="1173"/>
      <c r="AK44" s="1173"/>
      <c r="AL44" s="1173"/>
      <c r="AM44" s="1173"/>
      <c r="AN44" s="1173"/>
      <c r="AO44" s="1173"/>
      <c r="AP44" s="1173"/>
      <c r="AQ44" s="1173"/>
      <c r="AR44" s="1173"/>
      <c r="AS44" s="1173"/>
      <c r="AT44" s="1173"/>
      <c r="AU44" s="1173"/>
      <c r="AV44" s="1173"/>
      <c r="AW44" s="1173"/>
      <c r="AX44" s="1173"/>
      <c r="AY44" s="1173"/>
      <c r="AZ44" s="1174"/>
    </row>
    <row r="45" spans="1:57" s="291" customFormat="1" ht="18" customHeight="1">
      <c r="A45" s="294"/>
      <c r="B45" s="287"/>
      <c r="C45" s="287"/>
      <c r="D45" s="287"/>
      <c r="E45" s="287"/>
      <c r="F45" s="287"/>
      <c r="G45" s="287"/>
      <c r="H45" s="287"/>
      <c r="I45" s="287"/>
      <c r="J45" s="287"/>
      <c r="K45" s="287"/>
      <c r="L45" s="287"/>
      <c r="M45" s="287"/>
      <c r="N45" s="287"/>
      <c r="O45" s="287"/>
      <c r="P45" s="287"/>
      <c r="Q45" s="1158"/>
      <c r="R45" s="1158"/>
      <c r="S45" s="287"/>
      <c r="T45" s="287"/>
      <c r="U45" s="288"/>
      <c r="V45" s="288"/>
      <c r="W45" s="288"/>
      <c r="X45" s="288"/>
      <c r="Y45" s="287"/>
      <c r="Z45" s="287"/>
      <c r="AA45" s="287"/>
      <c r="AB45" s="288"/>
      <c r="AC45" s="288"/>
      <c r="AD45" s="288"/>
      <c r="AE45" s="288"/>
      <c r="AF45" s="288"/>
      <c r="AG45" s="288"/>
      <c r="AH45" s="288"/>
      <c r="AI45" s="288"/>
      <c r="AJ45" s="288"/>
      <c r="AK45" s="288"/>
      <c r="AL45" s="288"/>
      <c r="AM45" s="288"/>
      <c r="AN45" s="288"/>
      <c r="AO45" s="288"/>
      <c r="AP45" s="288"/>
      <c r="AQ45" s="288"/>
      <c r="AR45" s="288"/>
      <c r="AS45" s="288"/>
      <c r="AT45" s="288"/>
      <c r="AU45" s="288"/>
      <c r="AV45" s="288"/>
      <c r="AW45" s="288"/>
      <c r="AX45" s="288"/>
      <c r="AY45" s="288"/>
      <c r="AZ45" s="288"/>
    </row>
    <row r="46" spans="1:57" s="291" customFormat="1" ht="18" customHeight="1">
      <c r="A46" s="294"/>
      <c r="B46" s="287" t="s">
        <v>436</v>
      </c>
      <c r="C46" s="287"/>
      <c r="D46" s="287"/>
      <c r="E46" s="287"/>
      <c r="F46" s="287"/>
      <c r="G46" s="287"/>
      <c r="H46" s="287"/>
      <c r="I46" s="287"/>
      <c r="J46" s="287"/>
      <c r="K46" s="287"/>
      <c r="L46" s="287"/>
      <c r="M46" s="287"/>
      <c r="N46" s="287"/>
      <c r="O46" s="287"/>
      <c r="P46" s="287"/>
      <c r="Q46" s="1158"/>
      <c r="R46" s="1158"/>
      <c r="S46" s="287"/>
      <c r="T46" s="287"/>
      <c r="U46" s="288"/>
      <c r="V46" s="288"/>
      <c r="W46" s="288"/>
      <c r="X46" s="288"/>
      <c r="Y46" s="287"/>
      <c r="Z46" s="287"/>
      <c r="AA46" s="287"/>
      <c r="AB46" s="288"/>
      <c r="AC46" s="288"/>
      <c r="AD46" s="288"/>
      <c r="AE46" s="288"/>
      <c r="AF46" s="288"/>
      <c r="AG46" s="288"/>
      <c r="AH46" s="288"/>
      <c r="AI46" s="288"/>
      <c r="AJ46" s="288"/>
      <c r="AK46" s="288"/>
      <c r="AL46" s="288"/>
      <c r="AM46" s="288"/>
      <c r="AN46" s="288"/>
      <c r="AO46" s="288"/>
      <c r="AP46" s="288"/>
      <c r="AQ46" s="288"/>
      <c r="AR46" s="288"/>
      <c r="AS46" s="288"/>
      <c r="AT46" s="288"/>
      <c r="AU46" s="288"/>
      <c r="AV46" s="288"/>
      <c r="AW46" s="288"/>
      <c r="AX46" s="288"/>
      <c r="AY46" s="288"/>
      <c r="AZ46" s="288"/>
    </row>
    <row r="47" spans="1:57" s="291" customFormat="1" ht="18" customHeight="1">
      <c r="A47" s="294"/>
      <c r="B47" s="1169" t="s">
        <v>437</v>
      </c>
      <c r="C47" s="1170"/>
      <c r="D47" s="1170"/>
      <c r="E47" s="1170"/>
      <c r="F47" s="1170"/>
      <c r="G47" s="1170"/>
      <c r="H47" s="1170"/>
      <c r="I47" s="1170"/>
      <c r="J47" s="1170"/>
      <c r="K47" s="1170"/>
      <c r="L47" s="1170"/>
      <c r="M47" s="1170"/>
      <c r="N47" s="1170"/>
      <c r="O47" s="1170"/>
      <c r="P47" s="1170"/>
      <c r="Q47" s="1170"/>
      <c r="R47" s="1171"/>
      <c r="S47" s="1172"/>
      <c r="T47" s="1173"/>
      <c r="U47" s="1173"/>
      <c r="V47" s="1173"/>
      <c r="W47" s="1173"/>
      <c r="X47" s="1173"/>
      <c r="Y47" s="1173"/>
      <c r="Z47" s="1173"/>
      <c r="AA47" s="1173"/>
      <c r="AB47" s="1173"/>
      <c r="AC47" s="1173"/>
      <c r="AD47" s="1173"/>
      <c r="AE47" s="1173"/>
      <c r="AF47" s="1173"/>
      <c r="AG47" s="1173"/>
      <c r="AH47" s="1173"/>
      <c r="AI47" s="1173"/>
      <c r="AJ47" s="1173"/>
      <c r="AK47" s="1173"/>
      <c r="AL47" s="1173"/>
      <c r="AM47" s="1173"/>
      <c r="AN47" s="1173"/>
      <c r="AO47" s="1173"/>
      <c r="AP47" s="1173"/>
      <c r="AQ47" s="1173"/>
      <c r="AR47" s="1173"/>
      <c r="AS47" s="1173"/>
      <c r="AT47" s="1173"/>
      <c r="AU47" s="1173"/>
      <c r="AV47" s="1173"/>
      <c r="AW47" s="1173"/>
      <c r="AX47" s="1173"/>
      <c r="AY47" s="1173"/>
      <c r="AZ47" s="1174"/>
    </row>
    <row r="48" spans="1:57" s="291" customFormat="1" ht="18" customHeight="1">
      <c r="A48" s="294"/>
      <c r="B48" s="1169" t="s">
        <v>438</v>
      </c>
      <c r="C48" s="1170"/>
      <c r="D48" s="1170"/>
      <c r="E48" s="1170"/>
      <c r="F48" s="1170"/>
      <c r="G48" s="1170"/>
      <c r="H48" s="1170"/>
      <c r="I48" s="1170"/>
      <c r="J48" s="1170"/>
      <c r="K48" s="1170"/>
      <c r="L48" s="1170"/>
      <c r="M48" s="1170"/>
      <c r="N48" s="1170"/>
      <c r="O48" s="1170"/>
      <c r="P48" s="1170"/>
      <c r="Q48" s="1170"/>
      <c r="R48" s="1171"/>
      <c r="S48" s="1172"/>
      <c r="T48" s="1173"/>
      <c r="U48" s="1173"/>
      <c r="V48" s="1173"/>
      <c r="W48" s="1173"/>
      <c r="X48" s="1173"/>
      <c r="Y48" s="1173"/>
      <c r="Z48" s="1173"/>
      <c r="AA48" s="1173"/>
      <c r="AB48" s="1173"/>
      <c r="AC48" s="1173"/>
      <c r="AD48" s="1173"/>
      <c r="AE48" s="1173"/>
      <c r="AF48" s="1173"/>
      <c r="AG48" s="1173"/>
      <c r="AH48" s="1173"/>
      <c r="AI48" s="1173"/>
      <c r="AJ48" s="1173"/>
      <c r="AK48" s="1173"/>
      <c r="AL48" s="1173"/>
      <c r="AM48" s="1173"/>
      <c r="AN48" s="1173"/>
      <c r="AO48" s="1173"/>
      <c r="AP48" s="1173"/>
      <c r="AQ48" s="1173"/>
      <c r="AR48" s="1173"/>
      <c r="AS48" s="1173"/>
      <c r="AT48" s="1173"/>
      <c r="AU48" s="1173"/>
      <c r="AV48" s="1173"/>
      <c r="AW48" s="1173"/>
      <c r="AX48" s="1173"/>
      <c r="AY48" s="1173"/>
      <c r="AZ48" s="1174"/>
    </row>
    <row r="49" spans="1:59" s="291" customFormat="1" ht="18" customHeight="1">
      <c r="A49" s="294"/>
      <c r="B49" s="1159"/>
      <c r="C49" s="1159"/>
      <c r="D49" s="1159"/>
      <c r="E49" s="1159"/>
      <c r="F49" s="1159"/>
      <c r="G49" s="1159"/>
      <c r="H49" s="1159"/>
      <c r="I49" s="1159"/>
      <c r="J49" s="1159"/>
      <c r="K49" s="1159"/>
      <c r="L49" s="1159"/>
      <c r="M49" s="1159"/>
      <c r="N49" s="1159"/>
      <c r="O49" s="1159"/>
      <c r="P49" s="1159"/>
      <c r="Q49" s="1158"/>
      <c r="R49" s="1158"/>
      <c r="S49" s="309"/>
      <c r="T49" s="309"/>
      <c r="U49" s="487"/>
      <c r="V49" s="487"/>
      <c r="W49" s="487"/>
      <c r="X49" s="487"/>
      <c r="Y49" s="309"/>
      <c r="Z49" s="309"/>
      <c r="AA49" s="309"/>
      <c r="AB49" s="487"/>
      <c r="AC49" s="487"/>
      <c r="AD49" s="487"/>
      <c r="AE49" s="487"/>
      <c r="AF49" s="487"/>
      <c r="AG49" s="487"/>
      <c r="AH49" s="487"/>
      <c r="AI49" s="487"/>
      <c r="AJ49" s="487"/>
      <c r="AK49" s="487"/>
      <c r="AL49" s="487"/>
      <c r="AM49" s="487"/>
      <c r="AN49" s="487"/>
      <c r="AO49" s="487"/>
      <c r="AP49" s="487"/>
      <c r="AQ49" s="487"/>
      <c r="AR49" s="487"/>
      <c r="AS49" s="487"/>
      <c r="AT49" s="487"/>
      <c r="AU49" s="487"/>
      <c r="AV49" s="487"/>
      <c r="AW49" s="487"/>
      <c r="AX49" s="487"/>
      <c r="AY49" s="487"/>
      <c r="AZ49" s="487"/>
    </row>
    <row r="50" spans="1:59" s="291" customFormat="1" ht="18" customHeight="1">
      <c r="A50" s="294"/>
      <c r="B50" s="1159" t="s">
        <v>2524</v>
      </c>
      <c r="C50" s="1159"/>
      <c r="D50" s="1159"/>
      <c r="E50" s="1159"/>
      <c r="F50" s="1159"/>
      <c r="G50" s="1159"/>
      <c r="H50" s="1159"/>
      <c r="I50" s="1159"/>
      <c r="J50" s="1159"/>
      <c r="K50" s="1159"/>
      <c r="L50" s="1159"/>
      <c r="M50" s="1159"/>
      <c r="N50" s="1159"/>
      <c r="O50" s="1159"/>
      <c r="P50" s="1159"/>
      <c r="Q50" s="1158"/>
      <c r="R50" s="1158"/>
      <c r="S50" s="488"/>
      <c r="T50" s="488"/>
      <c r="U50" s="479"/>
      <c r="V50" s="479"/>
      <c r="W50" s="479"/>
      <c r="X50" s="479"/>
      <c r="Y50" s="488"/>
      <c r="Z50" s="488"/>
      <c r="AA50" s="488"/>
      <c r="AB50" s="479"/>
      <c r="AC50" s="487"/>
      <c r="AD50" s="487"/>
      <c r="AE50" s="487"/>
      <c r="AF50" s="487"/>
      <c r="AG50" s="487"/>
      <c r="AH50" s="487"/>
      <c r="AI50" s="487"/>
      <c r="AJ50" s="487"/>
      <c r="AK50" s="487"/>
      <c r="AL50" s="487"/>
      <c r="AM50" s="487"/>
      <c r="AN50" s="323"/>
      <c r="AO50" s="487"/>
      <c r="AP50" s="487"/>
      <c r="AQ50" s="487"/>
      <c r="AR50" s="487"/>
      <c r="AS50" s="487"/>
      <c r="AT50" s="487"/>
      <c r="AU50" s="487"/>
      <c r="AV50" s="487"/>
      <c r="AW50" s="487"/>
      <c r="AX50" s="487"/>
      <c r="AY50" s="487"/>
      <c r="AZ50" s="487"/>
    </row>
    <row r="51" spans="1:59" s="291" customFormat="1" ht="18" customHeight="1">
      <c r="A51" s="294"/>
      <c r="B51" s="1159" t="s">
        <v>2525</v>
      </c>
      <c r="C51" s="1159"/>
      <c r="D51" s="1159"/>
      <c r="E51" s="1159"/>
      <c r="F51" s="1159"/>
      <c r="G51" s="1159"/>
      <c r="H51" s="1159"/>
      <c r="I51" s="1159"/>
      <c r="J51" s="1159"/>
      <c r="K51" s="1159"/>
      <c r="L51" s="1159"/>
      <c r="M51" s="1159"/>
      <c r="N51" s="1159"/>
      <c r="O51" s="1159"/>
      <c r="P51" s="1159"/>
      <c r="Q51" s="1158"/>
      <c r="R51" s="1158"/>
      <c r="S51" s="488"/>
      <c r="T51" s="488"/>
      <c r="U51" s="479"/>
      <c r="V51" s="1354"/>
      <c r="W51" s="1354"/>
      <c r="X51" s="1354"/>
      <c r="Y51" s="1354"/>
      <c r="Z51" s="1354"/>
      <c r="AA51" s="1354"/>
      <c r="AB51" s="1354"/>
      <c r="AC51" s="1354"/>
      <c r="AD51" s="1354"/>
      <c r="AE51" s="1354"/>
      <c r="AF51" s="1354"/>
      <c r="AG51" s="487"/>
      <c r="AH51" s="1380" t="s">
        <v>439</v>
      </c>
      <c r="AI51" s="1380"/>
      <c r="AJ51" s="1380"/>
      <c r="AK51" s="1380"/>
      <c r="AL51" s="1380"/>
      <c r="AM51" s="1381"/>
      <c r="AN51" s="1375">
        <f>INDEX(BASE!$I$6:$I$36,BE51)</f>
        <v>1</v>
      </c>
      <c r="AO51" s="1376"/>
      <c r="AP51" s="1375">
        <f>INDEX(BASE!$J$6:$J$17,BF51)</f>
        <v>1</v>
      </c>
      <c r="AQ51" s="1376"/>
      <c r="AR51" s="1375">
        <f>INDEX(BASE!$K$6:$K$29,BG51)</f>
        <v>2018</v>
      </c>
      <c r="AS51" s="1377"/>
      <c r="AT51" s="1376"/>
      <c r="AU51" s="487"/>
      <c r="AV51" s="487"/>
      <c r="AW51" s="487"/>
      <c r="AX51" s="487"/>
      <c r="AY51" s="487"/>
      <c r="AZ51" s="487"/>
      <c r="BE51" s="291">
        <v>1</v>
      </c>
      <c r="BF51" s="291">
        <v>1</v>
      </c>
      <c r="BG51" s="291">
        <v>1</v>
      </c>
    </row>
    <row r="52" spans="1:59" s="291" customFormat="1" ht="18" customHeight="1">
      <c r="A52" s="294"/>
      <c r="B52" s="1159"/>
      <c r="C52" s="1159"/>
      <c r="D52" s="1159"/>
      <c r="E52" s="1159"/>
      <c r="F52" s="1159"/>
      <c r="G52" s="1159"/>
      <c r="H52" s="1159"/>
      <c r="I52" s="1159"/>
      <c r="J52" s="1159"/>
      <c r="K52" s="1159"/>
      <c r="L52" s="1159"/>
      <c r="M52" s="1159"/>
      <c r="N52" s="1159"/>
      <c r="O52" s="1159"/>
      <c r="P52" s="1159"/>
      <c r="Q52" s="1158"/>
      <c r="R52" s="1158"/>
      <c r="S52" s="488"/>
      <c r="T52" s="488"/>
      <c r="U52" s="479"/>
      <c r="V52" s="487"/>
      <c r="W52" s="487"/>
      <c r="X52" s="487"/>
      <c r="Y52" s="309"/>
      <c r="Z52" s="309"/>
      <c r="AA52" s="309"/>
      <c r="AB52" s="487"/>
      <c r="AC52" s="487"/>
      <c r="AD52" s="487"/>
      <c r="AE52" s="487"/>
      <c r="AF52" s="487"/>
      <c r="AG52" s="487"/>
      <c r="AH52" s="482"/>
      <c r="AI52" s="482"/>
      <c r="AJ52" s="497"/>
      <c r="AK52" s="497"/>
      <c r="AL52" s="497"/>
      <c r="AM52" s="497"/>
      <c r="AN52" s="487"/>
      <c r="AO52" s="487"/>
      <c r="AP52" s="487"/>
      <c r="AQ52" s="487"/>
      <c r="AR52" s="487"/>
      <c r="AS52" s="487"/>
      <c r="AT52" s="487"/>
      <c r="AU52" s="487"/>
      <c r="AV52" s="487"/>
      <c r="AW52" s="487"/>
      <c r="AX52" s="487"/>
      <c r="AY52" s="487"/>
      <c r="AZ52" s="487"/>
    </row>
    <row r="53" spans="1:59" s="291" customFormat="1" ht="18" customHeight="1">
      <c r="A53" s="294"/>
      <c r="B53" s="1159"/>
      <c r="C53" s="1159"/>
      <c r="D53" s="1159"/>
      <c r="E53" s="1159"/>
      <c r="F53" s="1159"/>
      <c r="G53" s="1159"/>
      <c r="H53" s="1159"/>
      <c r="I53" s="1159"/>
      <c r="J53" s="1159"/>
      <c r="K53" s="1159"/>
      <c r="L53" s="1159"/>
      <c r="M53" s="1159"/>
      <c r="N53" s="1159"/>
      <c r="O53" s="1159"/>
      <c r="P53" s="1159"/>
      <c r="Q53" s="1158"/>
      <c r="R53" s="1158"/>
      <c r="S53" s="309"/>
      <c r="T53" s="309"/>
      <c r="U53" s="487"/>
      <c r="V53" s="487"/>
      <c r="W53" s="487"/>
      <c r="X53" s="487"/>
      <c r="Y53" s="309"/>
      <c r="Z53" s="309"/>
      <c r="AA53" s="309"/>
      <c r="AB53" s="487"/>
      <c r="AC53" s="487"/>
      <c r="AD53" s="487"/>
      <c r="AE53" s="487"/>
      <c r="AF53" s="487"/>
      <c r="AG53" s="487"/>
      <c r="AH53" s="1380" t="s">
        <v>440</v>
      </c>
      <c r="AI53" s="1380"/>
      <c r="AJ53" s="1380"/>
      <c r="AK53" s="1380"/>
      <c r="AL53" s="1380"/>
      <c r="AM53" s="1381"/>
      <c r="AN53" s="1375">
        <f>INDEX(BASE!$I$6:$I$36,BE53)</f>
        <v>1</v>
      </c>
      <c r="AO53" s="1376"/>
      <c r="AP53" s="1375">
        <f>INDEX(BASE!$J$6:$J$17,BF53)</f>
        <v>1</v>
      </c>
      <c r="AQ53" s="1376"/>
      <c r="AR53" s="1375"/>
      <c r="AS53" s="1377"/>
      <c r="AT53" s="1376"/>
      <c r="AU53" s="487"/>
      <c r="AV53" s="487"/>
      <c r="AW53" s="487"/>
      <c r="AX53" s="487"/>
      <c r="AY53" s="487"/>
      <c r="AZ53" s="487"/>
      <c r="BE53" s="291">
        <v>1</v>
      </c>
      <c r="BF53" s="291">
        <v>1</v>
      </c>
      <c r="BG53" s="291">
        <v>2</v>
      </c>
    </row>
    <row r="54" spans="1:59" s="291" customFormat="1" ht="18" customHeight="1">
      <c r="A54" s="292" t="s">
        <v>441</v>
      </c>
      <c r="B54" s="295" t="s">
        <v>442</v>
      </c>
      <c r="C54" s="287"/>
      <c r="D54" s="287"/>
      <c r="E54" s="287"/>
      <c r="F54" s="287"/>
      <c r="G54" s="287"/>
      <c r="H54" s="287"/>
      <c r="I54" s="287"/>
      <c r="J54" s="287"/>
      <c r="K54" s="287"/>
      <c r="L54" s="287"/>
      <c r="M54" s="287"/>
      <c r="N54" s="287"/>
      <c r="O54" s="287"/>
      <c r="P54" s="287"/>
      <c r="Q54" s="1158"/>
      <c r="R54" s="1158"/>
      <c r="S54" s="287"/>
      <c r="T54" s="287"/>
      <c r="U54" s="288"/>
      <c r="V54" s="288"/>
      <c r="W54" s="288"/>
      <c r="X54" s="288"/>
      <c r="Y54" s="287"/>
      <c r="Z54" s="287"/>
      <c r="AA54" s="287"/>
      <c r="AB54" s="288"/>
      <c r="AC54" s="288"/>
      <c r="AD54" s="289"/>
      <c r="AE54" s="289"/>
      <c r="AF54" s="289"/>
      <c r="AG54" s="289"/>
      <c r="AH54" s="289"/>
      <c r="AI54" s="289"/>
      <c r="AJ54" s="289"/>
      <c r="AK54" s="289"/>
      <c r="AL54" s="289"/>
      <c r="AM54" s="289"/>
      <c r="AN54" s="289"/>
      <c r="AO54" s="289"/>
      <c r="AP54" s="289"/>
      <c r="AQ54" s="289"/>
      <c r="AR54" s="289"/>
      <c r="AS54" s="289"/>
      <c r="AT54" s="289"/>
      <c r="AU54" s="289"/>
      <c r="AV54" s="289"/>
      <c r="AW54" s="289"/>
      <c r="AX54" s="289"/>
      <c r="AY54" s="289"/>
      <c r="AZ54" s="289"/>
    </row>
    <row r="55" spans="1:59" s="291" customFormat="1" ht="18" customHeight="1">
      <c r="A55" s="294"/>
      <c r="B55" s="287"/>
      <c r="C55" s="287"/>
      <c r="D55" s="287"/>
      <c r="E55" s="287"/>
      <c r="F55" s="287"/>
      <c r="G55" s="287"/>
      <c r="H55" s="287"/>
      <c r="I55" s="287"/>
      <c r="J55" s="287"/>
      <c r="K55" s="287"/>
      <c r="L55" s="287"/>
      <c r="M55" s="287"/>
      <c r="N55" s="287"/>
      <c r="O55" s="287"/>
      <c r="P55" s="287"/>
      <c r="Q55" s="1158"/>
      <c r="R55" s="1158"/>
      <c r="S55" s="308"/>
      <c r="T55" s="308"/>
      <c r="U55" s="289"/>
      <c r="V55" s="289"/>
      <c r="W55" s="289"/>
      <c r="X55" s="289"/>
      <c r="Y55" s="308"/>
      <c r="Z55" s="308"/>
      <c r="AA55" s="308"/>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row>
    <row r="56" spans="1:59" s="291" customFormat="1" ht="18" customHeight="1">
      <c r="A56" s="294"/>
      <c r="B56" s="1169" t="s">
        <v>431</v>
      </c>
      <c r="C56" s="1170"/>
      <c r="D56" s="1170"/>
      <c r="E56" s="1170"/>
      <c r="F56" s="1170"/>
      <c r="G56" s="1170"/>
      <c r="H56" s="1170"/>
      <c r="I56" s="1170"/>
      <c r="J56" s="1170"/>
      <c r="K56" s="1170"/>
      <c r="L56" s="1170"/>
      <c r="M56" s="1170"/>
      <c r="N56" s="1170"/>
      <c r="O56" s="1170"/>
      <c r="P56" s="1170"/>
      <c r="Q56" s="1170"/>
      <c r="R56" s="1171"/>
      <c r="S56" s="1172"/>
      <c r="T56" s="1173"/>
      <c r="U56" s="1173"/>
      <c r="V56" s="1173"/>
      <c r="W56" s="1173"/>
      <c r="X56" s="1173"/>
      <c r="Y56" s="1173"/>
      <c r="Z56" s="1173"/>
      <c r="AA56" s="1173"/>
      <c r="AB56" s="1173"/>
      <c r="AC56" s="1173"/>
      <c r="AD56" s="1173"/>
      <c r="AE56" s="1173"/>
      <c r="AF56" s="1173"/>
      <c r="AG56" s="1173"/>
      <c r="AH56" s="1173"/>
      <c r="AI56" s="1173"/>
      <c r="AJ56" s="1173"/>
      <c r="AK56" s="1173"/>
      <c r="AL56" s="1173"/>
      <c r="AM56" s="1173"/>
      <c r="AN56" s="1173"/>
      <c r="AO56" s="1173"/>
      <c r="AP56" s="1173"/>
      <c r="AQ56" s="1173"/>
      <c r="AR56" s="1173"/>
      <c r="AS56" s="1173"/>
      <c r="AT56" s="1173"/>
      <c r="AU56" s="1173"/>
      <c r="AV56" s="1173"/>
      <c r="AW56" s="1173"/>
      <c r="AX56" s="1173"/>
      <c r="AY56" s="1173"/>
      <c r="AZ56" s="1174"/>
    </row>
    <row r="57" spans="1:59" s="291" customFormat="1" ht="18" customHeight="1">
      <c r="A57" s="294"/>
      <c r="B57" s="1169" t="s">
        <v>432</v>
      </c>
      <c r="C57" s="1170"/>
      <c r="D57" s="1170"/>
      <c r="E57" s="1170"/>
      <c r="F57" s="1170"/>
      <c r="G57" s="1170"/>
      <c r="H57" s="1170"/>
      <c r="I57" s="1170"/>
      <c r="J57" s="1170"/>
      <c r="K57" s="1170"/>
      <c r="L57" s="1170"/>
      <c r="M57" s="1170"/>
      <c r="N57" s="1170"/>
      <c r="O57" s="1170"/>
      <c r="P57" s="1170"/>
      <c r="Q57" s="1170"/>
      <c r="R57" s="1171"/>
      <c r="S57" s="1172"/>
      <c r="T57" s="1173"/>
      <c r="U57" s="1173"/>
      <c r="V57" s="1173"/>
      <c r="W57" s="1173"/>
      <c r="X57" s="1173"/>
      <c r="Y57" s="1173"/>
      <c r="Z57" s="1173"/>
      <c r="AA57" s="1173"/>
      <c r="AB57" s="1173"/>
      <c r="AC57" s="1173"/>
      <c r="AD57" s="1173"/>
      <c r="AE57" s="1173"/>
      <c r="AF57" s="1173"/>
      <c r="AG57" s="1173"/>
      <c r="AH57" s="1173"/>
      <c r="AI57" s="1173"/>
      <c r="AJ57" s="1173"/>
      <c r="AK57" s="1173"/>
      <c r="AL57" s="1173"/>
      <c r="AM57" s="1173"/>
      <c r="AN57" s="1173"/>
      <c r="AO57" s="1173"/>
      <c r="AP57" s="1173"/>
      <c r="AQ57" s="1173"/>
      <c r="AR57" s="1173"/>
      <c r="AS57" s="1173"/>
      <c r="AT57" s="1173"/>
      <c r="AU57" s="1173"/>
      <c r="AV57" s="1173"/>
      <c r="AW57" s="1173"/>
      <c r="AX57" s="1173"/>
      <c r="AY57" s="1173"/>
      <c r="AZ57" s="1174"/>
    </row>
    <row r="58" spans="1:59" s="291" customFormat="1" ht="18" customHeight="1">
      <c r="A58" s="294"/>
      <c r="B58" s="1169" t="s">
        <v>443</v>
      </c>
      <c r="C58" s="1170"/>
      <c r="D58" s="1170"/>
      <c r="E58" s="1170"/>
      <c r="F58" s="1170"/>
      <c r="G58" s="1170"/>
      <c r="H58" s="1170"/>
      <c r="I58" s="1170"/>
      <c r="J58" s="1170"/>
      <c r="K58" s="1170"/>
      <c r="L58" s="1170"/>
      <c r="M58" s="1170"/>
      <c r="N58" s="1170"/>
      <c r="O58" s="1170"/>
      <c r="P58" s="1170"/>
      <c r="Q58" s="1170"/>
      <c r="R58" s="1171"/>
      <c r="S58" s="1172"/>
      <c r="T58" s="1173"/>
      <c r="U58" s="1173"/>
      <c r="V58" s="1173"/>
      <c r="W58" s="1173"/>
      <c r="X58" s="1173"/>
      <c r="Y58" s="1173"/>
      <c r="Z58" s="1173"/>
      <c r="AA58" s="1173"/>
      <c r="AB58" s="1173"/>
      <c r="AC58" s="1173"/>
      <c r="AD58" s="1173"/>
      <c r="AE58" s="1173"/>
      <c r="AF58" s="1173"/>
      <c r="AG58" s="1173"/>
      <c r="AH58" s="1173"/>
      <c r="AI58" s="1173"/>
      <c r="AJ58" s="1173"/>
      <c r="AK58" s="1173"/>
      <c r="AL58" s="1173"/>
      <c r="AM58" s="1173"/>
      <c r="AN58" s="1173"/>
      <c r="AO58" s="1173"/>
      <c r="AP58" s="1173"/>
      <c r="AQ58" s="1173"/>
      <c r="AR58" s="1173"/>
      <c r="AS58" s="1173"/>
      <c r="AT58" s="1173"/>
      <c r="AU58" s="1173"/>
      <c r="AV58" s="1173"/>
      <c r="AW58" s="1173"/>
      <c r="AX58" s="1173"/>
      <c r="AY58" s="1173"/>
      <c r="AZ58" s="1174"/>
    </row>
    <row r="59" spans="1:59" s="291" customFormat="1" ht="18" customHeight="1">
      <c r="A59" s="287"/>
      <c r="B59" s="1169" t="s">
        <v>444</v>
      </c>
      <c r="C59" s="1170"/>
      <c r="D59" s="1170"/>
      <c r="E59" s="1170"/>
      <c r="F59" s="1170"/>
      <c r="G59" s="1170"/>
      <c r="H59" s="1170"/>
      <c r="I59" s="1170"/>
      <c r="J59" s="1170"/>
      <c r="K59" s="1170"/>
      <c r="L59" s="1170"/>
      <c r="M59" s="1170"/>
      <c r="N59" s="1170"/>
      <c r="O59" s="1170"/>
      <c r="P59" s="1170"/>
      <c r="Q59" s="1170"/>
      <c r="R59" s="1171"/>
      <c r="S59" s="1172"/>
      <c r="T59" s="1173"/>
      <c r="U59" s="1173"/>
      <c r="V59" s="1173"/>
      <c r="W59" s="1173"/>
      <c r="X59" s="1173"/>
      <c r="Y59" s="1173"/>
      <c r="Z59" s="1173"/>
      <c r="AA59" s="1173"/>
      <c r="AB59" s="1173"/>
      <c r="AC59" s="1173"/>
      <c r="AD59" s="1173"/>
      <c r="AE59" s="1173"/>
      <c r="AF59" s="1173"/>
      <c r="AG59" s="1173"/>
      <c r="AH59" s="1173"/>
      <c r="AI59" s="1173"/>
      <c r="AJ59" s="1173"/>
      <c r="AK59" s="1173"/>
      <c r="AL59" s="1173"/>
      <c r="AM59" s="1173"/>
      <c r="AN59" s="1173"/>
      <c r="AO59" s="1173"/>
      <c r="AP59" s="1173"/>
      <c r="AQ59" s="1173"/>
      <c r="AR59" s="1173"/>
      <c r="AS59" s="1173"/>
      <c r="AT59" s="1173"/>
      <c r="AU59" s="1173"/>
      <c r="AV59" s="1173"/>
      <c r="AW59" s="1173"/>
      <c r="AX59" s="1173"/>
      <c r="AY59" s="1173"/>
      <c r="AZ59" s="1174"/>
    </row>
    <row r="60" spans="1:59" s="291" customFormat="1" ht="18" customHeight="1">
      <c r="A60" s="287"/>
      <c r="B60" s="1159"/>
      <c r="C60" s="1159"/>
      <c r="D60" s="1159"/>
      <c r="E60" s="1159"/>
      <c r="F60" s="1159"/>
      <c r="G60" s="1159"/>
      <c r="H60" s="1159"/>
      <c r="I60" s="1159"/>
      <c r="J60" s="1159"/>
      <c r="K60" s="1159"/>
      <c r="L60" s="1159"/>
      <c r="M60" s="1159"/>
      <c r="N60" s="1159"/>
      <c r="O60" s="1159"/>
      <c r="P60" s="1159"/>
      <c r="Q60" s="1158"/>
      <c r="R60" s="1158"/>
      <c r="S60" s="309"/>
      <c r="T60" s="309"/>
      <c r="U60" s="487"/>
      <c r="V60" s="487"/>
      <c r="W60" s="487"/>
      <c r="X60" s="487"/>
      <c r="Y60" s="309"/>
      <c r="Z60" s="309"/>
      <c r="AA60" s="309"/>
      <c r="AB60" s="487"/>
      <c r="AC60" s="487"/>
      <c r="AD60" s="487"/>
      <c r="AE60" s="487"/>
      <c r="AF60" s="487"/>
      <c r="AG60" s="487"/>
      <c r="AH60" s="487"/>
      <c r="AI60" s="487"/>
      <c r="AJ60" s="487"/>
      <c r="AK60" s="487"/>
      <c r="AL60" s="487"/>
      <c r="AM60" s="487"/>
      <c r="AN60" s="487"/>
      <c r="AO60" s="487"/>
      <c r="AP60" s="487"/>
      <c r="AQ60" s="487"/>
      <c r="AR60" s="487"/>
      <c r="AS60" s="487"/>
      <c r="AT60" s="487"/>
      <c r="AU60" s="487"/>
      <c r="AV60" s="487"/>
      <c r="AW60" s="487"/>
      <c r="AX60" s="487"/>
      <c r="AY60" s="487"/>
      <c r="AZ60" s="487"/>
    </row>
    <row r="61" spans="1:59" s="291" customFormat="1" ht="18" customHeight="1">
      <c r="A61" s="287"/>
      <c r="B61" s="1159"/>
      <c r="C61" s="1159"/>
      <c r="D61" s="1159"/>
      <c r="E61" s="1159"/>
      <c r="F61" s="1159"/>
      <c r="G61" s="1159"/>
      <c r="H61" s="1159"/>
      <c r="I61" s="1159"/>
      <c r="J61" s="1159"/>
      <c r="K61" s="1159"/>
      <c r="L61" s="1159"/>
      <c r="M61" s="1159"/>
      <c r="N61" s="1159"/>
      <c r="O61" s="1159"/>
      <c r="P61" s="1159"/>
      <c r="Q61" s="1158"/>
      <c r="R61" s="1158"/>
      <c r="S61" s="309"/>
      <c r="T61" s="309"/>
      <c r="U61" s="487"/>
      <c r="V61" s="487"/>
      <c r="W61" s="487"/>
      <c r="X61" s="487"/>
      <c r="Y61" s="309"/>
      <c r="Z61" s="309"/>
      <c r="AA61" s="309"/>
      <c r="AB61" s="487"/>
      <c r="AC61" s="487"/>
      <c r="AD61" s="487"/>
      <c r="AE61" s="487"/>
      <c r="AF61" s="487"/>
      <c r="AG61" s="487"/>
      <c r="AH61" s="487"/>
      <c r="AI61" s="487"/>
      <c r="AJ61" s="487"/>
      <c r="AK61" s="487"/>
      <c r="AL61" s="487"/>
      <c r="AM61" s="487"/>
      <c r="AN61" s="487"/>
      <c r="AO61" s="487"/>
      <c r="AP61" s="487"/>
      <c r="AQ61" s="487"/>
      <c r="AR61" s="487"/>
      <c r="AS61" s="487"/>
      <c r="AT61" s="487"/>
      <c r="AU61" s="487"/>
      <c r="AV61" s="487"/>
      <c r="AW61" s="487"/>
      <c r="AX61" s="487"/>
      <c r="AY61" s="487"/>
      <c r="AZ61" s="487"/>
    </row>
    <row r="62" spans="1:59" s="291" customFormat="1" ht="18" customHeight="1">
      <c r="A62" s="292" t="s">
        <v>445</v>
      </c>
      <c r="B62" s="295" t="s">
        <v>446</v>
      </c>
      <c r="C62" s="287"/>
      <c r="D62" s="287"/>
      <c r="E62" s="287"/>
      <c r="F62" s="287"/>
      <c r="G62" s="287"/>
      <c r="H62" s="287"/>
      <c r="I62" s="287"/>
      <c r="J62" s="287"/>
      <c r="K62" s="287"/>
      <c r="L62" s="287"/>
      <c r="M62" s="287"/>
      <c r="N62" s="287"/>
      <c r="O62" s="287"/>
      <c r="P62" s="287"/>
      <c r="Q62" s="1158"/>
      <c r="R62" s="1158"/>
      <c r="S62" s="287"/>
      <c r="T62" s="287"/>
      <c r="U62" s="288"/>
      <c r="V62" s="289"/>
      <c r="W62" s="289"/>
      <c r="X62" s="289"/>
      <c r="Y62" s="308"/>
      <c r="Z62" s="308"/>
      <c r="AA62" s="308"/>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row>
    <row r="63" spans="1:59" s="291" customFormat="1" ht="18" customHeight="1">
      <c r="A63" s="297"/>
      <c r="B63" s="287"/>
      <c r="C63" s="287"/>
      <c r="D63" s="287"/>
      <c r="E63" s="287"/>
      <c r="F63" s="287"/>
      <c r="G63" s="287"/>
      <c r="H63" s="287"/>
      <c r="I63" s="287"/>
      <c r="J63" s="287"/>
      <c r="K63" s="287"/>
      <c r="L63" s="287"/>
      <c r="M63" s="287"/>
      <c r="N63" s="287"/>
      <c r="O63" s="287"/>
      <c r="P63" s="287"/>
      <c r="Q63" s="488"/>
      <c r="R63" s="488"/>
      <c r="S63" s="287"/>
      <c r="T63" s="287"/>
      <c r="U63" s="288"/>
      <c r="V63" s="288"/>
      <c r="W63" s="288"/>
      <c r="X63" s="288"/>
      <c r="Y63" s="287"/>
      <c r="Z63" s="287"/>
      <c r="AA63" s="287"/>
      <c r="AB63" s="288"/>
      <c r="AC63" s="288"/>
      <c r="AD63" s="288"/>
      <c r="AE63" s="288"/>
      <c r="AF63" s="288"/>
      <c r="AG63" s="288"/>
      <c r="AH63" s="288"/>
      <c r="AI63" s="288"/>
      <c r="AJ63" s="288"/>
      <c r="AK63" s="288"/>
      <c r="AL63" s="288"/>
      <c r="AM63" s="288"/>
      <c r="AN63" s="288"/>
      <c r="AO63" s="288"/>
      <c r="AP63" s="288"/>
      <c r="AQ63" s="288"/>
      <c r="AR63" s="288"/>
      <c r="AS63" s="288"/>
      <c r="AT63" s="288"/>
      <c r="AU63" s="288"/>
      <c r="AV63" s="288"/>
      <c r="AW63" s="288"/>
      <c r="AX63" s="288"/>
      <c r="AY63" s="288"/>
      <c r="AZ63" s="288"/>
    </row>
    <row r="64" spans="1:59" s="291" customFormat="1" ht="18" customHeight="1">
      <c r="A64" s="297"/>
      <c r="B64" s="1378" t="s">
        <v>376</v>
      </c>
      <c r="C64" s="1378"/>
      <c r="D64" s="1378"/>
      <c r="E64" s="1378"/>
      <c r="F64" s="1378"/>
      <c r="G64" s="1378"/>
      <c r="H64" s="1378"/>
      <c r="I64" s="1378"/>
      <c r="J64" s="1378"/>
      <c r="K64" s="1378"/>
      <c r="L64" s="1378"/>
      <c r="M64" s="1378"/>
      <c r="N64" s="1378"/>
      <c r="O64" s="1379" t="str">
        <f>+B20</f>
        <v>UCAYALI</v>
      </c>
      <c r="P64" s="1379"/>
      <c r="Q64" s="1379"/>
      <c r="R64" s="1379"/>
      <c r="S64" s="1379"/>
      <c r="T64" s="1379"/>
      <c r="U64" s="1379"/>
      <c r="V64" s="1379"/>
      <c r="W64" s="1379"/>
      <c r="X64" s="1379"/>
      <c r="Y64" s="1379"/>
      <c r="Z64" s="1379"/>
      <c r="AA64" s="1379"/>
      <c r="AB64" s="1379"/>
      <c r="AC64" s="1379"/>
      <c r="AD64" s="1379"/>
      <c r="AE64" s="1379"/>
      <c r="AF64" s="1379"/>
      <c r="AG64" s="1379"/>
      <c r="AH64" s="1379"/>
      <c r="AI64" s="1379"/>
      <c r="AJ64" s="1379"/>
      <c r="AK64" s="1379"/>
      <c r="AL64" s="1379"/>
      <c r="AM64" s="1379"/>
      <c r="AN64" s="1379"/>
      <c r="AO64" s="1379"/>
      <c r="AP64" s="1379"/>
      <c r="AQ64" s="1379"/>
      <c r="AR64" s="1379"/>
      <c r="AS64" s="1379"/>
      <c r="AT64" s="1379"/>
      <c r="AU64" s="1379"/>
      <c r="AV64" s="1379"/>
      <c r="AW64" s="1379"/>
      <c r="AX64" s="1379"/>
      <c r="AY64" s="1379"/>
      <c r="AZ64" s="1379"/>
    </row>
    <row r="65" spans="1:57" s="291" customFormat="1" ht="18" customHeight="1">
      <c r="A65" s="297"/>
      <c r="B65" s="1378" t="s">
        <v>377</v>
      </c>
      <c r="C65" s="1378"/>
      <c r="D65" s="1378"/>
      <c r="E65" s="1378"/>
      <c r="F65" s="1378"/>
      <c r="G65" s="1378"/>
      <c r="H65" s="1378"/>
      <c r="I65" s="1378"/>
      <c r="J65" s="1378"/>
      <c r="K65" s="1378"/>
      <c r="L65" s="1378"/>
      <c r="M65" s="1378"/>
      <c r="N65" s="1378"/>
      <c r="O65" s="1379" t="str">
        <f>+O20</f>
        <v>CORONEL PORTILLO</v>
      </c>
      <c r="P65" s="1379"/>
      <c r="Q65" s="1379"/>
      <c r="R65" s="1379"/>
      <c r="S65" s="1379"/>
      <c r="T65" s="1379"/>
      <c r="U65" s="1379"/>
      <c r="V65" s="1379"/>
      <c r="W65" s="1379"/>
      <c r="X65" s="1379"/>
      <c r="Y65" s="1379"/>
      <c r="Z65" s="1379"/>
      <c r="AA65" s="1379"/>
      <c r="AB65" s="1379"/>
      <c r="AC65" s="1379"/>
      <c r="AD65" s="1379"/>
      <c r="AE65" s="1379"/>
      <c r="AF65" s="1379"/>
      <c r="AG65" s="1379"/>
      <c r="AH65" s="1379"/>
      <c r="AI65" s="1379"/>
      <c r="AJ65" s="1379"/>
      <c r="AK65" s="1379"/>
      <c r="AL65" s="1379"/>
      <c r="AM65" s="1379"/>
      <c r="AN65" s="1379"/>
      <c r="AO65" s="1379"/>
      <c r="AP65" s="1379"/>
      <c r="AQ65" s="1379"/>
      <c r="AR65" s="1379"/>
      <c r="AS65" s="1379"/>
      <c r="AT65" s="1379"/>
      <c r="AU65" s="1379"/>
      <c r="AV65" s="1379"/>
      <c r="AW65" s="1379"/>
      <c r="AX65" s="1379"/>
      <c r="AY65" s="1379"/>
      <c r="AZ65" s="1379"/>
    </row>
    <row r="66" spans="1:57" s="291" customFormat="1" ht="18" customHeight="1">
      <c r="A66" s="297"/>
      <c r="B66" s="1378" t="s">
        <v>378</v>
      </c>
      <c r="C66" s="1378"/>
      <c r="D66" s="1378"/>
      <c r="E66" s="1378"/>
      <c r="F66" s="1378"/>
      <c r="G66" s="1378"/>
      <c r="H66" s="1378"/>
      <c r="I66" s="1378"/>
      <c r="J66" s="1378"/>
      <c r="K66" s="1378"/>
      <c r="L66" s="1378"/>
      <c r="M66" s="1378"/>
      <c r="N66" s="1378"/>
      <c r="O66" s="1379" t="str">
        <f>+AB20</f>
        <v>CALLERÍA</v>
      </c>
      <c r="P66" s="1379"/>
      <c r="Q66" s="1379"/>
      <c r="R66" s="1379"/>
      <c r="S66" s="1379"/>
      <c r="T66" s="1379"/>
      <c r="U66" s="1379"/>
      <c r="V66" s="1379"/>
      <c r="W66" s="1379"/>
      <c r="X66" s="1379"/>
      <c r="Y66" s="1379"/>
      <c r="Z66" s="1379"/>
      <c r="AA66" s="1379"/>
      <c r="AB66" s="1379"/>
      <c r="AC66" s="1379"/>
      <c r="AD66" s="1379"/>
      <c r="AE66" s="1379"/>
      <c r="AF66" s="1379"/>
      <c r="AG66" s="1379"/>
      <c r="AH66" s="1379"/>
      <c r="AI66" s="1379"/>
      <c r="AJ66" s="1379"/>
      <c r="AK66" s="1379"/>
      <c r="AL66" s="1379"/>
      <c r="AM66" s="1379"/>
      <c r="AN66" s="1379"/>
      <c r="AO66" s="1379"/>
      <c r="AP66" s="1379"/>
      <c r="AQ66" s="1379"/>
      <c r="AR66" s="1379"/>
      <c r="AS66" s="1379"/>
      <c r="AT66" s="1379"/>
      <c r="AU66" s="1379"/>
      <c r="AV66" s="1379"/>
      <c r="AW66" s="1379"/>
      <c r="AX66" s="1379"/>
      <c r="AY66" s="1379"/>
      <c r="AZ66" s="1379"/>
    </row>
    <row r="67" spans="1:57" s="291" customFormat="1" ht="18" customHeight="1">
      <c r="A67" s="297"/>
      <c r="B67" s="1378" t="s">
        <v>128</v>
      </c>
      <c r="C67" s="1378"/>
      <c r="D67" s="1378"/>
      <c r="E67" s="1378"/>
      <c r="F67" s="1378"/>
      <c r="G67" s="1378"/>
      <c r="H67" s="1378"/>
      <c r="I67" s="1378"/>
      <c r="J67" s="1378"/>
      <c r="K67" s="1378"/>
      <c r="L67" s="1378"/>
      <c r="M67" s="1378"/>
      <c r="N67" s="1378"/>
      <c r="O67" s="1379" t="str">
        <f>+AO20</f>
        <v>SAN JUAN</v>
      </c>
      <c r="P67" s="1379"/>
      <c r="Q67" s="1379"/>
      <c r="R67" s="1379"/>
      <c r="S67" s="1379"/>
      <c r="T67" s="1379"/>
      <c r="U67" s="1379"/>
      <c r="V67" s="1379"/>
      <c r="W67" s="1379"/>
      <c r="X67" s="1379"/>
      <c r="Y67" s="1379"/>
      <c r="Z67" s="1379"/>
      <c r="AA67" s="1379"/>
      <c r="AB67" s="1379"/>
      <c r="AC67" s="1379"/>
      <c r="AD67" s="1379"/>
      <c r="AE67" s="1379"/>
      <c r="AF67" s="1379"/>
      <c r="AG67" s="1379"/>
      <c r="AH67" s="1379"/>
      <c r="AI67" s="1379"/>
      <c r="AJ67" s="1379"/>
      <c r="AK67" s="1379"/>
      <c r="AL67" s="1379"/>
      <c r="AM67" s="1379"/>
      <c r="AN67" s="1379"/>
      <c r="AO67" s="1379"/>
      <c r="AP67" s="1379"/>
      <c r="AQ67" s="1379"/>
      <c r="AR67" s="1379"/>
      <c r="AS67" s="1379"/>
      <c r="AT67" s="1379"/>
      <c r="AU67" s="1379"/>
      <c r="AV67" s="1379"/>
      <c r="AW67" s="1379"/>
      <c r="AX67" s="1379"/>
      <c r="AY67" s="1379"/>
      <c r="AZ67" s="1379"/>
    </row>
    <row r="68" spans="1:57" s="291" customFormat="1" ht="18" customHeight="1">
      <c r="A68" s="297"/>
      <c r="B68" s="488"/>
      <c r="C68" s="488"/>
      <c r="D68" s="488"/>
      <c r="E68" s="488"/>
      <c r="F68" s="488"/>
      <c r="G68" s="488"/>
      <c r="H68" s="488"/>
      <c r="I68" s="488"/>
      <c r="J68" s="488"/>
      <c r="K68" s="488"/>
      <c r="L68" s="488"/>
      <c r="M68" s="488"/>
      <c r="N68" s="488"/>
      <c r="O68" s="488"/>
      <c r="P68" s="488"/>
      <c r="Q68" s="488"/>
      <c r="R68" s="488"/>
      <c r="S68" s="488"/>
      <c r="T68" s="488"/>
      <c r="U68" s="479"/>
      <c r="V68" s="479"/>
      <c r="W68" s="479"/>
      <c r="X68" s="479"/>
      <c r="Y68" s="488"/>
      <c r="Z68" s="488"/>
      <c r="AA68" s="4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row>
    <row r="69" spans="1:57" s="291" customFormat="1" ht="18" customHeight="1">
      <c r="A69" s="297"/>
      <c r="B69" s="1378" t="s">
        <v>379</v>
      </c>
      <c r="C69" s="1378"/>
      <c r="D69" s="1378"/>
      <c r="E69" s="1378"/>
      <c r="F69" s="1378"/>
      <c r="G69" s="1378"/>
      <c r="H69" s="1378"/>
      <c r="I69" s="1378"/>
      <c r="J69" s="1378"/>
      <c r="K69" s="1378"/>
      <c r="L69" s="1378"/>
      <c r="M69" s="1378"/>
      <c r="N69" s="1378"/>
      <c r="O69" s="1385"/>
      <c r="P69" s="1385"/>
      <c r="Q69" s="1385"/>
      <c r="R69" s="1385"/>
      <c r="S69" s="1385"/>
      <c r="T69" s="1385"/>
      <c r="U69" s="1385"/>
      <c r="V69" s="1385"/>
      <c r="W69" s="1385"/>
      <c r="X69" s="1385"/>
      <c r="Y69" s="1385"/>
      <c r="Z69" s="1385"/>
      <c r="AA69" s="1385"/>
      <c r="AB69" s="1385"/>
      <c r="AC69" s="1385"/>
      <c r="AD69" s="1385"/>
      <c r="AE69" s="1385"/>
      <c r="AF69" s="1385"/>
      <c r="AG69" s="1385"/>
      <c r="AH69" s="1385"/>
      <c r="AI69" s="1385"/>
      <c r="AJ69" s="1385"/>
      <c r="AK69" s="1385"/>
      <c r="AL69" s="1385"/>
      <c r="AM69" s="1385"/>
      <c r="AN69" s="1385"/>
      <c r="AO69" s="1385"/>
      <c r="AP69" s="1385"/>
      <c r="AQ69" s="1385"/>
      <c r="AR69" s="1385"/>
      <c r="AS69" s="1385"/>
      <c r="AT69" s="1385"/>
      <c r="AU69" s="1385"/>
      <c r="AV69" s="1385"/>
      <c r="AW69" s="1385"/>
      <c r="AX69" s="1385"/>
      <c r="AY69" s="1385"/>
      <c r="AZ69" s="1385"/>
      <c r="BA69" s="524"/>
    </row>
    <row r="70" spans="1:57" s="291" customFormat="1" ht="18" customHeight="1">
      <c r="A70" s="297"/>
      <c r="B70" s="1322" t="s">
        <v>447</v>
      </c>
      <c r="C70" s="1322"/>
      <c r="D70" s="1322"/>
      <c r="E70" s="1322"/>
      <c r="F70" s="1322"/>
      <c r="G70" s="1322"/>
      <c r="H70" s="1322"/>
      <c r="I70" s="1322"/>
      <c r="J70" s="1322"/>
      <c r="K70" s="1322"/>
      <c r="L70" s="1322"/>
      <c r="M70" s="1322"/>
      <c r="N70" s="1322"/>
      <c r="O70" s="1228" t="s">
        <v>448</v>
      </c>
      <c r="P70" s="1230"/>
      <c r="Q70" s="1172"/>
      <c r="R70" s="1173"/>
      <c r="S70" s="1173"/>
      <c r="T70" s="1173"/>
      <c r="U70" s="1173"/>
      <c r="V70" s="1173"/>
      <c r="W70" s="1173"/>
      <c r="X70" s="1174"/>
      <c r="Y70" s="1228" t="s">
        <v>449</v>
      </c>
      <c r="Z70" s="1230"/>
      <c r="AA70" s="1172"/>
      <c r="AB70" s="1173"/>
      <c r="AC70" s="1173"/>
      <c r="AD70" s="1173"/>
      <c r="AE70" s="1173"/>
      <c r="AF70" s="1173"/>
      <c r="AG70" s="1173"/>
      <c r="AH70" s="1174"/>
      <c r="AI70" s="1208" t="s">
        <v>450</v>
      </c>
      <c r="AJ70" s="1208"/>
      <c r="AK70" s="1208"/>
      <c r="AL70" s="1208"/>
      <c r="AM70" s="1208"/>
      <c r="AN70" s="1353"/>
      <c r="AO70" s="1353"/>
      <c r="AP70" s="1353"/>
      <c r="AQ70" s="1353"/>
      <c r="AR70" s="1353"/>
      <c r="AS70" s="1353"/>
      <c r="AT70" s="1353"/>
      <c r="AU70" s="1353"/>
      <c r="AV70" s="1353"/>
      <c r="AW70" s="1353"/>
      <c r="AX70" s="1353"/>
      <c r="AY70" s="1353"/>
      <c r="AZ70" s="1353"/>
    </row>
    <row r="71" spans="1:57" s="291" customFormat="1" ht="18" customHeight="1">
      <c r="A71" s="297"/>
      <c r="B71" s="1378" t="s">
        <v>451</v>
      </c>
      <c r="C71" s="1378"/>
      <c r="D71" s="1378"/>
      <c r="E71" s="1378"/>
      <c r="F71" s="1378"/>
      <c r="G71" s="1378"/>
      <c r="H71" s="1378"/>
      <c r="I71" s="1378"/>
      <c r="J71" s="1378"/>
      <c r="K71" s="1378"/>
      <c r="L71" s="1378"/>
      <c r="M71" s="1378"/>
      <c r="N71" s="1378"/>
      <c r="O71" s="1401">
        <f>INDEX(BASE!$A$6:$A$9,BE71)</f>
        <v>0</v>
      </c>
      <c r="P71" s="1401"/>
      <c r="Q71" s="1401"/>
      <c r="R71" s="1401"/>
      <c r="S71" s="1401"/>
      <c r="T71" s="1401"/>
      <c r="U71" s="1401"/>
      <c r="V71" s="1401"/>
      <c r="W71" s="1401"/>
      <c r="X71" s="1401"/>
      <c r="Y71" s="1401"/>
      <c r="Z71" s="1401"/>
      <c r="AA71" s="1401"/>
      <c r="AB71" s="1401"/>
      <c r="AC71" s="1401"/>
      <c r="AD71" s="1401"/>
      <c r="AE71" s="1401"/>
      <c r="AF71" s="1401"/>
      <c r="AG71" s="1401"/>
      <c r="AH71" s="1401"/>
      <c r="AI71" s="1401"/>
      <c r="AJ71" s="1401"/>
      <c r="AK71" s="1401"/>
      <c r="AL71" s="1401"/>
      <c r="AM71" s="1401"/>
      <c r="AN71" s="1401"/>
      <c r="AO71" s="1401"/>
      <c r="AP71" s="1401"/>
      <c r="AQ71" s="1401"/>
      <c r="AR71" s="1401"/>
      <c r="AS71" s="1401"/>
      <c r="AT71" s="1401"/>
      <c r="AU71" s="1401"/>
      <c r="AV71" s="1401"/>
      <c r="AW71" s="1401"/>
      <c r="AX71" s="1401"/>
      <c r="AY71" s="1401"/>
      <c r="AZ71" s="1401"/>
      <c r="BA71" s="866"/>
      <c r="BE71" s="291">
        <v>1</v>
      </c>
    </row>
    <row r="72" spans="1:57" s="291" customFormat="1" ht="18" customHeight="1">
      <c r="A72" s="297"/>
      <c r="B72" s="308"/>
      <c r="C72" s="308"/>
      <c r="D72" s="308"/>
      <c r="E72" s="308"/>
      <c r="F72" s="308"/>
      <c r="G72" s="308"/>
      <c r="H72" s="308"/>
      <c r="I72" s="308"/>
      <c r="J72" s="308"/>
      <c r="K72" s="308"/>
      <c r="L72" s="308"/>
      <c r="M72" s="308"/>
      <c r="N72" s="308"/>
      <c r="O72" s="308"/>
      <c r="P72" s="308"/>
      <c r="Q72" s="309"/>
      <c r="R72" s="309"/>
      <c r="S72" s="308"/>
      <c r="T72" s="308"/>
      <c r="U72" s="289"/>
      <c r="V72" s="289"/>
      <c r="W72" s="289"/>
      <c r="X72" s="289"/>
      <c r="Y72" s="308"/>
      <c r="Z72" s="308"/>
      <c r="AA72" s="308"/>
      <c r="AB72" s="289"/>
      <c r="AC72" s="289"/>
      <c r="AD72" s="289"/>
      <c r="AE72" s="289"/>
      <c r="AF72" s="289"/>
      <c r="AG72" s="289"/>
      <c r="AH72" s="289"/>
      <c r="AI72" s="289"/>
      <c r="AJ72" s="289"/>
      <c r="AK72" s="289"/>
      <c r="AL72" s="289"/>
      <c r="AM72" s="289"/>
      <c r="AN72" s="289"/>
      <c r="AO72" s="289"/>
      <c r="AP72" s="289"/>
      <c r="AQ72" s="289"/>
      <c r="AR72" s="289"/>
      <c r="AS72" s="289"/>
      <c r="AT72" s="289"/>
      <c r="AU72" s="289"/>
      <c r="AV72" s="289"/>
      <c r="AW72" s="289"/>
      <c r="AX72" s="289"/>
      <c r="AY72" s="289"/>
      <c r="AZ72" s="289"/>
    </row>
    <row r="73" spans="1:57" s="291" customFormat="1" ht="18" customHeight="1">
      <c r="A73" s="297"/>
      <c r="B73" s="308"/>
      <c r="C73" s="308"/>
      <c r="D73" s="308"/>
      <c r="E73" s="308"/>
      <c r="F73" s="308"/>
      <c r="G73" s="308"/>
      <c r="H73" s="308"/>
      <c r="I73" s="308"/>
      <c r="J73" s="308"/>
      <c r="K73" s="308"/>
      <c r="L73" s="308"/>
      <c r="M73" s="308"/>
      <c r="N73" s="308"/>
      <c r="O73" s="308"/>
      <c r="P73" s="308"/>
      <c r="Q73" s="309"/>
      <c r="R73" s="309"/>
      <c r="S73" s="308"/>
      <c r="T73" s="308"/>
      <c r="U73" s="289"/>
      <c r="V73" s="289"/>
      <c r="W73" s="289"/>
      <c r="X73" s="289"/>
      <c r="Y73" s="308"/>
      <c r="Z73" s="308"/>
      <c r="AA73" s="308"/>
      <c r="AB73" s="289"/>
      <c r="AC73" s="289"/>
      <c r="AD73" s="289"/>
      <c r="AE73" s="289"/>
      <c r="AF73" s="289"/>
      <c r="AG73" s="289"/>
      <c r="AH73" s="289"/>
      <c r="AI73" s="289"/>
      <c r="AJ73" s="289"/>
      <c r="AK73" s="289"/>
      <c r="AL73" s="289"/>
      <c r="AM73" s="289"/>
      <c r="AN73" s="289"/>
      <c r="AO73" s="289"/>
      <c r="AP73" s="289"/>
      <c r="AQ73" s="289"/>
      <c r="AR73" s="289"/>
      <c r="AS73" s="289"/>
      <c r="AT73" s="289"/>
      <c r="AU73" s="289"/>
      <c r="AV73" s="289"/>
      <c r="AW73" s="289"/>
      <c r="AX73" s="289"/>
      <c r="AY73" s="289"/>
      <c r="AZ73" s="289"/>
    </row>
    <row r="74" spans="1:57" s="291" customFormat="1" ht="18" customHeight="1">
      <c r="A74" s="292" t="s">
        <v>453</v>
      </c>
      <c r="B74" s="326" t="s">
        <v>454</v>
      </c>
      <c r="C74" s="287"/>
      <c r="D74" s="287"/>
      <c r="E74" s="287"/>
      <c r="G74" s="287"/>
      <c r="H74" s="295"/>
      <c r="I74" s="287"/>
      <c r="J74" s="287"/>
      <c r="K74" s="287"/>
      <c r="L74" s="287"/>
      <c r="M74" s="287"/>
      <c r="N74" s="287"/>
      <c r="O74" s="287"/>
      <c r="P74" s="287"/>
      <c r="Q74" s="488"/>
      <c r="R74" s="488"/>
      <c r="S74" s="328"/>
      <c r="T74" s="328"/>
      <c r="U74" s="313"/>
      <c r="V74" s="313"/>
      <c r="W74" s="313"/>
      <c r="X74" s="313"/>
      <c r="Y74" s="328"/>
      <c r="Z74" s="328"/>
      <c r="AA74" s="328"/>
      <c r="AB74" s="313"/>
      <c r="AC74" s="313"/>
      <c r="AD74" s="313"/>
      <c r="AE74" s="313"/>
      <c r="AF74" s="313"/>
      <c r="AG74" s="313"/>
      <c r="AH74" s="313"/>
      <c r="AI74" s="313"/>
      <c r="AJ74" s="313"/>
      <c r="AK74" s="313"/>
      <c r="AL74" s="313"/>
      <c r="AM74" s="313"/>
      <c r="AN74" s="313"/>
      <c r="AO74" s="313"/>
      <c r="AP74" s="313"/>
      <c r="AQ74" s="313"/>
      <c r="AR74" s="313"/>
      <c r="AS74" s="313"/>
      <c r="AT74" s="313"/>
      <c r="AU74" s="313"/>
      <c r="AV74" s="313"/>
      <c r="AW74" s="313"/>
      <c r="AX74" s="313"/>
      <c r="AY74" s="313"/>
      <c r="AZ74" s="313"/>
    </row>
    <row r="75" spans="1:57" s="291" customFormat="1" ht="18" customHeight="1">
      <c r="A75" s="292"/>
      <c r="B75" s="326"/>
      <c r="C75" s="287"/>
      <c r="D75" s="287"/>
      <c r="E75" s="287"/>
      <c r="F75" s="287"/>
      <c r="G75" s="287"/>
      <c r="H75" s="287"/>
      <c r="I75" s="287"/>
      <c r="J75" s="287"/>
      <c r="K75" s="287"/>
      <c r="L75" s="287"/>
      <c r="M75" s="287"/>
      <c r="N75" s="287"/>
      <c r="O75" s="287"/>
      <c r="P75" s="287"/>
      <c r="Q75" s="327"/>
      <c r="R75" s="327"/>
      <c r="S75" s="328"/>
      <c r="T75" s="328"/>
      <c r="U75" s="313"/>
      <c r="V75" s="313"/>
      <c r="W75" s="313"/>
      <c r="X75" s="313"/>
      <c r="Y75" s="328"/>
      <c r="Z75" s="328"/>
      <c r="AA75" s="328"/>
      <c r="AB75" s="313"/>
      <c r="AC75" s="313"/>
      <c r="AD75" s="313"/>
      <c r="AE75" s="313"/>
      <c r="AF75" s="313"/>
      <c r="AG75" s="313"/>
      <c r="AH75" s="313"/>
      <c r="AI75" s="313"/>
      <c r="AJ75" s="313"/>
      <c r="AK75" s="313"/>
      <c r="AL75" s="313"/>
      <c r="AM75" s="313"/>
      <c r="AN75" s="313"/>
      <c r="AO75" s="313"/>
      <c r="AP75" s="313"/>
      <c r="AQ75" s="313"/>
      <c r="AR75" s="313"/>
      <c r="AS75" s="313"/>
      <c r="AT75" s="313"/>
      <c r="AU75" s="313"/>
      <c r="AV75" s="313"/>
      <c r="AW75" s="313"/>
      <c r="AX75" s="313"/>
      <c r="AY75" s="313"/>
      <c r="AZ75" s="313"/>
    </row>
    <row r="76" spans="1:57" s="291" customFormat="1" ht="8.25" customHeight="1">
      <c r="A76" s="292"/>
      <c r="B76" s="326"/>
      <c r="C76" s="287"/>
      <c r="D76" s="287"/>
      <c r="E76" s="287"/>
      <c r="F76" s="287"/>
      <c r="G76" s="287"/>
      <c r="H76" s="287"/>
      <c r="I76" s="287"/>
      <c r="J76" s="287"/>
      <c r="K76" s="287"/>
      <c r="L76" s="287"/>
      <c r="M76" s="287"/>
      <c r="N76" s="287"/>
      <c r="O76" s="287"/>
      <c r="P76" s="287"/>
      <c r="Q76" s="327"/>
      <c r="R76" s="327"/>
      <c r="S76" s="328"/>
      <c r="T76" s="328"/>
      <c r="U76" s="313"/>
      <c r="V76" s="313"/>
      <c r="W76" s="313"/>
      <c r="X76" s="313"/>
      <c r="Y76" s="328"/>
      <c r="Z76" s="328"/>
      <c r="AA76" s="328"/>
      <c r="AB76" s="313"/>
      <c r="AC76" s="313"/>
      <c r="AD76" s="313"/>
      <c r="AE76" s="313"/>
      <c r="AF76" s="313"/>
      <c r="AG76" s="313"/>
      <c r="AH76" s="313"/>
      <c r="AI76" s="313"/>
      <c r="AJ76" s="313"/>
      <c r="AK76" s="313"/>
      <c r="AL76" s="313"/>
      <c r="AM76" s="313"/>
      <c r="AN76" s="313"/>
      <c r="AO76" s="313"/>
      <c r="AP76" s="313"/>
      <c r="AQ76" s="313"/>
      <c r="AR76" s="313"/>
      <c r="AS76" s="313"/>
      <c r="AT76" s="313"/>
      <c r="AU76" s="313"/>
      <c r="AV76" s="313"/>
      <c r="AW76" s="313"/>
      <c r="AX76" s="313"/>
      <c r="AY76" s="313"/>
      <c r="AZ76" s="313"/>
    </row>
    <row r="77" spans="1:57" s="291" customFormat="1" ht="18" customHeight="1">
      <c r="A77" s="292" t="s">
        <v>455</v>
      </c>
      <c r="B77" s="295" t="s">
        <v>456</v>
      </c>
      <c r="C77" s="287"/>
      <c r="D77" s="287"/>
      <c r="E77" s="287"/>
      <c r="F77" s="287"/>
      <c r="G77" s="287"/>
      <c r="H77" s="287"/>
      <c r="I77" s="287"/>
      <c r="J77" s="287"/>
      <c r="K77" s="287"/>
      <c r="L77" s="287"/>
      <c r="M77" s="287"/>
      <c r="N77" s="287"/>
      <c r="O77" s="287"/>
      <c r="P77" s="287"/>
      <c r="Q77" s="327"/>
      <c r="R77" s="327"/>
      <c r="S77" s="328"/>
      <c r="T77" s="328"/>
      <c r="U77" s="313"/>
      <c r="V77" s="313"/>
      <c r="W77" s="313"/>
      <c r="X77" s="313"/>
      <c r="Y77" s="328"/>
      <c r="Z77" s="328"/>
      <c r="AA77" s="328"/>
      <c r="AB77" s="313"/>
      <c r="AC77" s="313"/>
      <c r="AD77" s="313"/>
      <c r="AE77" s="313"/>
      <c r="AF77" s="313"/>
      <c r="AG77" s="313"/>
      <c r="AH77" s="313"/>
      <c r="AI77" s="313"/>
      <c r="AJ77" s="313"/>
      <c r="AK77" s="313"/>
      <c r="AL77" s="313"/>
      <c r="AM77" s="313"/>
      <c r="AN77" s="313"/>
      <c r="AO77" s="313"/>
      <c r="AP77" s="313"/>
      <c r="AQ77" s="313"/>
      <c r="AR77" s="313"/>
      <c r="AS77" s="313"/>
      <c r="AT77" s="313"/>
      <c r="AU77" s="313"/>
      <c r="AV77" s="313"/>
      <c r="AW77" s="313"/>
      <c r="AX77" s="313"/>
      <c r="AY77" s="313"/>
      <c r="AZ77" s="313"/>
    </row>
    <row r="78" spans="1:57" s="291" customFormat="1" ht="18" customHeight="1">
      <c r="A78" s="294"/>
      <c r="B78" s="287"/>
      <c r="C78" s="287"/>
      <c r="D78" s="287"/>
      <c r="E78" s="287"/>
      <c r="F78" s="287"/>
      <c r="G78" s="287"/>
      <c r="H78" s="287"/>
      <c r="I78" s="287"/>
      <c r="J78" s="287"/>
      <c r="K78" s="287"/>
      <c r="L78" s="287"/>
      <c r="M78" s="287"/>
      <c r="N78" s="287"/>
      <c r="O78" s="287"/>
      <c r="P78" s="287"/>
      <c r="Q78" s="488"/>
      <c r="R78" s="488"/>
      <c r="S78" s="287"/>
      <c r="T78" s="287"/>
      <c r="U78" s="288"/>
      <c r="V78" s="288"/>
      <c r="W78" s="288"/>
      <c r="X78" s="288"/>
      <c r="Y78" s="287"/>
      <c r="Z78" s="287"/>
      <c r="AA78" s="287"/>
      <c r="AB78" s="288"/>
      <c r="AC78" s="288"/>
      <c r="AD78" s="288"/>
      <c r="AE78" s="288"/>
      <c r="AF78" s="288"/>
      <c r="AG78" s="288"/>
      <c r="AH78" s="288"/>
      <c r="AI78" s="288"/>
      <c r="AJ78" s="288"/>
      <c r="AK78" s="288"/>
      <c r="AL78" s="288"/>
      <c r="AM78" s="288"/>
      <c r="AN78" s="288"/>
      <c r="AO78" s="288"/>
      <c r="AP78" s="288"/>
      <c r="AQ78" s="288"/>
      <c r="AR78" s="288"/>
      <c r="AS78" s="288"/>
      <c r="AT78" s="288"/>
      <c r="AU78" s="288"/>
      <c r="AV78" s="288"/>
      <c r="AW78" s="288"/>
      <c r="AX78" s="288"/>
      <c r="AY78" s="288"/>
      <c r="AZ78" s="288"/>
    </row>
    <row r="79" spans="1:57" s="291" customFormat="1" ht="18" customHeight="1">
      <c r="A79" s="498" t="s">
        <v>18</v>
      </c>
      <c r="B79" s="499" t="s">
        <v>457</v>
      </c>
      <c r="C79" s="295"/>
      <c r="D79" s="295"/>
      <c r="E79" s="287"/>
      <c r="F79" s="287"/>
      <c r="G79" s="287"/>
      <c r="H79" s="287"/>
      <c r="I79" s="287"/>
      <c r="J79" s="287"/>
      <c r="K79" s="287"/>
      <c r="L79" s="287"/>
      <c r="M79" s="287"/>
      <c r="N79" s="287"/>
      <c r="O79" s="287"/>
      <c r="P79" s="287"/>
      <c r="Q79" s="488"/>
      <c r="R79" s="488"/>
      <c r="S79" s="287"/>
      <c r="T79" s="287"/>
      <c r="U79" s="288"/>
      <c r="V79" s="288"/>
      <c r="W79" s="288"/>
      <c r="X79" s="288"/>
      <c r="Y79" s="287"/>
      <c r="Z79" s="287"/>
      <c r="AA79" s="287"/>
      <c r="AB79" s="288"/>
      <c r="AC79" s="288"/>
      <c r="AD79" s="288"/>
      <c r="AE79" s="288"/>
      <c r="AF79" s="288"/>
      <c r="AG79" s="288"/>
      <c r="AH79" s="288"/>
      <c r="AI79" s="288"/>
      <c r="AJ79" s="288"/>
      <c r="AK79" s="288"/>
      <c r="AL79" s="288"/>
      <c r="AM79" s="288"/>
      <c r="AN79" s="288"/>
      <c r="AO79" s="288"/>
      <c r="AP79" s="288"/>
      <c r="AQ79" s="288"/>
      <c r="AR79" s="288"/>
      <c r="AS79" s="288"/>
      <c r="AT79" s="288"/>
      <c r="AU79" s="288"/>
      <c r="AV79" s="500"/>
      <c r="AW79" s="288"/>
      <c r="AX79" s="288"/>
      <c r="AY79" s="288"/>
      <c r="AZ79" s="288"/>
    </row>
    <row r="80" spans="1:57" s="291" customFormat="1" ht="18" customHeight="1">
      <c r="A80" s="294"/>
      <c r="B80" s="1256" t="s">
        <v>2526</v>
      </c>
      <c r="C80" s="1256"/>
      <c r="D80" s="1256"/>
      <c r="E80" s="1256"/>
      <c r="F80" s="1256"/>
      <c r="G80" s="1256"/>
      <c r="H80" s="1256"/>
      <c r="I80" s="1256"/>
      <c r="J80" s="1256"/>
      <c r="K80" s="1256"/>
      <c r="L80" s="1256"/>
      <c r="M80" s="1256"/>
      <c r="N80" s="1256"/>
      <c r="O80" s="1256"/>
      <c r="P80" s="1256"/>
      <c r="Q80" s="1256"/>
      <c r="R80" s="1256"/>
      <c r="S80" s="1256"/>
      <c r="T80" s="1256"/>
      <c r="U80" s="1256"/>
      <c r="V80" s="1256"/>
      <c r="W80" s="1256"/>
      <c r="X80" s="1256"/>
      <c r="Y80" s="1256"/>
      <c r="Z80" s="1256"/>
      <c r="AA80" s="1256"/>
      <c r="AB80" s="1256"/>
      <c r="AC80" s="1256"/>
      <c r="AD80" s="1256"/>
      <c r="AE80" s="1256" t="s">
        <v>458</v>
      </c>
      <c r="AF80" s="1256"/>
      <c r="AG80" s="1256"/>
      <c r="AH80" s="1256"/>
      <c r="AI80" s="1256"/>
      <c r="AJ80" s="1256"/>
      <c r="AK80" s="1256"/>
      <c r="AL80" s="1256"/>
      <c r="AM80" s="288"/>
      <c r="AN80" s="288"/>
      <c r="AO80" s="288"/>
      <c r="AP80" s="288"/>
      <c r="AQ80" s="288"/>
      <c r="AR80" s="288"/>
      <c r="AS80" s="288"/>
      <c r="AT80" s="288"/>
      <c r="AU80" s="288"/>
      <c r="AV80" s="500"/>
      <c r="AW80" s="288"/>
      <c r="AX80" s="288"/>
      <c r="AY80" s="288"/>
      <c r="AZ80" s="288"/>
    </row>
    <row r="81" spans="1:54" s="291" customFormat="1" ht="18" customHeight="1">
      <c r="A81" s="294"/>
      <c r="B81" s="1362" t="s">
        <v>3209</v>
      </c>
      <c r="C81" s="1362"/>
      <c r="D81" s="1362"/>
      <c r="E81" s="1362"/>
      <c r="F81" s="1362"/>
      <c r="G81" s="1362"/>
      <c r="H81" s="1362"/>
      <c r="I81" s="1362"/>
      <c r="J81" s="1362"/>
      <c r="K81" s="1362"/>
      <c r="L81" s="1362"/>
      <c r="M81" s="1362"/>
      <c r="N81" s="1362"/>
      <c r="O81" s="1362"/>
      <c r="P81" s="1362"/>
      <c r="Q81" s="1362"/>
      <c r="R81" s="1362"/>
      <c r="S81" s="1362"/>
      <c r="T81" s="1362"/>
      <c r="U81" s="1362"/>
      <c r="V81" s="1362"/>
      <c r="W81" s="1362"/>
      <c r="X81" s="1362"/>
      <c r="Y81" s="1362"/>
      <c r="Z81" s="1362"/>
      <c r="AA81" s="1362"/>
      <c r="AB81" s="1362"/>
      <c r="AC81" s="1362"/>
      <c r="AD81" s="1362"/>
      <c r="AE81" s="1177"/>
      <c r="AF81" s="1178"/>
      <c r="AG81" s="1178"/>
      <c r="AH81" s="1178"/>
      <c r="AI81" s="1178"/>
      <c r="AJ81" s="1178"/>
      <c r="AK81" s="1178"/>
      <c r="AL81" s="1191"/>
      <c r="AM81" s="288"/>
      <c r="AN81" s="288"/>
      <c r="AO81" s="288"/>
      <c r="AP81" s="288"/>
      <c r="AQ81" s="288"/>
      <c r="AR81" s="288"/>
      <c r="AS81" s="288"/>
      <c r="AT81" s="288"/>
      <c r="AU81" s="288"/>
      <c r="AV81" s="288"/>
      <c r="AW81" s="288"/>
      <c r="AX81" s="288"/>
      <c r="AY81" s="288"/>
      <c r="AZ81" s="288"/>
    </row>
    <row r="82" spans="1:54" s="291" customFormat="1" ht="18" customHeight="1">
      <c r="A82" s="294"/>
      <c r="B82" s="1322" t="s">
        <v>2527</v>
      </c>
      <c r="C82" s="1322"/>
      <c r="D82" s="1322"/>
      <c r="E82" s="1322"/>
      <c r="F82" s="1322"/>
      <c r="G82" s="1322"/>
      <c r="H82" s="1322"/>
      <c r="I82" s="1322"/>
      <c r="J82" s="1322"/>
      <c r="K82" s="1322"/>
      <c r="L82" s="1322"/>
      <c r="M82" s="1322"/>
      <c r="N82" s="1322"/>
      <c r="O82" s="1322"/>
      <c r="P82" s="1322"/>
      <c r="Q82" s="1322"/>
      <c r="R82" s="1322"/>
      <c r="S82" s="1322"/>
      <c r="T82" s="1322"/>
      <c r="U82" s="1322"/>
      <c r="V82" s="1322"/>
      <c r="W82" s="1322"/>
      <c r="X82" s="1322"/>
      <c r="Y82" s="1322"/>
      <c r="Z82" s="1322"/>
      <c r="AA82" s="1322"/>
      <c r="AB82" s="1322"/>
      <c r="AC82" s="1322"/>
      <c r="AD82" s="1322"/>
      <c r="AE82" s="1394">
        <f>'Población Y RR.SS'!D25</f>
        <v>0</v>
      </c>
      <c r="AF82" s="1394"/>
      <c r="AG82" s="1394"/>
      <c r="AH82" s="1394"/>
      <c r="AI82" s="1394"/>
      <c r="AJ82" s="1394"/>
      <c r="AK82" s="1394"/>
      <c r="AL82" s="1394"/>
      <c r="AM82" s="288"/>
      <c r="AN82" s="288"/>
      <c r="AO82" s="288"/>
      <c r="AP82" s="288"/>
      <c r="AQ82" s="288"/>
      <c r="AR82" s="288"/>
      <c r="AS82" s="288"/>
      <c r="AT82" s="288"/>
      <c r="AU82" s="288"/>
      <c r="AV82" s="288"/>
      <c r="AW82" s="288"/>
      <c r="AX82" s="288"/>
      <c r="AY82" s="288"/>
      <c r="AZ82" s="288"/>
      <c r="BA82" s="288"/>
      <c r="BB82" s="288"/>
    </row>
    <row r="83" spans="1:54" s="291" customFormat="1" ht="18" customHeight="1">
      <c r="A83" s="294"/>
      <c r="B83" s="1322" t="s">
        <v>2528</v>
      </c>
      <c r="C83" s="1322"/>
      <c r="D83" s="1322"/>
      <c r="E83" s="1322"/>
      <c r="F83" s="1322"/>
      <c r="G83" s="1322"/>
      <c r="H83" s="1322"/>
      <c r="I83" s="1322"/>
      <c r="J83" s="1322"/>
      <c r="K83" s="1322"/>
      <c r="L83" s="1322"/>
      <c r="M83" s="1322"/>
      <c r="N83" s="1322"/>
      <c r="O83" s="1322"/>
      <c r="P83" s="1322"/>
      <c r="Q83" s="1322"/>
      <c r="R83" s="1322"/>
      <c r="S83" s="1322"/>
      <c r="T83" s="1322"/>
      <c r="U83" s="1322"/>
      <c r="V83" s="1322"/>
      <c r="W83" s="1322"/>
      <c r="X83" s="1322"/>
      <c r="Y83" s="1322"/>
      <c r="Z83" s="1322"/>
      <c r="AA83" s="1322"/>
      <c r="AB83" s="1322"/>
      <c r="AC83" s="1322"/>
      <c r="AD83" s="1322"/>
      <c r="AE83" s="1394">
        <f>DATOS!Q16</f>
        <v>0</v>
      </c>
      <c r="AF83" s="1394"/>
      <c r="AG83" s="1394"/>
      <c r="AH83" s="1394"/>
      <c r="AI83" s="1394"/>
      <c r="AJ83" s="1394"/>
      <c r="AK83" s="1394"/>
      <c r="AL83" s="1394"/>
      <c r="AM83" s="288"/>
      <c r="AN83" s="288"/>
      <c r="AO83" s="288"/>
      <c r="AP83" s="288"/>
      <c r="AQ83" s="288"/>
      <c r="AR83" s="288"/>
      <c r="AS83" s="288"/>
      <c r="AT83" s="288"/>
      <c r="AU83" s="288"/>
      <c r="AV83" s="288"/>
      <c r="AW83" s="288"/>
      <c r="AX83" s="288"/>
      <c r="AY83" s="288"/>
      <c r="AZ83" s="288"/>
      <c r="BA83" s="288"/>
      <c r="BB83" s="288"/>
    </row>
    <row r="84" spans="1:54" s="291" customFormat="1" ht="18" customHeight="1">
      <c r="A84" s="294"/>
      <c r="B84" s="1322" t="s">
        <v>2529</v>
      </c>
      <c r="C84" s="1322"/>
      <c r="D84" s="1322"/>
      <c r="E84" s="1322"/>
      <c r="F84" s="1322"/>
      <c r="G84" s="1322"/>
      <c r="H84" s="1322"/>
      <c r="I84" s="1322"/>
      <c r="J84" s="1322"/>
      <c r="K84" s="1322"/>
      <c r="L84" s="1322"/>
      <c r="M84" s="1322"/>
      <c r="N84" s="1322"/>
      <c r="O84" s="1322"/>
      <c r="P84" s="1322"/>
      <c r="Q84" s="1322"/>
      <c r="R84" s="1322"/>
      <c r="S84" s="1322"/>
      <c r="T84" s="1322"/>
      <c r="U84" s="1322"/>
      <c r="V84" s="1322"/>
      <c r="W84" s="1322"/>
      <c r="X84" s="1322"/>
      <c r="Y84" s="1322"/>
      <c r="Z84" s="1322"/>
      <c r="AA84" s="1322"/>
      <c r="AB84" s="1322"/>
      <c r="AC84" s="1322"/>
      <c r="AD84" s="1322"/>
      <c r="AE84" s="1395" t="str">
        <f>DATOS!Q17</f>
        <v/>
      </c>
      <c r="AF84" s="1395"/>
      <c r="AG84" s="1395"/>
      <c r="AH84" s="1395"/>
      <c r="AI84" s="1395"/>
      <c r="AJ84" s="1395"/>
      <c r="AK84" s="1395"/>
      <c r="AL84" s="1395"/>
      <c r="AM84" s="288"/>
      <c r="AN84" s="288"/>
      <c r="AO84" s="288"/>
      <c r="AP84" s="288"/>
      <c r="AQ84" s="288"/>
      <c r="AR84" s="288"/>
      <c r="AS84" s="288"/>
      <c r="AT84" s="288"/>
      <c r="AU84" s="288"/>
      <c r="AV84" s="288"/>
      <c r="AW84" s="288"/>
      <c r="AX84" s="288"/>
      <c r="AY84" s="288"/>
      <c r="AZ84" s="288"/>
      <c r="BA84" s="288"/>
      <c r="BB84" s="288"/>
    </row>
    <row r="85" spans="1:54" s="291" customFormat="1" ht="18" customHeight="1">
      <c r="A85" s="294"/>
      <c r="B85" s="1322" t="s">
        <v>2530</v>
      </c>
      <c r="C85" s="1322"/>
      <c r="D85" s="1322"/>
      <c r="E85" s="1322"/>
      <c r="F85" s="1322"/>
      <c r="G85" s="1322"/>
      <c r="H85" s="1322"/>
      <c r="I85" s="1322"/>
      <c r="J85" s="1322"/>
      <c r="K85" s="1322"/>
      <c r="L85" s="1322"/>
      <c r="M85" s="1322"/>
      <c r="N85" s="1322"/>
      <c r="O85" s="1322"/>
      <c r="P85" s="1322"/>
      <c r="Q85" s="1322"/>
      <c r="R85" s="1322"/>
      <c r="S85" s="1322"/>
      <c r="T85" s="1322"/>
      <c r="U85" s="1322"/>
      <c r="V85" s="1322"/>
      <c r="W85" s="1322"/>
      <c r="X85" s="1322"/>
      <c r="Y85" s="1322"/>
      <c r="Z85" s="1322"/>
      <c r="AA85" s="1322"/>
      <c r="AB85" s="1322"/>
      <c r="AC85" s="1322"/>
      <c r="AD85" s="1322"/>
      <c r="AE85" s="1396">
        <f>DATOS!Q18</f>
        <v>0</v>
      </c>
      <c r="AF85" s="1257"/>
      <c r="AG85" s="1257"/>
      <c r="AH85" s="1257"/>
      <c r="AI85" s="1257"/>
      <c r="AJ85" s="1257"/>
      <c r="AK85" s="1257"/>
      <c r="AL85" s="1257"/>
      <c r="AM85" s="288"/>
      <c r="AN85" s="288"/>
      <c r="AO85" s="288"/>
      <c r="AP85" s="288"/>
      <c r="AQ85" s="288"/>
      <c r="AR85" s="288"/>
      <c r="AS85" s="288"/>
      <c r="AT85" s="288"/>
      <c r="AU85" s="288"/>
      <c r="AV85" s="288"/>
      <c r="AW85" s="288"/>
      <c r="AX85" s="288"/>
      <c r="AY85" s="288"/>
      <c r="AZ85" s="288"/>
      <c r="BA85" s="288"/>
      <c r="BB85" s="288"/>
    </row>
    <row r="86" spans="1:54" s="291" customFormat="1" ht="18" customHeight="1">
      <c r="A86" s="294"/>
      <c r="B86" s="1362" t="s">
        <v>2991</v>
      </c>
      <c r="C86" s="1362"/>
      <c r="D86" s="1362"/>
      <c r="E86" s="1362"/>
      <c r="F86" s="1362"/>
      <c r="G86" s="1362"/>
      <c r="H86" s="1362"/>
      <c r="I86" s="1362"/>
      <c r="J86" s="1362"/>
      <c r="K86" s="1362"/>
      <c r="L86" s="1362"/>
      <c r="M86" s="1362"/>
      <c r="N86" s="1362"/>
      <c r="O86" s="1362"/>
      <c r="P86" s="1362"/>
      <c r="Q86" s="1362"/>
      <c r="R86" s="1362"/>
      <c r="S86" s="1362"/>
      <c r="T86" s="1362"/>
      <c r="U86" s="1362"/>
      <c r="V86" s="1362"/>
      <c r="W86" s="1362"/>
      <c r="X86" s="1362"/>
      <c r="Y86" s="1362"/>
      <c r="Z86" s="1362"/>
      <c r="AA86" s="1362"/>
      <c r="AB86" s="1362"/>
      <c r="AC86" s="1362"/>
      <c r="AD86" s="1362"/>
      <c r="AE86" s="1397"/>
      <c r="AF86" s="1398"/>
      <c r="AG86" s="1398"/>
      <c r="AH86" s="1398"/>
      <c r="AI86" s="1398"/>
      <c r="AJ86" s="1398"/>
      <c r="AK86" s="1398"/>
      <c r="AL86" s="1399"/>
      <c r="AM86" s="288"/>
      <c r="AN86" s="288"/>
      <c r="AO86" s="288"/>
      <c r="AP86" s="288"/>
      <c r="AQ86" s="288"/>
      <c r="AR86" s="288"/>
      <c r="AS86" s="288"/>
      <c r="AT86" s="288"/>
      <c r="AU86" s="288"/>
      <c r="AV86" s="288"/>
      <c r="AW86" s="288"/>
      <c r="AX86" s="288"/>
      <c r="AY86" s="288"/>
      <c r="AZ86" s="288"/>
      <c r="BA86" s="288"/>
      <c r="BB86" s="288"/>
    </row>
    <row r="87" spans="1:54" s="291" customFormat="1" ht="18" customHeight="1">
      <c r="A87" s="297"/>
      <c r="B87" s="1322" t="s">
        <v>2531</v>
      </c>
      <c r="C87" s="1322"/>
      <c r="D87" s="1322"/>
      <c r="E87" s="1322"/>
      <c r="F87" s="1322"/>
      <c r="G87" s="1322"/>
      <c r="H87" s="1322"/>
      <c r="I87" s="1322"/>
      <c r="J87" s="1322"/>
      <c r="K87" s="1322"/>
      <c r="L87" s="1322"/>
      <c r="M87" s="1322"/>
      <c r="N87" s="1322"/>
      <c r="O87" s="1322"/>
      <c r="P87" s="1322"/>
      <c r="Q87" s="1322"/>
      <c r="R87" s="1322"/>
      <c r="S87" s="1322"/>
      <c r="T87" s="1322"/>
      <c r="U87" s="1322"/>
      <c r="V87" s="1322"/>
      <c r="W87" s="1322"/>
      <c r="X87" s="1322"/>
      <c r="Y87" s="1322"/>
      <c r="Z87" s="1322"/>
      <c r="AA87" s="1322"/>
      <c r="AB87" s="1322"/>
      <c r="AC87" s="1322"/>
      <c r="AD87" s="1322"/>
      <c r="AE87" s="1400">
        <f>DATOS!AQ14</f>
        <v>0</v>
      </c>
      <c r="AF87" s="1400"/>
      <c r="AG87" s="1400"/>
      <c r="AH87" s="1400"/>
      <c r="AI87" s="1400"/>
      <c r="AJ87" s="1400"/>
      <c r="AK87" s="1400"/>
      <c r="AL87" s="1400"/>
      <c r="AM87" s="289"/>
      <c r="AN87" s="289"/>
      <c r="AO87" s="288"/>
      <c r="AP87" s="288"/>
      <c r="AQ87" s="288"/>
      <c r="AR87" s="288"/>
      <c r="AS87" s="288"/>
      <c r="AT87" s="288"/>
      <c r="AU87" s="288"/>
      <c r="AV87" s="288"/>
      <c r="AW87" s="288"/>
      <c r="AX87" s="288"/>
      <c r="AY87" s="288"/>
      <c r="AZ87" s="288"/>
      <c r="BA87" s="288"/>
      <c r="BB87" s="288"/>
    </row>
    <row r="88" spans="1:54" s="291" customFormat="1" ht="18" customHeight="1">
      <c r="A88" s="297"/>
      <c r="B88" s="1390" t="s">
        <v>459</v>
      </c>
      <c r="C88" s="1390"/>
      <c r="D88" s="1390"/>
      <c r="E88" s="1390"/>
      <c r="F88" s="1390"/>
      <c r="G88" s="1390"/>
      <c r="H88" s="1390"/>
      <c r="I88" s="1390"/>
      <c r="J88" s="1390"/>
      <c r="K88" s="1390"/>
      <c r="L88" s="1390"/>
      <c r="M88" s="1390"/>
      <c r="N88" s="1390"/>
      <c r="O88" s="1390"/>
      <c r="P88" s="1390"/>
      <c r="Q88" s="1390"/>
      <c r="R88" s="1390"/>
      <c r="S88" s="1390"/>
      <c r="T88" s="1390"/>
      <c r="U88" s="1390"/>
      <c r="V88" s="1390"/>
      <c r="W88" s="1390"/>
      <c r="X88" s="1390"/>
      <c r="Y88" s="1390"/>
      <c r="Z88" s="1390"/>
      <c r="AA88" s="1390"/>
      <c r="AB88" s="1390"/>
      <c r="AC88" s="1390"/>
      <c r="AD88" s="1390"/>
      <c r="AE88" s="1391"/>
      <c r="AF88" s="1392"/>
      <c r="AG88" s="1392"/>
      <c r="AH88" s="1392"/>
      <c r="AI88" s="1392"/>
      <c r="AJ88" s="1392"/>
      <c r="AK88" s="1392"/>
      <c r="AL88" s="1393"/>
      <c r="AM88" s="289"/>
      <c r="AN88" s="289"/>
      <c r="AO88" s="289"/>
      <c r="AP88" s="289"/>
      <c r="AQ88" s="289"/>
      <c r="AR88" s="289"/>
      <c r="AS88" s="289"/>
      <c r="AT88" s="289"/>
      <c r="AU88" s="289"/>
      <c r="AV88" s="289"/>
      <c r="AW88" s="289"/>
      <c r="AX88" s="289"/>
      <c r="AY88" s="289"/>
      <c r="AZ88" s="289"/>
    </row>
    <row r="89" spans="1:54" s="291" customFormat="1" ht="18" customHeight="1">
      <c r="A89" s="297"/>
      <c r="B89" s="1322" t="s">
        <v>2532</v>
      </c>
      <c r="C89" s="1322"/>
      <c r="D89" s="1322"/>
      <c r="E89" s="1322"/>
      <c r="F89" s="1322"/>
      <c r="G89" s="1322"/>
      <c r="H89" s="1322"/>
      <c r="I89" s="1322"/>
      <c r="J89" s="1322"/>
      <c r="K89" s="1322"/>
      <c r="L89" s="1322"/>
      <c r="M89" s="1322"/>
      <c r="N89" s="1322" t="s">
        <v>2537</v>
      </c>
      <c r="O89" s="1322"/>
      <c r="P89" s="1322"/>
      <c r="Q89" s="1322"/>
      <c r="R89" s="1322"/>
      <c r="S89" s="1322"/>
      <c r="T89" s="1322"/>
      <c r="U89" s="1322"/>
      <c r="V89" s="1322"/>
      <c r="W89" s="1322"/>
      <c r="X89" s="1322"/>
      <c r="Y89" s="1322"/>
      <c r="Z89" s="1322"/>
      <c r="AA89" s="1322"/>
      <c r="AB89" s="1322"/>
      <c r="AC89" s="1322"/>
      <c r="AD89" s="1322"/>
      <c r="AE89" s="1400">
        <f>DATOS!AQ16</f>
        <v>0</v>
      </c>
      <c r="AF89" s="1400"/>
      <c r="AG89" s="1400"/>
      <c r="AH89" s="1400"/>
      <c r="AI89" s="1400"/>
      <c r="AJ89" s="1400"/>
      <c r="AK89" s="1400"/>
      <c r="AL89" s="1400"/>
      <c r="AM89" s="289"/>
      <c r="AN89" s="289"/>
      <c r="AO89" s="289"/>
      <c r="AP89" s="289"/>
      <c r="AQ89" s="289"/>
      <c r="AR89" s="289"/>
      <c r="AS89" s="289"/>
      <c r="AT89" s="289"/>
      <c r="AU89" s="289"/>
      <c r="AV89" s="289"/>
      <c r="AW89" s="289"/>
      <c r="AX89" s="289"/>
      <c r="AY89" s="289"/>
      <c r="AZ89" s="289"/>
    </row>
    <row r="90" spans="1:54" s="291" customFormat="1" ht="18" customHeight="1">
      <c r="A90" s="297"/>
      <c r="B90" s="1322" t="s">
        <v>2533</v>
      </c>
      <c r="C90" s="1322"/>
      <c r="D90" s="1322"/>
      <c r="E90" s="1322"/>
      <c r="F90" s="1322"/>
      <c r="G90" s="1322"/>
      <c r="H90" s="1322"/>
      <c r="I90" s="1322"/>
      <c r="J90" s="1322"/>
      <c r="K90" s="1322"/>
      <c r="L90" s="1322"/>
      <c r="M90" s="1322"/>
      <c r="N90" s="1322" t="s">
        <v>2534</v>
      </c>
      <c r="O90" s="1322"/>
      <c r="P90" s="1322"/>
      <c r="Q90" s="1322"/>
      <c r="R90" s="1322"/>
      <c r="S90" s="1322"/>
      <c r="T90" s="1322"/>
      <c r="U90" s="1322"/>
      <c r="V90" s="1322"/>
      <c r="W90" s="1322"/>
      <c r="X90" s="1322"/>
      <c r="Y90" s="1322"/>
      <c r="Z90" s="1322"/>
      <c r="AA90" s="1322"/>
      <c r="AB90" s="1322"/>
      <c r="AC90" s="1322"/>
      <c r="AD90" s="1322"/>
      <c r="AE90" s="1400">
        <f>DATOS!AQ17</f>
        <v>0</v>
      </c>
      <c r="AF90" s="1400"/>
      <c r="AG90" s="1400"/>
      <c r="AH90" s="1400"/>
      <c r="AI90" s="1400"/>
      <c r="AJ90" s="1400"/>
      <c r="AK90" s="1400"/>
      <c r="AL90" s="1400"/>
      <c r="AM90" s="289"/>
      <c r="AN90" s="289"/>
      <c r="AO90" s="289"/>
      <c r="AP90" s="289"/>
      <c r="AQ90" s="289"/>
      <c r="AR90" s="289"/>
      <c r="AS90" s="289"/>
      <c r="AT90" s="289"/>
      <c r="AU90" s="289"/>
      <c r="AV90" s="289"/>
      <c r="AW90" s="289"/>
      <c r="AX90" s="289"/>
      <c r="AY90" s="289"/>
      <c r="AZ90" s="289"/>
    </row>
    <row r="91" spans="1:54" s="291" customFormat="1" ht="18" customHeight="1">
      <c r="A91" s="297"/>
      <c r="B91" s="1322"/>
      <c r="C91" s="1322"/>
      <c r="D91" s="1322"/>
      <c r="E91" s="1322"/>
      <c r="F91" s="1322"/>
      <c r="G91" s="1322"/>
      <c r="H91" s="1322"/>
      <c r="I91" s="1322"/>
      <c r="J91" s="1322"/>
      <c r="K91" s="1322"/>
      <c r="L91" s="1322"/>
      <c r="M91" s="1322"/>
      <c r="N91" s="1322" t="s">
        <v>2535</v>
      </c>
      <c r="O91" s="1322"/>
      <c r="P91" s="1322"/>
      <c r="Q91" s="1322"/>
      <c r="R91" s="1322"/>
      <c r="S91" s="1322"/>
      <c r="T91" s="1322"/>
      <c r="U91" s="1322"/>
      <c r="V91" s="1322"/>
      <c r="W91" s="1322"/>
      <c r="X91" s="1322"/>
      <c r="Y91" s="1322"/>
      <c r="Z91" s="1322"/>
      <c r="AA91" s="1322"/>
      <c r="AB91" s="1322"/>
      <c r="AC91" s="1322"/>
      <c r="AD91" s="1322"/>
      <c r="AE91" s="1400">
        <f>DATOS!AQ18</f>
        <v>0</v>
      </c>
      <c r="AF91" s="1400"/>
      <c r="AG91" s="1400"/>
      <c r="AH91" s="1400"/>
      <c r="AI91" s="1400"/>
      <c r="AJ91" s="1400"/>
      <c r="AK91" s="1400"/>
      <c r="AL91" s="1400"/>
      <c r="AM91" s="289"/>
      <c r="AN91" s="289"/>
      <c r="AO91" s="289"/>
      <c r="AP91" s="289"/>
      <c r="AQ91" s="289"/>
      <c r="AR91" s="289"/>
      <c r="AS91" s="289"/>
      <c r="AT91" s="289"/>
      <c r="AU91" s="289"/>
      <c r="AV91" s="289"/>
      <c r="AW91" s="289"/>
      <c r="AX91" s="289"/>
      <c r="AY91" s="289"/>
      <c r="AZ91" s="289"/>
    </row>
    <row r="92" spans="1:54" s="291" customFormat="1" ht="18" customHeight="1">
      <c r="A92" s="297"/>
      <c r="B92" s="1322" t="s">
        <v>2536</v>
      </c>
      <c r="C92" s="1322"/>
      <c r="D92" s="1322"/>
      <c r="E92" s="1322"/>
      <c r="F92" s="1322"/>
      <c r="G92" s="1322"/>
      <c r="H92" s="1322"/>
      <c r="I92" s="1322"/>
      <c r="J92" s="1322"/>
      <c r="K92" s="1322"/>
      <c r="L92" s="1322"/>
      <c r="M92" s="1322"/>
      <c r="N92" s="1322"/>
      <c r="O92" s="1322"/>
      <c r="P92" s="1322"/>
      <c r="Q92" s="1322"/>
      <c r="R92" s="1322"/>
      <c r="S92" s="1322"/>
      <c r="T92" s="1322"/>
      <c r="U92" s="1322"/>
      <c r="V92" s="1322"/>
      <c r="W92" s="1322"/>
      <c r="X92" s="1322"/>
      <c r="Y92" s="1322"/>
      <c r="Z92" s="1322"/>
      <c r="AA92" s="1322"/>
      <c r="AB92" s="1322"/>
      <c r="AC92" s="1322"/>
      <c r="AD92" s="1322"/>
      <c r="AE92" s="1400">
        <f>DATOS!AQ19</f>
        <v>0</v>
      </c>
      <c r="AF92" s="1400"/>
      <c r="AG92" s="1400"/>
      <c r="AH92" s="1400"/>
      <c r="AI92" s="1400"/>
      <c r="AJ92" s="1400"/>
      <c r="AK92" s="1400"/>
      <c r="AL92" s="1400"/>
      <c r="AM92" s="289"/>
      <c r="AN92" s="289"/>
      <c r="AO92" s="289"/>
      <c r="AP92" s="289"/>
      <c r="AQ92" s="289"/>
      <c r="AR92" s="289"/>
      <c r="AS92" s="289"/>
      <c r="AT92" s="289"/>
      <c r="AU92" s="289"/>
      <c r="AV92" s="289"/>
      <c r="AW92" s="289"/>
      <c r="AX92" s="289"/>
      <c r="AY92" s="289"/>
      <c r="AZ92" s="289"/>
    </row>
    <row r="93" spans="1:54" s="291" customFormat="1" ht="18" customHeight="1">
      <c r="A93" s="294"/>
      <c r="B93" s="287"/>
      <c r="C93" s="288"/>
      <c r="D93" s="288"/>
      <c r="E93" s="288"/>
      <c r="F93" s="288"/>
      <c r="G93" s="288"/>
      <c r="H93" s="288"/>
      <c r="I93" s="288"/>
      <c r="J93" s="288"/>
      <c r="K93" s="287"/>
      <c r="L93" s="287"/>
      <c r="M93" s="287"/>
      <c r="N93" s="287"/>
      <c r="O93" s="287"/>
      <c r="P93" s="287"/>
      <c r="Q93" s="488"/>
      <c r="R93" s="488"/>
      <c r="S93" s="287"/>
      <c r="T93" s="287"/>
      <c r="U93" s="288"/>
      <c r="V93" s="288"/>
      <c r="W93" s="288"/>
      <c r="X93" s="288"/>
      <c r="Y93" s="287"/>
      <c r="Z93" s="287"/>
      <c r="AA93" s="287"/>
      <c r="AB93" s="288"/>
      <c r="AC93" s="288"/>
      <c r="AD93" s="288"/>
      <c r="AE93" s="288"/>
      <c r="AF93" s="288"/>
      <c r="AG93" s="288"/>
      <c r="AH93" s="288"/>
      <c r="AI93" s="288"/>
      <c r="AJ93" s="288"/>
      <c r="AK93" s="288"/>
      <c r="AL93" s="288"/>
      <c r="AM93" s="289"/>
      <c r="AN93" s="289"/>
      <c r="AO93" s="289"/>
      <c r="AP93" s="289"/>
      <c r="AQ93" s="289"/>
      <c r="AR93" s="289"/>
      <c r="AS93" s="289"/>
      <c r="AT93" s="289"/>
      <c r="AU93" s="289"/>
      <c r="AV93" s="289"/>
      <c r="AW93" s="289"/>
      <c r="AX93" s="289"/>
      <c r="AY93" s="289"/>
      <c r="AZ93" s="289"/>
    </row>
    <row r="94" spans="1:54" s="291" customFormat="1" ht="18" customHeight="1">
      <c r="A94" s="292" t="s">
        <v>30</v>
      </c>
      <c r="B94" s="295" t="s">
        <v>2538</v>
      </c>
      <c r="C94" s="295"/>
      <c r="D94" s="295"/>
      <c r="E94" s="287"/>
      <c r="F94" s="287"/>
      <c r="G94" s="287"/>
      <c r="H94" s="287"/>
      <c r="I94" s="287"/>
      <c r="J94" s="287"/>
      <c r="K94" s="287"/>
      <c r="L94" s="287"/>
      <c r="M94" s="287"/>
      <c r="N94" s="287"/>
      <c r="O94" s="287"/>
      <c r="P94" s="287"/>
      <c r="Q94" s="1158"/>
      <c r="R94" s="1158"/>
      <c r="S94" s="287"/>
      <c r="T94" s="287"/>
      <c r="U94" s="288"/>
      <c r="V94" s="288"/>
      <c r="W94" s="288"/>
      <c r="X94" s="288"/>
      <c r="Y94" s="287"/>
      <c r="Z94" s="287"/>
      <c r="AA94" s="287"/>
      <c r="AB94" s="288"/>
      <c r="AC94" s="288"/>
      <c r="AD94" s="288"/>
      <c r="AE94" s="288"/>
      <c r="AF94" s="288"/>
      <c r="AG94" s="288"/>
      <c r="AH94" s="288"/>
      <c r="AI94" s="288"/>
      <c r="AJ94" s="288"/>
      <c r="AK94" s="288"/>
      <c r="AL94" s="288"/>
      <c r="AM94" s="289"/>
      <c r="AN94" s="289"/>
      <c r="AO94" s="289"/>
      <c r="AP94" s="289"/>
      <c r="AQ94" s="289"/>
      <c r="AR94" s="289"/>
      <c r="AS94" s="289"/>
      <c r="AT94" s="289"/>
      <c r="AU94" s="289"/>
      <c r="AV94" s="289"/>
      <c r="AW94" s="289"/>
      <c r="AX94" s="289"/>
      <c r="AY94" s="289"/>
      <c r="AZ94" s="289"/>
    </row>
    <row r="95" spans="1:54" s="291" customFormat="1" ht="18" customHeight="1">
      <c r="A95" s="294"/>
      <c r="B95" s="295"/>
      <c r="C95" s="295"/>
      <c r="D95" s="295"/>
      <c r="E95" s="295"/>
      <c r="F95" s="295"/>
      <c r="G95" s="295"/>
      <c r="H95" s="295"/>
      <c r="I95" s="288"/>
      <c r="J95" s="288"/>
      <c r="K95" s="287"/>
      <c r="L95" s="287"/>
      <c r="M95" s="287"/>
      <c r="N95" s="287"/>
      <c r="O95" s="287"/>
      <c r="P95" s="287"/>
      <c r="Q95" s="1158"/>
      <c r="R95" s="1158"/>
      <c r="S95" s="287"/>
      <c r="T95" s="287"/>
      <c r="U95" s="288"/>
      <c r="V95" s="288"/>
      <c r="W95" s="288"/>
      <c r="X95" s="288"/>
      <c r="Y95" s="287"/>
      <c r="Z95" s="287"/>
      <c r="AA95" s="287"/>
      <c r="AB95" s="288"/>
      <c r="AC95" s="288"/>
      <c r="AD95" s="288"/>
      <c r="AE95" s="288"/>
      <c r="AF95" s="288"/>
      <c r="AG95" s="288"/>
      <c r="AH95" s="288"/>
      <c r="AI95" s="288"/>
      <c r="AJ95" s="288"/>
      <c r="AK95" s="288"/>
      <c r="AL95" s="288"/>
      <c r="AM95" s="289"/>
      <c r="AN95" s="289"/>
      <c r="AO95" s="289"/>
      <c r="AP95" s="289"/>
      <c r="AQ95" s="289"/>
      <c r="AR95" s="289"/>
      <c r="AS95" s="289"/>
      <c r="AT95" s="289"/>
      <c r="AU95" s="289"/>
      <c r="AV95" s="289"/>
      <c r="AW95" s="289"/>
      <c r="AX95" s="289"/>
      <c r="AY95" s="289"/>
      <c r="AZ95" s="289"/>
    </row>
    <row r="96" spans="1:54" s="291" customFormat="1" ht="18" customHeight="1">
      <c r="A96" s="294"/>
      <c r="B96" s="1221" t="s">
        <v>400</v>
      </c>
      <c r="C96" s="1221"/>
      <c r="D96" s="1221"/>
      <c r="E96" s="1221"/>
      <c r="F96" s="1221"/>
      <c r="G96" s="1221"/>
      <c r="H96" s="1221"/>
      <c r="I96" s="1221"/>
      <c r="J96" s="1221"/>
      <c r="K96" s="1221"/>
      <c r="L96" s="1221"/>
      <c r="M96" s="1221"/>
      <c r="N96" s="1221"/>
      <c r="O96" s="1221"/>
      <c r="P96" s="1221"/>
      <c r="Q96" s="1221"/>
      <c r="R96" s="1221"/>
      <c r="S96" s="1221"/>
      <c r="T96" s="1221"/>
      <c r="U96" s="1221"/>
      <c r="V96" s="1221"/>
      <c r="W96" s="1221"/>
      <c r="X96" s="1221"/>
      <c r="Y96" s="1221"/>
      <c r="Z96" s="1221"/>
      <c r="AA96" s="1221"/>
      <c r="AB96" s="1221"/>
      <c r="AC96" s="1221"/>
      <c r="AD96" s="1221"/>
      <c r="AE96" s="1256" t="s">
        <v>458</v>
      </c>
      <c r="AF96" s="1256"/>
      <c r="AG96" s="1256"/>
      <c r="AH96" s="1256"/>
      <c r="AI96" s="1256"/>
      <c r="AJ96" s="1256"/>
      <c r="AK96" s="1256"/>
      <c r="AL96" s="1256"/>
      <c r="AM96" s="289"/>
      <c r="AN96" s="289"/>
      <c r="AO96" s="289"/>
      <c r="AP96" s="289"/>
      <c r="AQ96" s="289"/>
      <c r="AR96" s="289"/>
      <c r="AS96" s="289"/>
      <c r="AT96" s="289"/>
      <c r="AU96" s="289"/>
      <c r="AV96" s="289"/>
      <c r="AW96" s="289"/>
      <c r="AX96" s="289"/>
      <c r="AY96" s="289"/>
      <c r="AZ96" s="289"/>
    </row>
    <row r="97" spans="1:52" s="291" customFormat="1" ht="18" customHeight="1">
      <c r="A97" s="294"/>
      <c r="B97" s="1402" t="s">
        <v>2507</v>
      </c>
      <c r="C97" s="1403"/>
      <c r="D97" s="1403"/>
      <c r="E97" s="1403"/>
      <c r="F97" s="1403"/>
      <c r="G97" s="1403"/>
      <c r="H97" s="1403"/>
      <c r="I97" s="1403"/>
      <c r="J97" s="1403"/>
      <c r="K97" s="1403"/>
      <c r="L97" s="1403"/>
      <c r="M97" s="1403"/>
      <c r="N97" s="1403"/>
      <c r="O97" s="1403"/>
      <c r="P97" s="1403"/>
      <c r="Q97" s="1403"/>
      <c r="R97" s="1403"/>
      <c r="S97" s="1403"/>
      <c r="T97" s="1403"/>
      <c r="U97" s="1403"/>
      <c r="V97" s="1403"/>
      <c r="W97" s="1403"/>
      <c r="X97" s="1403"/>
      <c r="Y97" s="1403"/>
      <c r="Z97" s="1403"/>
      <c r="AA97" s="1403"/>
      <c r="AB97" s="1403"/>
      <c r="AC97" s="1403"/>
      <c r="AD97" s="1403"/>
      <c r="AE97" s="1208"/>
      <c r="AF97" s="1208"/>
      <c r="AG97" s="1208"/>
      <c r="AH97" s="1208"/>
      <c r="AI97" s="1208"/>
      <c r="AJ97" s="1208"/>
      <c r="AK97" s="1208"/>
      <c r="AL97" s="1208"/>
      <c r="AM97" s="289"/>
      <c r="AN97" s="289"/>
      <c r="AO97" s="289"/>
      <c r="AP97" s="289"/>
      <c r="AQ97" s="289"/>
      <c r="AR97" s="289"/>
      <c r="AS97" s="289"/>
      <c r="AT97" s="289"/>
      <c r="AU97" s="289"/>
      <c r="AV97" s="289"/>
      <c r="AW97" s="289"/>
      <c r="AX97" s="289"/>
      <c r="AY97" s="289"/>
      <c r="AZ97" s="289"/>
    </row>
    <row r="98" spans="1:52" s="291" customFormat="1" ht="18" customHeight="1">
      <c r="A98" s="294"/>
      <c r="B98" s="1169" t="s">
        <v>2539</v>
      </c>
      <c r="C98" s="1170"/>
      <c r="D98" s="1170"/>
      <c r="E98" s="1170"/>
      <c r="F98" s="1170"/>
      <c r="G98" s="1170"/>
      <c r="H98" s="1170"/>
      <c r="I98" s="1170"/>
      <c r="J98" s="1170"/>
      <c r="K98" s="1170"/>
      <c r="L98" s="1170"/>
      <c r="M98" s="1170"/>
      <c r="N98" s="1170"/>
      <c r="O98" s="1170"/>
      <c r="P98" s="1170"/>
      <c r="Q98" s="1170"/>
      <c r="R98" s="1170"/>
      <c r="S98" s="1170"/>
      <c r="T98" s="1170"/>
      <c r="U98" s="1170"/>
      <c r="V98" s="1170"/>
      <c r="W98" s="1170"/>
      <c r="X98" s="1170"/>
      <c r="Y98" s="1170"/>
      <c r="Z98" s="1170"/>
      <c r="AA98" s="1170"/>
      <c r="AB98" s="1170"/>
      <c r="AC98" s="1170"/>
      <c r="AD98" s="1170"/>
      <c r="AE98" s="1404">
        <f>'Población Y RR.SS'!C25</f>
        <v>0</v>
      </c>
      <c r="AF98" s="1208"/>
      <c r="AG98" s="1208"/>
      <c r="AH98" s="1208"/>
      <c r="AI98" s="1208"/>
      <c r="AJ98" s="1208"/>
      <c r="AK98" s="1208"/>
      <c r="AL98" s="1208"/>
      <c r="AM98" s="289"/>
      <c r="AN98" s="289"/>
      <c r="AO98" s="289"/>
      <c r="AP98" s="289"/>
      <c r="AQ98" s="289"/>
      <c r="AR98" s="289"/>
      <c r="AS98" s="289"/>
      <c r="AT98" s="289"/>
      <c r="AU98" s="289"/>
      <c r="AV98" s="289"/>
      <c r="AW98" s="289"/>
      <c r="AX98" s="289"/>
      <c r="AY98" s="289"/>
      <c r="AZ98" s="289"/>
    </row>
    <row r="99" spans="1:52" s="291" customFormat="1" ht="18" customHeight="1">
      <c r="A99" s="294"/>
      <c r="B99" s="1169" t="s">
        <v>2540</v>
      </c>
      <c r="C99" s="1170"/>
      <c r="D99" s="1170"/>
      <c r="E99" s="1170"/>
      <c r="F99" s="1170"/>
      <c r="G99" s="1170"/>
      <c r="H99" s="1170"/>
      <c r="I99" s="1170"/>
      <c r="J99" s="1170"/>
      <c r="K99" s="1170"/>
      <c r="L99" s="1170"/>
      <c r="M99" s="1170"/>
      <c r="N99" s="1170"/>
      <c r="O99" s="1170"/>
      <c r="P99" s="1170"/>
      <c r="Q99" s="1170"/>
      <c r="R99" s="1170"/>
      <c r="S99" s="1170"/>
      <c r="T99" s="1170"/>
      <c r="U99" s="1170"/>
      <c r="V99" s="1170"/>
      <c r="W99" s="1170"/>
      <c r="X99" s="1170"/>
      <c r="Y99" s="1170"/>
      <c r="Z99" s="1170"/>
      <c r="AA99" s="1170"/>
      <c r="AB99" s="1170"/>
      <c r="AC99" s="1170"/>
      <c r="AD99" s="1170"/>
      <c r="AE99" s="1404">
        <f>'Población Y RR.SS'!E25</f>
        <v>0</v>
      </c>
      <c r="AF99" s="1208"/>
      <c r="AG99" s="1208"/>
      <c r="AH99" s="1208"/>
      <c r="AI99" s="1208"/>
      <c r="AJ99" s="1208"/>
      <c r="AK99" s="1208"/>
      <c r="AL99" s="1208"/>
      <c r="AM99" s="289"/>
      <c r="AN99" s="289"/>
      <c r="AO99" s="289"/>
      <c r="AP99" s="289"/>
      <c r="AQ99" s="289"/>
      <c r="AR99" s="289"/>
      <c r="AS99" s="289"/>
      <c r="AT99" s="289"/>
      <c r="AU99" s="289"/>
      <c r="AV99" s="289"/>
      <c r="AW99" s="289"/>
      <c r="AX99" s="289"/>
      <c r="AY99" s="289"/>
      <c r="AZ99" s="289"/>
    </row>
    <row r="100" spans="1:52" s="291" customFormat="1" ht="18" customHeight="1">
      <c r="A100" s="294"/>
      <c r="B100" s="1169" t="s">
        <v>2541</v>
      </c>
      <c r="C100" s="1170"/>
      <c r="D100" s="1170"/>
      <c r="E100" s="1170"/>
      <c r="F100" s="1170"/>
      <c r="G100" s="1170"/>
      <c r="H100" s="1170"/>
      <c r="I100" s="1170"/>
      <c r="J100" s="1170"/>
      <c r="K100" s="1170"/>
      <c r="L100" s="1170"/>
      <c r="M100" s="1170"/>
      <c r="N100" s="1170"/>
      <c r="O100" s="1170"/>
      <c r="P100" s="1170"/>
      <c r="Q100" s="1170"/>
      <c r="R100" s="1170"/>
      <c r="S100" s="1170"/>
      <c r="T100" s="1170"/>
      <c r="U100" s="1170"/>
      <c r="V100" s="1170"/>
      <c r="W100" s="1170"/>
      <c r="X100" s="1170"/>
      <c r="Y100" s="1170"/>
      <c r="Z100" s="1170"/>
      <c r="AA100" s="1170"/>
      <c r="AB100" s="1170"/>
      <c r="AC100" s="1170"/>
      <c r="AD100" s="1170"/>
      <c r="AE100" s="1404">
        <f>'Población Y RR.SS'!E29</f>
        <v>0</v>
      </c>
      <c r="AF100" s="1208"/>
      <c r="AG100" s="1208"/>
      <c r="AH100" s="1208"/>
      <c r="AI100" s="1208"/>
      <c r="AJ100" s="1208"/>
      <c r="AK100" s="1208"/>
      <c r="AL100" s="1208"/>
      <c r="AM100" s="289"/>
      <c r="AN100" s="289"/>
      <c r="AO100" s="289"/>
      <c r="AP100" s="289"/>
      <c r="AQ100" s="289"/>
      <c r="AR100" s="289"/>
      <c r="AS100" s="289"/>
      <c r="AT100" s="289"/>
      <c r="AU100" s="289"/>
      <c r="AV100" s="289"/>
      <c r="AW100" s="289"/>
      <c r="AX100" s="289"/>
      <c r="AY100" s="289"/>
      <c r="AZ100" s="289"/>
    </row>
    <row r="101" spans="1:52" s="291" customFormat="1" ht="18" customHeight="1">
      <c r="A101" s="294"/>
      <c r="B101" s="1169" t="s">
        <v>2542</v>
      </c>
      <c r="C101" s="1170"/>
      <c r="D101" s="1170"/>
      <c r="E101" s="1170"/>
      <c r="F101" s="1170"/>
      <c r="G101" s="1170"/>
      <c r="H101" s="1170"/>
      <c r="I101" s="1170"/>
      <c r="J101" s="1170"/>
      <c r="K101" s="1170"/>
      <c r="L101" s="1170"/>
      <c r="M101" s="1170"/>
      <c r="N101" s="1170"/>
      <c r="O101" s="1170"/>
      <c r="P101" s="1170"/>
      <c r="Q101" s="1170"/>
      <c r="R101" s="1170"/>
      <c r="S101" s="1170"/>
      <c r="T101" s="1170"/>
      <c r="U101" s="1170"/>
      <c r="V101" s="1170"/>
      <c r="W101" s="1170"/>
      <c r="X101" s="1170"/>
      <c r="Y101" s="1170"/>
      <c r="Z101" s="1170"/>
      <c r="AA101" s="1170"/>
      <c r="AB101" s="1170"/>
      <c r="AC101" s="1170"/>
      <c r="AD101" s="1170"/>
      <c r="AE101" s="1209">
        <f>'Población Y RR.SS'!E29</f>
        <v>0</v>
      </c>
      <c r="AF101" s="1209"/>
      <c r="AG101" s="1209"/>
      <c r="AH101" s="1209"/>
      <c r="AI101" s="1209"/>
      <c r="AJ101" s="1209"/>
      <c r="AK101" s="1209"/>
      <c r="AL101" s="1209"/>
      <c r="AM101" s="289"/>
      <c r="AN101" s="289"/>
      <c r="AO101" s="289"/>
      <c r="AP101" s="289"/>
      <c r="AQ101" s="289"/>
      <c r="AR101" s="289"/>
      <c r="AS101" s="289"/>
      <c r="AT101" s="289"/>
      <c r="AU101" s="289"/>
      <c r="AV101" s="289"/>
      <c r="AW101" s="289"/>
      <c r="AX101" s="289"/>
      <c r="AY101" s="289"/>
      <c r="AZ101" s="289"/>
    </row>
    <row r="102" spans="1:52" s="291" customFormat="1" ht="18" customHeight="1">
      <c r="A102" s="294"/>
      <c r="B102" s="1402" t="s">
        <v>389</v>
      </c>
      <c r="C102" s="1403"/>
      <c r="D102" s="1403"/>
      <c r="E102" s="1403"/>
      <c r="F102" s="1403"/>
      <c r="G102" s="1403"/>
      <c r="H102" s="1403"/>
      <c r="I102" s="1403"/>
      <c r="J102" s="1403"/>
      <c r="K102" s="1403"/>
      <c r="L102" s="1403"/>
      <c r="M102" s="1403"/>
      <c r="N102" s="1403"/>
      <c r="O102" s="1403"/>
      <c r="P102" s="1403"/>
      <c r="Q102" s="1403"/>
      <c r="R102" s="1403"/>
      <c r="S102" s="1403"/>
      <c r="T102" s="1403"/>
      <c r="U102" s="1403"/>
      <c r="V102" s="1403"/>
      <c r="W102" s="1403"/>
      <c r="X102" s="1403"/>
      <c r="Y102" s="1403"/>
      <c r="Z102" s="1403"/>
      <c r="AA102" s="1403"/>
      <c r="AB102" s="1403"/>
      <c r="AC102" s="1403"/>
      <c r="AD102" s="1403"/>
      <c r="AE102" s="1208"/>
      <c r="AF102" s="1208"/>
      <c r="AG102" s="1208"/>
      <c r="AH102" s="1208"/>
      <c r="AI102" s="1208"/>
      <c r="AJ102" s="1208"/>
      <c r="AK102" s="1208"/>
      <c r="AL102" s="1208"/>
      <c r="AM102" s="289"/>
      <c r="AN102" s="289"/>
      <c r="AO102" s="289"/>
      <c r="AP102" s="289"/>
      <c r="AQ102" s="289"/>
      <c r="AR102" s="289"/>
      <c r="AS102" s="289"/>
      <c r="AT102" s="289"/>
      <c r="AU102" s="289"/>
      <c r="AV102" s="289"/>
      <c r="AW102" s="289"/>
      <c r="AX102" s="289"/>
      <c r="AY102" s="289"/>
      <c r="AZ102" s="289"/>
    </row>
    <row r="103" spans="1:52" s="291" customFormat="1" ht="18" customHeight="1">
      <c r="A103" s="294"/>
      <c r="B103" s="1405" t="s">
        <v>2543</v>
      </c>
      <c r="C103" s="1319"/>
      <c r="D103" s="1319"/>
      <c r="E103" s="1319"/>
      <c r="F103" s="1319"/>
      <c r="G103" s="1319"/>
      <c r="H103" s="1319"/>
      <c r="I103" s="1319"/>
      <c r="J103" s="1319"/>
      <c r="K103" s="1319"/>
      <c r="L103" s="1319"/>
      <c r="M103" s="1319"/>
      <c r="N103" s="1319"/>
      <c r="O103" s="1319"/>
      <c r="P103" s="1319"/>
      <c r="Q103" s="1319"/>
      <c r="R103" s="1319"/>
      <c r="S103" s="1319"/>
      <c r="T103" s="1319"/>
      <c r="U103" s="1319"/>
      <c r="V103" s="1319"/>
      <c r="W103" s="1319"/>
      <c r="X103" s="1319"/>
      <c r="Y103" s="1319"/>
      <c r="Z103" s="1319"/>
      <c r="AA103" s="1319"/>
      <c r="AB103" s="1319"/>
      <c r="AC103" s="1319"/>
      <c r="AD103" s="1319"/>
      <c r="AE103" s="1410">
        <f>DATOS!L44+DATOS!L60</f>
        <v>0</v>
      </c>
      <c r="AF103" s="1208"/>
      <c r="AG103" s="1208"/>
      <c r="AH103" s="1208"/>
      <c r="AI103" s="1208"/>
      <c r="AJ103" s="1208"/>
      <c r="AK103" s="1208"/>
      <c r="AL103" s="1208"/>
      <c r="AM103" s="289"/>
      <c r="AN103" s="289"/>
      <c r="AO103" s="289"/>
      <c r="AP103" s="289"/>
      <c r="AQ103" s="289"/>
      <c r="AR103" s="289"/>
      <c r="AS103" s="289"/>
      <c r="AT103" s="289"/>
      <c r="AU103" s="289"/>
      <c r="AV103" s="289"/>
      <c r="AW103" s="289"/>
      <c r="AX103" s="289"/>
      <c r="AY103" s="289"/>
      <c r="AZ103" s="289"/>
    </row>
    <row r="104" spans="1:52" s="291" customFormat="1" ht="18" customHeight="1">
      <c r="A104" s="294"/>
      <c r="B104" s="1405" t="s">
        <v>2992</v>
      </c>
      <c r="C104" s="1319"/>
      <c r="D104" s="1319"/>
      <c r="E104" s="1319"/>
      <c r="F104" s="1319"/>
      <c r="G104" s="1319"/>
      <c r="H104" s="1319"/>
      <c r="I104" s="1319"/>
      <c r="J104" s="1319"/>
      <c r="K104" s="1319"/>
      <c r="L104" s="1319"/>
      <c r="M104" s="1319"/>
      <c r="N104" s="1319"/>
      <c r="O104" s="1319"/>
      <c r="P104" s="1319"/>
      <c r="Q104" s="1319"/>
      <c r="R104" s="1319"/>
      <c r="S104" s="1319"/>
      <c r="T104" s="1319"/>
      <c r="U104" s="1319"/>
      <c r="V104" s="1319"/>
      <c r="W104" s="1319"/>
      <c r="X104" s="1319"/>
      <c r="Y104" s="1319"/>
      <c r="Z104" s="1319"/>
      <c r="AA104" s="1319"/>
      <c r="AB104" s="1319"/>
      <c r="AC104" s="1319"/>
      <c r="AD104" s="1406"/>
      <c r="AE104" s="1407">
        <f>DATOS!AJ44+DATOS!L51+DATOS!AJ60+DATOS!L67</f>
        <v>0</v>
      </c>
      <c r="AF104" s="1408"/>
      <c r="AG104" s="1408"/>
      <c r="AH104" s="1408"/>
      <c r="AI104" s="1408"/>
      <c r="AJ104" s="1408"/>
      <c r="AK104" s="1408"/>
      <c r="AL104" s="1409"/>
      <c r="AM104" s="289"/>
      <c r="AN104" s="289"/>
      <c r="AO104" s="289"/>
      <c r="AP104" s="289"/>
      <c r="AQ104" s="289"/>
      <c r="AR104" s="289"/>
      <c r="AS104" s="289"/>
      <c r="AT104" s="289"/>
      <c r="AU104" s="289"/>
      <c r="AV104" s="289"/>
      <c r="AW104" s="289"/>
      <c r="AX104" s="289"/>
      <c r="AY104" s="289"/>
      <c r="AZ104" s="289"/>
    </row>
    <row r="105" spans="1:52" s="291" customFormat="1" ht="18" customHeight="1">
      <c r="A105" s="294"/>
      <c r="B105" s="1405" t="s">
        <v>2544</v>
      </c>
      <c r="C105" s="1319"/>
      <c r="D105" s="1319"/>
      <c r="E105" s="1319"/>
      <c r="F105" s="1319"/>
      <c r="G105" s="1319"/>
      <c r="H105" s="1319"/>
      <c r="I105" s="1319"/>
      <c r="J105" s="1319"/>
      <c r="K105" s="1319"/>
      <c r="L105" s="1319"/>
      <c r="M105" s="1319"/>
      <c r="N105" s="1319"/>
      <c r="O105" s="1319"/>
      <c r="P105" s="1319"/>
      <c r="Q105" s="1319"/>
      <c r="R105" s="1319"/>
      <c r="S105" s="1319"/>
      <c r="T105" s="1319"/>
      <c r="U105" s="1319"/>
      <c r="V105" s="1319"/>
      <c r="W105" s="1319"/>
      <c r="X105" s="1319"/>
      <c r="Y105" s="1319"/>
      <c r="Z105" s="1319"/>
      <c r="AA105" s="1319"/>
      <c r="AB105" s="1319"/>
      <c r="AC105" s="1319"/>
      <c r="AD105" s="1319"/>
      <c r="AE105" s="1209">
        <f>DATOS!V44+DATOS!AT44+DATOS!V51+DATOS!V60+DATOS!AT60+DATOS!V67</f>
        <v>0</v>
      </c>
      <c r="AF105" s="1209"/>
      <c r="AG105" s="1209"/>
      <c r="AH105" s="1209"/>
      <c r="AI105" s="1209"/>
      <c r="AJ105" s="1209"/>
      <c r="AK105" s="1209"/>
      <c r="AL105" s="1209"/>
      <c r="AM105" s="289"/>
      <c r="AN105" s="289"/>
      <c r="AO105" s="289"/>
      <c r="AP105" s="289"/>
      <c r="AQ105" s="289"/>
      <c r="AR105" s="289"/>
      <c r="AS105" s="289"/>
      <c r="AT105" s="289"/>
      <c r="AU105" s="289"/>
      <c r="AV105" s="289"/>
      <c r="AW105" s="289"/>
      <c r="AX105" s="289"/>
      <c r="AY105" s="289"/>
      <c r="AZ105" s="289"/>
    </row>
    <row r="106" spans="1:52" s="291" customFormat="1" ht="18" customHeight="1">
      <c r="A106" s="294"/>
      <c r="B106" s="1402" t="s">
        <v>390</v>
      </c>
      <c r="C106" s="1403"/>
      <c r="D106" s="1403"/>
      <c r="E106" s="1403"/>
      <c r="F106" s="1403"/>
      <c r="G106" s="1403"/>
      <c r="H106" s="1403"/>
      <c r="I106" s="1403"/>
      <c r="J106" s="1403"/>
      <c r="K106" s="1403"/>
      <c r="L106" s="1403"/>
      <c r="M106" s="1403"/>
      <c r="N106" s="1403"/>
      <c r="O106" s="1403"/>
      <c r="P106" s="1403"/>
      <c r="Q106" s="1403"/>
      <c r="R106" s="1403"/>
      <c r="S106" s="1403"/>
      <c r="T106" s="1403"/>
      <c r="U106" s="1403"/>
      <c r="V106" s="1403"/>
      <c r="W106" s="1403"/>
      <c r="X106" s="1403"/>
      <c r="Y106" s="1403"/>
      <c r="Z106" s="1403"/>
      <c r="AA106" s="1403"/>
      <c r="AB106" s="1403"/>
      <c r="AC106" s="1403"/>
      <c r="AD106" s="1403"/>
      <c r="AE106" s="1208"/>
      <c r="AF106" s="1208"/>
      <c r="AG106" s="1208"/>
      <c r="AH106" s="1208"/>
      <c r="AI106" s="1208"/>
      <c r="AJ106" s="1208"/>
      <c r="AK106" s="1208"/>
      <c r="AL106" s="1208"/>
      <c r="AM106" s="289"/>
      <c r="AN106" s="289"/>
      <c r="AO106" s="289"/>
      <c r="AP106" s="289"/>
      <c r="AQ106" s="289"/>
      <c r="AR106" s="289"/>
      <c r="AS106" s="289"/>
      <c r="AT106" s="289"/>
      <c r="AU106" s="289"/>
      <c r="AV106" s="289"/>
      <c r="AW106" s="289"/>
      <c r="AX106" s="289"/>
      <c r="AY106" s="289"/>
      <c r="AZ106" s="289"/>
    </row>
    <row r="107" spans="1:52" s="291" customFormat="1" ht="18" customHeight="1">
      <c r="A107" s="294"/>
      <c r="B107" s="1405" t="s">
        <v>2993</v>
      </c>
      <c r="C107" s="1319"/>
      <c r="D107" s="1319"/>
      <c r="E107" s="1319"/>
      <c r="F107" s="1319"/>
      <c r="G107" s="1319"/>
      <c r="H107" s="1319"/>
      <c r="I107" s="1319"/>
      <c r="J107" s="1319"/>
      <c r="K107" s="1319"/>
      <c r="L107" s="1319"/>
      <c r="M107" s="1319"/>
      <c r="N107" s="1319"/>
      <c r="O107" s="1319"/>
      <c r="P107" s="1319"/>
      <c r="Q107" s="1319"/>
      <c r="R107" s="1319"/>
      <c r="S107" s="1319"/>
      <c r="T107" s="1319"/>
      <c r="U107" s="1319"/>
      <c r="V107" s="1319"/>
      <c r="W107" s="1319"/>
      <c r="X107" s="1319"/>
      <c r="Y107" s="1319"/>
      <c r="Z107" s="1319"/>
      <c r="AA107" s="1319"/>
      <c r="AB107" s="1319"/>
      <c r="AC107" s="1319"/>
      <c r="AD107" s="1406"/>
      <c r="AE107" s="1209">
        <f>DATOS!S82+DATOS!S92</f>
        <v>0</v>
      </c>
      <c r="AF107" s="1208"/>
      <c r="AG107" s="1208"/>
      <c r="AH107" s="1208"/>
      <c r="AI107" s="1208"/>
      <c r="AJ107" s="1208"/>
      <c r="AK107" s="1208"/>
      <c r="AL107" s="1208"/>
      <c r="AM107" s="289"/>
      <c r="AN107" s="289"/>
      <c r="AO107" s="289"/>
      <c r="AP107" s="289"/>
      <c r="AQ107" s="289"/>
      <c r="AR107" s="289"/>
      <c r="AS107" s="289"/>
      <c r="AT107" s="289"/>
      <c r="AU107" s="289"/>
      <c r="AV107" s="289"/>
      <c r="AW107" s="289"/>
      <c r="AX107" s="289"/>
      <c r="AY107" s="289"/>
      <c r="AZ107" s="289"/>
    </row>
    <row r="108" spans="1:52" s="291" customFormat="1" ht="18" customHeight="1">
      <c r="A108" s="294"/>
      <c r="B108" s="1405" t="s">
        <v>2994</v>
      </c>
      <c r="C108" s="1319"/>
      <c r="D108" s="1319"/>
      <c r="E108" s="1319"/>
      <c r="F108" s="1319"/>
      <c r="G108" s="1319"/>
      <c r="H108" s="1319"/>
      <c r="I108" s="1319"/>
      <c r="J108" s="1319"/>
      <c r="K108" s="1319"/>
      <c r="L108" s="1319"/>
      <c r="M108" s="1319"/>
      <c r="N108" s="1319"/>
      <c r="O108" s="1319"/>
      <c r="P108" s="1319"/>
      <c r="Q108" s="1319"/>
      <c r="R108" s="1319"/>
      <c r="S108" s="1319"/>
      <c r="T108" s="1319"/>
      <c r="U108" s="1319"/>
      <c r="V108" s="1319"/>
      <c r="W108" s="1319"/>
      <c r="X108" s="1319"/>
      <c r="Y108" s="1319"/>
      <c r="Z108" s="1319"/>
      <c r="AA108" s="1319"/>
      <c r="AB108" s="1319"/>
      <c r="AC108" s="1319"/>
      <c r="AD108" s="1406"/>
      <c r="AE108" s="1404">
        <f>DATOS!AS82+DATOS!AS92</f>
        <v>0</v>
      </c>
      <c r="AF108" s="1208"/>
      <c r="AG108" s="1208"/>
      <c r="AH108" s="1208"/>
      <c r="AI108" s="1208"/>
      <c r="AJ108" s="1208"/>
      <c r="AK108" s="1208"/>
      <c r="AL108" s="1208"/>
      <c r="AM108" s="289"/>
      <c r="AN108" s="289"/>
      <c r="AO108" s="289"/>
      <c r="AP108" s="289"/>
      <c r="AQ108" s="289"/>
      <c r="AR108" s="289"/>
      <c r="AS108" s="289"/>
      <c r="AT108" s="289"/>
      <c r="AU108" s="289"/>
      <c r="AV108" s="289"/>
      <c r="AW108" s="289"/>
      <c r="AX108" s="289"/>
      <c r="AY108" s="289"/>
      <c r="AZ108" s="289"/>
    </row>
    <row r="109" spans="1:52" s="291" customFormat="1" ht="18" customHeight="1">
      <c r="A109" s="294"/>
      <c r="B109" s="1405" t="s">
        <v>2545</v>
      </c>
      <c r="C109" s="1319"/>
      <c r="D109" s="1319"/>
      <c r="E109" s="1319"/>
      <c r="F109" s="1319"/>
      <c r="G109" s="1319"/>
      <c r="H109" s="1319"/>
      <c r="I109" s="1319"/>
      <c r="J109" s="1319"/>
      <c r="K109" s="1319"/>
      <c r="L109" s="1319"/>
      <c r="M109" s="1319"/>
      <c r="N109" s="1319"/>
      <c r="O109" s="1319"/>
      <c r="P109" s="1319"/>
      <c r="Q109" s="1319"/>
      <c r="R109" s="1319"/>
      <c r="S109" s="1319"/>
      <c r="T109" s="1319"/>
      <c r="U109" s="1319"/>
      <c r="V109" s="1319"/>
      <c r="W109" s="1319"/>
      <c r="X109" s="1319"/>
      <c r="Y109" s="1319"/>
      <c r="Z109" s="1319"/>
      <c r="AA109" s="1319"/>
      <c r="AB109" s="1319"/>
      <c r="AC109" s="1319"/>
      <c r="AD109" s="1319"/>
      <c r="AE109" s="1209">
        <f>DATOS!AQ24</f>
        <v>0</v>
      </c>
      <c r="AF109" s="1209"/>
      <c r="AG109" s="1209"/>
      <c r="AH109" s="1209"/>
      <c r="AI109" s="1209"/>
      <c r="AJ109" s="1209"/>
      <c r="AK109" s="1209"/>
      <c r="AL109" s="1209"/>
      <c r="AM109" s="289"/>
      <c r="AN109" s="289"/>
      <c r="AO109" s="289"/>
      <c r="AP109" s="289"/>
      <c r="AQ109" s="1217"/>
      <c r="AR109" s="1217"/>
      <c r="AS109" s="1217"/>
      <c r="AT109" s="1217"/>
      <c r="AU109" s="289"/>
      <c r="AV109" s="289"/>
      <c r="AW109" s="289"/>
      <c r="AX109" s="289"/>
      <c r="AY109" s="289"/>
      <c r="AZ109" s="289"/>
    </row>
    <row r="110" spans="1:52" s="291" customFormat="1" ht="18" customHeight="1">
      <c r="A110" s="294"/>
      <c r="B110" s="1169" t="s">
        <v>2801</v>
      </c>
      <c r="C110" s="1170"/>
      <c r="D110" s="1170"/>
      <c r="E110" s="1170"/>
      <c r="F110" s="1170"/>
      <c r="G110" s="1170"/>
      <c r="H110" s="1170"/>
      <c r="I110" s="1170"/>
      <c r="J110" s="1170"/>
      <c r="K110" s="1170"/>
      <c r="L110" s="1170"/>
      <c r="M110" s="1170"/>
      <c r="N110" s="1170"/>
      <c r="O110" s="1170"/>
      <c r="P110" s="1170"/>
      <c r="Q110" s="1170"/>
      <c r="R110" s="1170"/>
      <c r="S110" s="1170"/>
      <c r="T110" s="1170"/>
      <c r="U110" s="1170"/>
      <c r="V110" s="1170"/>
      <c r="W110" s="1170"/>
      <c r="X110" s="1170"/>
      <c r="Y110" s="1170"/>
      <c r="Z110" s="1170"/>
      <c r="AA110" s="1170"/>
      <c r="AB110" s="1170"/>
      <c r="AC110" s="1170"/>
      <c r="AD110" s="1171"/>
      <c r="AE110" s="1208">
        <f>DATOS!N71</f>
        <v>0</v>
      </c>
      <c r="AF110" s="1208"/>
      <c r="AG110" s="1208"/>
      <c r="AH110" s="1208"/>
      <c r="AI110" s="1208"/>
      <c r="AJ110" s="1208"/>
      <c r="AK110" s="1208"/>
      <c r="AL110" s="1208"/>
      <c r="AM110" s="289"/>
      <c r="AN110" s="289"/>
      <c r="AO110" s="289"/>
      <c r="AP110" s="289"/>
      <c r="AQ110" s="289"/>
      <c r="AR110" s="289"/>
      <c r="AS110" s="289"/>
      <c r="AT110" s="289"/>
      <c r="AU110" s="289"/>
      <c r="AV110" s="289"/>
      <c r="AW110" s="289"/>
      <c r="AX110" s="289"/>
      <c r="AY110" s="289"/>
      <c r="AZ110" s="289"/>
    </row>
    <row r="111" spans="1:52" s="291" customFormat="1" ht="18" customHeight="1">
      <c r="A111" s="294"/>
      <c r="B111" s="1169" t="s">
        <v>2546</v>
      </c>
      <c r="C111" s="1170"/>
      <c r="D111" s="1170"/>
      <c r="E111" s="1170"/>
      <c r="F111" s="1170"/>
      <c r="G111" s="1170"/>
      <c r="H111" s="1170"/>
      <c r="I111" s="1170"/>
      <c r="J111" s="1170"/>
      <c r="K111" s="1170"/>
      <c r="L111" s="1170"/>
      <c r="M111" s="1170"/>
      <c r="N111" s="1170"/>
      <c r="O111" s="1170"/>
      <c r="P111" s="1170"/>
      <c r="Q111" s="1170"/>
      <c r="R111" s="1170"/>
      <c r="S111" s="1170"/>
      <c r="T111" s="1170"/>
      <c r="U111" s="1170"/>
      <c r="V111" s="1170"/>
      <c r="W111" s="1170"/>
      <c r="X111" s="1170"/>
      <c r="Y111" s="1170"/>
      <c r="Z111" s="1170"/>
      <c r="AA111" s="1170"/>
      <c r="AB111" s="1170"/>
      <c r="AC111" s="1170"/>
      <c r="AD111" s="1171"/>
      <c r="AE111" s="1395" t="str">
        <f>IFERROR(AE109/AE110,"")</f>
        <v/>
      </c>
      <c r="AF111" s="1395"/>
      <c r="AG111" s="1395"/>
      <c r="AH111" s="1395"/>
      <c r="AI111" s="1395"/>
      <c r="AJ111" s="1395"/>
      <c r="AK111" s="1395"/>
      <c r="AL111" s="1395"/>
      <c r="AM111" s="289"/>
      <c r="AN111" s="289"/>
      <c r="AO111" s="289"/>
      <c r="AP111" s="289"/>
      <c r="AQ111" s="289"/>
      <c r="AR111" s="289"/>
      <c r="AS111" s="289"/>
      <c r="AT111" s="289"/>
      <c r="AU111" s="289"/>
      <c r="AV111" s="289"/>
      <c r="AW111" s="289"/>
      <c r="AX111" s="289"/>
      <c r="AY111" s="289"/>
      <c r="AZ111" s="289"/>
    </row>
    <row r="112" spans="1:52" s="291" customFormat="1" ht="18" customHeight="1">
      <c r="A112" s="294"/>
      <c r="B112" s="1405" t="s">
        <v>2547</v>
      </c>
      <c r="C112" s="1319"/>
      <c r="D112" s="1319"/>
      <c r="E112" s="1319"/>
      <c r="F112" s="1319"/>
      <c r="G112" s="1319"/>
      <c r="H112" s="1319"/>
      <c r="I112" s="1319"/>
      <c r="J112" s="1319"/>
      <c r="K112" s="1319"/>
      <c r="L112" s="1319"/>
      <c r="M112" s="1319"/>
      <c r="N112" s="1319"/>
      <c r="O112" s="1319"/>
      <c r="P112" s="1319"/>
      <c r="Q112" s="1319"/>
      <c r="R112" s="1319"/>
      <c r="S112" s="1319"/>
      <c r="T112" s="1319"/>
      <c r="U112" s="1319"/>
      <c r="V112" s="1319"/>
      <c r="W112" s="1319"/>
      <c r="X112" s="1319"/>
      <c r="Y112" s="1319"/>
      <c r="Z112" s="1319"/>
      <c r="AA112" s="1319"/>
      <c r="AB112" s="1319"/>
      <c r="AC112" s="1319"/>
      <c r="AD112" s="1406"/>
      <c r="AE112" s="1417" t="str">
        <f>IFERROR(AE108/AE107,"")</f>
        <v/>
      </c>
      <c r="AF112" s="1418"/>
      <c r="AG112" s="1418"/>
      <c r="AH112" s="1418"/>
      <c r="AI112" s="1418"/>
      <c r="AJ112" s="1418"/>
      <c r="AK112" s="1418"/>
      <c r="AL112" s="1419"/>
      <c r="AM112" s="289"/>
      <c r="AN112" s="289"/>
      <c r="AO112" s="289"/>
      <c r="AP112" s="289"/>
      <c r="AQ112" s="289"/>
      <c r="AR112" s="289"/>
      <c r="AS112" s="289"/>
      <c r="AT112" s="289"/>
      <c r="AU112" s="289"/>
      <c r="AV112" s="289"/>
      <c r="AW112" s="289"/>
      <c r="AX112" s="289"/>
      <c r="AY112" s="289"/>
      <c r="AZ112" s="289"/>
    </row>
    <row r="113" spans="1:52" s="291" customFormat="1" ht="18" customHeight="1">
      <c r="A113" s="294"/>
      <c r="B113" s="1402" t="s">
        <v>401</v>
      </c>
      <c r="C113" s="1403"/>
      <c r="D113" s="1403"/>
      <c r="E113" s="1403"/>
      <c r="F113" s="1403"/>
      <c r="G113" s="1403"/>
      <c r="H113" s="1403"/>
      <c r="I113" s="1403"/>
      <c r="J113" s="1403"/>
      <c r="K113" s="1403"/>
      <c r="L113" s="1403"/>
      <c r="M113" s="1403"/>
      <c r="N113" s="1403"/>
      <c r="O113" s="1403"/>
      <c r="P113" s="1403"/>
      <c r="Q113" s="1403"/>
      <c r="R113" s="1403"/>
      <c r="S113" s="1403"/>
      <c r="T113" s="1403"/>
      <c r="U113" s="1403"/>
      <c r="V113" s="1403"/>
      <c r="W113" s="1403"/>
      <c r="X113" s="1403"/>
      <c r="Y113" s="1403"/>
      <c r="Z113" s="1403"/>
      <c r="AA113" s="1403"/>
      <c r="AB113" s="1403"/>
      <c r="AC113" s="1403"/>
      <c r="AD113" s="1411"/>
      <c r="AE113" s="1257"/>
      <c r="AF113" s="1257"/>
      <c r="AG113" s="1257"/>
      <c r="AH113" s="1257"/>
      <c r="AI113" s="1257"/>
      <c r="AJ113" s="1257"/>
      <c r="AK113" s="1257"/>
      <c r="AL113" s="1257"/>
      <c r="AM113" s="289"/>
      <c r="AN113" s="289"/>
      <c r="AO113" s="289"/>
      <c r="AP113" s="289"/>
      <c r="AQ113" s="289"/>
      <c r="AR113" s="289"/>
      <c r="AS113" s="289"/>
      <c r="AT113" s="289"/>
      <c r="AU113" s="289"/>
      <c r="AV113" s="289"/>
      <c r="AW113" s="289"/>
      <c r="AX113" s="289"/>
      <c r="AY113" s="289"/>
      <c r="AZ113" s="289"/>
    </row>
    <row r="114" spans="1:52" s="291" customFormat="1" ht="18" customHeight="1">
      <c r="A114" s="294"/>
      <c r="B114" s="1412" t="s">
        <v>2802</v>
      </c>
      <c r="C114" s="1413"/>
      <c r="D114" s="1413"/>
      <c r="E114" s="1413"/>
      <c r="F114" s="1413"/>
      <c r="G114" s="1413"/>
      <c r="H114" s="1413"/>
      <c r="I114" s="1413"/>
      <c r="J114" s="1413"/>
      <c r="K114" s="1413"/>
      <c r="L114" s="1413"/>
      <c r="M114" s="1413"/>
      <c r="N114" s="1413"/>
      <c r="O114" s="1413"/>
      <c r="P114" s="1413"/>
      <c r="Q114" s="1413"/>
      <c r="R114" s="1413"/>
      <c r="S114" s="1413"/>
      <c r="T114" s="1413"/>
      <c r="U114" s="1413"/>
      <c r="V114" s="1413"/>
      <c r="W114" s="1413"/>
      <c r="X114" s="1413"/>
      <c r="Y114" s="1413"/>
      <c r="Z114" s="1413"/>
      <c r="AA114" s="1413"/>
      <c r="AB114" s="1413"/>
      <c r="AC114" s="1413"/>
      <c r="AD114" s="1414"/>
      <c r="AE114" s="1415">
        <f>DATOS!AT128</f>
        <v>0</v>
      </c>
      <c r="AF114" s="1416"/>
      <c r="AG114" s="1416"/>
      <c r="AH114" s="1416"/>
      <c r="AI114" s="1416"/>
      <c r="AJ114" s="1416"/>
      <c r="AK114" s="1416"/>
      <c r="AL114" s="1416"/>
      <c r="AM114" s="289"/>
      <c r="AN114" s="289"/>
      <c r="AO114" s="289"/>
      <c r="AP114" s="289"/>
      <c r="AQ114" s="289"/>
      <c r="AR114" s="289"/>
      <c r="AS114" s="289"/>
      <c r="AT114" s="289"/>
      <c r="AU114" s="289"/>
      <c r="AV114" s="289"/>
      <c r="AW114" s="289"/>
      <c r="AX114" s="289"/>
      <c r="AY114" s="289"/>
      <c r="AZ114" s="289"/>
    </row>
    <row r="115" spans="1:52" s="291" customFormat="1" ht="18" customHeight="1">
      <c r="A115" s="294"/>
      <c r="B115" s="1412" t="s">
        <v>2615</v>
      </c>
      <c r="C115" s="1413"/>
      <c r="D115" s="1413"/>
      <c r="E115" s="1413"/>
      <c r="F115" s="1413"/>
      <c r="G115" s="1413"/>
      <c r="H115" s="1413"/>
      <c r="I115" s="1413"/>
      <c r="J115" s="1413"/>
      <c r="K115" s="1413"/>
      <c r="L115" s="1413"/>
      <c r="M115" s="1413"/>
      <c r="N115" s="1413"/>
      <c r="O115" s="1413"/>
      <c r="P115" s="1413"/>
      <c r="Q115" s="1413"/>
      <c r="R115" s="1413"/>
      <c r="S115" s="1413"/>
      <c r="T115" s="1413"/>
      <c r="U115" s="1413"/>
      <c r="V115" s="1413"/>
      <c r="W115" s="1413"/>
      <c r="X115" s="1413"/>
      <c r="Y115" s="1413"/>
      <c r="Z115" s="1413"/>
      <c r="AA115" s="1413"/>
      <c r="AB115" s="1413"/>
      <c r="AC115" s="1413"/>
      <c r="AD115" s="1414"/>
      <c r="AE115" s="1353">
        <v>1</v>
      </c>
      <c r="AF115" s="1353"/>
      <c r="AG115" s="1353"/>
      <c r="AH115" s="1353"/>
      <c r="AI115" s="1353"/>
      <c r="AJ115" s="1353"/>
      <c r="AK115" s="1353"/>
      <c r="AL115" s="1353"/>
      <c r="AM115" s="289"/>
      <c r="AN115" s="289"/>
      <c r="AO115" s="289"/>
      <c r="AP115" s="289"/>
      <c r="AQ115" s="289"/>
      <c r="AR115" s="289"/>
      <c r="AS115" s="289"/>
      <c r="AT115" s="289"/>
      <c r="AU115" s="289"/>
      <c r="AV115" s="289"/>
      <c r="AW115" s="289"/>
      <c r="AX115" s="289"/>
      <c r="AY115" s="289"/>
      <c r="AZ115" s="289"/>
    </row>
    <row r="116" spans="1:52" s="291" customFormat="1" ht="18" customHeight="1">
      <c r="A116" s="294"/>
      <c r="B116" s="1405" t="s">
        <v>2547</v>
      </c>
      <c r="C116" s="1319"/>
      <c r="D116" s="1319"/>
      <c r="E116" s="1319"/>
      <c r="F116" s="1319"/>
      <c r="G116" s="1319"/>
      <c r="H116" s="1319"/>
      <c r="I116" s="1319"/>
      <c r="J116" s="1319"/>
      <c r="K116" s="1319"/>
      <c r="L116" s="1319"/>
      <c r="M116" s="1319"/>
      <c r="N116" s="1319"/>
      <c r="O116" s="1319"/>
      <c r="P116" s="1319"/>
      <c r="Q116" s="1319"/>
      <c r="R116" s="1319"/>
      <c r="S116" s="1319"/>
      <c r="T116" s="1319"/>
      <c r="U116" s="1319"/>
      <c r="V116" s="1319"/>
      <c r="W116" s="1319"/>
      <c r="X116" s="1319"/>
      <c r="Y116" s="1319"/>
      <c r="Z116" s="1319"/>
      <c r="AA116" s="1319"/>
      <c r="AB116" s="1319"/>
      <c r="AC116" s="1319"/>
      <c r="AD116" s="1406"/>
      <c r="AE116" s="1417" t="str">
        <f>IFERROR(AE114/'Población Y RR.SS'!E29,"")</f>
        <v/>
      </c>
      <c r="AF116" s="1418"/>
      <c r="AG116" s="1418"/>
      <c r="AH116" s="1418"/>
      <c r="AI116" s="1418"/>
      <c r="AJ116" s="1418"/>
      <c r="AK116" s="1418"/>
      <c r="AL116" s="1419"/>
      <c r="AM116" s="289"/>
      <c r="AN116" s="289"/>
      <c r="AO116" s="289"/>
      <c r="AP116" s="289"/>
      <c r="AQ116" s="289"/>
      <c r="AR116" s="289"/>
      <c r="AS116" s="289"/>
      <c r="AT116" s="289"/>
      <c r="AU116" s="289"/>
      <c r="AV116" s="289"/>
      <c r="AW116" s="289"/>
      <c r="AX116" s="289"/>
      <c r="AY116" s="289"/>
      <c r="AZ116" s="289"/>
    </row>
    <row r="117" spans="1:52" s="291" customFormat="1" ht="18" customHeight="1">
      <c r="A117" s="294"/>
      <c r="B117" s="1402" t="s">
        <v>463</v>
      </c>
      <c r="C117" s="1403"/>
      <c r="D117" s="1403"/>
      <c r="E117" s="1403"/>
      <c r="F117" s="1403"/>
      <c r="G117" s="1403"/>
      <c r="H117" s="1403"/>
      <c r="I117" s="1403"/>
      <c r="J117" s="1403"/>
      <c r="K117" s="1403"/>
      <c r="L117" s="1403"/>
      <c r="M117" s="1403"/>
      <c r="N117" s="1403"/>
      <c r="O117" s="1403"/>
      <c r="P117" s="1403"/>
      <c r="Q117" s="1403"/>
      <c r="R117" s="1403"/>
      <c r="S117" s="1403"/>
      <c r="T117" s="1403"/>
      <c r="U117" s="1403"/>
      <c r="V117" s="1403"/>
      <c r="W117" s="1403"/>
      <c r="X117" s="1403"/>
      <c r="Y117" s="1403"/>
      <c r="Z117" s="1403"/>
      <c r="AA117" s="1403"/>
      <c r="AB117" s="1403"/>
      <c r="AC117" s="1403"/>
      <c r="AD117" s="1411"/>
      <c r="AE117" s="1208"/>
      <c r="AF117" s="1208"/>
      <c r="AG117" s="1208"/>
      <c r="AH117" s="1208"/>
      <c r="AI117" s="1208"/>
      <c r="AJ117" s="1208"/>
      <c r="AK117" s="1208"/>
      <c r="AL117" s="1208"/>
      <c r="AM117" s="289"/>
      <c r="AN117" s="289"/>
      <c r="AO117" s="289"/>
      <c r="AP117" s="289"/>
      <c r="AQ117" s="289"/>
      <c r="AR117" s="289"/>
      <c r="AS117" s="289"/>
      <c r="AT117" s="289"/>
      <c r="AU117" s="289"/>
      <c r="AV117" s="289"/>
      <c r="AW117" s="289"/>
      <c r="AX117" s="289"/>
      <c r="AY117" s="289"/>
      <c r="AZ117" s="289"/>
    </row>
    <row r="118" spans="1:52" s="291" customFormat="1" ht="18" customHeight="1">
      <c r="A118" s="294"/>
      <c r="B118" s="1169" t="s">
        <v>2548</v>
      </c>
      <c r="C118" s="1170"/>
      <c r="D118" s="1170"/>
      <c r="E118" s="1170"/>
      <c r="F118" s="1170"/>
      <c r="G118" s="1170"/>
      <c r="H118" s="1170"/>
      <c r="I118" s="1170"/>
      <c r="J118" s="1170"/>
      <c r="K118" s="1170"/>
      <c r="L118" s="1170"/>
      <c r="M118" s="1170"/>
      <c r="N118" s="1170"/>
      <c r="O118" s="1170"/>
      <c r="P118" s="1170"/>
      <c r="Q118" s="1170"/>
      <c r="R118" s="1170"/>
      <c r="S118" s="1170"/>
      <c r="T118" s="1170"/>
      <c r="U118" s="1170"/>
      <c r="V118" s="1170"/>
      <c r="W118" s="1170"/>
      <c r="X118" s="1170"/>
      <c r="Y118" s="1170"/>
      <c r="Z118" s="1170"/>
      <c r="AA118" s="1170"/>
      <c r="AB118" s="1170"/>
      <c r="AC118" s="1170"/>
      <c r="AD118" s="1171"/>
      <c r="AE118" s="1415">
        <f>DATOS!B134</f>
        <v>0</v>
      </c>
      <c r="AF118" s="1415"/>
      <c r="AG118" s="1415"/>
      <c r="AH118" s="1415"/>
      <c r="AI118" s="1415"/>
      <c r="AJ118" s="1415"/>
      <c r="AK118" s="1415"/>
      <c r="AL118" s="1415"/>
      <c r="AM118" s="289"/>
      <c r="AN118" s="289"/>
      <c r="AO118" s="289"/>
      <c r="AP118" s="289"/>
      <c r="AQ118" s="289"/>
      <c r="AR118" s="289"/>
      <c r="AS118" s="289"/>
      <c r="AT118" s="289"/>
      <c r="AU118" s="289"/>
      <c r="AV118" s="289"/>
      <c r="AW118" s="289"/>
      <c r="AX118" s="289"/>
      <c r="AY118" s="289"/>
      <c r="AZ118" s="289"/>
    </row>
    <row r="119" spans="1:52" s="291" customFormat="1" ht="18" customHeight="1">
      <c r="A119" s="294"/>
      <c r="B119" s="1169" t="s">
        <v>2549</v>
      </c>
      <c r="C119" s="1170"/>
      <c r="D119" s="1170"/>
      <c r="E119" s="1170"/>
      <c r="F119" s="1170"/>
      <c r="G119" s="1170"/>
      <c r="H119" s="1170"/>
      <c r="I119" s="1170"/>
      <c r="J119" s="1170"/>
      <c r="K119" s="1170"/>
      <c r="L119" s="1170"/>
      <c r="M119" s="1170"/>
      <c r="N119" s="1170"/>
      <c r="O119" s="1170"/>
      <c r="P119" s="1170"/>
      <c r="Q119" s="1170"/>
      <c r="R119" s="1170"/>
      <c r="S119" s="1170"/>
      <c r="T119" s="1170"/>
      <c r="U119" s="1170"/>
      <c r="V119" s="1170"/>
      <c r="W119" s="1170"/>
      <c r="X119" s="1170"/>
      <c r="Y119" s="1170"/>
      <c r="Z119" s="1170"/>
      <c r="AA119" s="1170"/>
      <c r="AB119" s="1170"/>
      <c r="AC119" s="1170"/>
      <c r="AD119" s="1171"/>
      <c r="AE119" s="1415">
        <f>DATOS!V134</f>
        <v>0</v>
      </c>
      <c r="AF119" s="1415"/>
      <c r="AG119" s="1415"/>
      <c r="AH119" s="1415"/>
      <c r="AI119" s="1415"/>
      <c r="AJ119" s="1415"/>
      <c r="AK119" s="1415"/>
      <c r="AL119" s="1415"/>
      <c r="AM119" s="289"/>
      <c r="AN119" s="289"/>
      <c r="AO119" s="289"/>
      <c r="AP119" s="289"/>
      <c r="AQ119" s="289"/>
      <c r="AR119" s="289"/>
      <c r="AS119" s="289"/>
      <c r="AT119" s="289"/>
      <c r="AU119" s="289"/>
      <c r="AV119" s="289"/>
      <c r="AW119" s="289"/>
      <c r="AX119" s="289"/>
      <c r="AY119" s="289"/>
      <c r="AZ119" s="289"/>
    </row>
    <row r="120" spans="1:52" s="291" customFormat="1" ht="18" customHeight="1">
      <c r="A120" s="294"/>
      <c r="B120" s="1405" t="s">
        <v>2550</v>
      </c>
      <c r="C120" s="1319"/>
      <c r="D120" s="1319"/>
      <c r="E120" s="1319"/>
      <c r="F120" s="1319"/>
      <c r="G120" s="1319"/>
      <c r="H120" s="1319"/>
      <c r="I120" s="1319"/>
      <c r="J120" s="1319"/>
      <c r="K120" s="1319"/>
      <c r="L120" s="1319"/>
      <c r="M120" s="1319"/>
      <c r="N120" s="1319"/>
      <c r="O120" s="1319"/>
      <c r="P120" s="1319"/>
      <c r="Q120" s="1319"/>
      <c r="R120" s="1319"/>
      <c r="S120" s="1319"/>
      <c r="T120" s="1319"/>
      <c r="U120" s="1319"/>
      <c r="V120" s="1319"/>
      <c r="W120" s="1319"/>
      <c r="X120" s="1319"/>
      <c r="Y120" s="1319"/>
      <c r="Z120" s="1319"/>
      <c r="AA120" s="1319"/>
      <c r="AB120" s="1319"/>
      <c r="AC120" s="1319"/>
      <c r="AD120" s="1406"/>
      <c r="AE120" s="1421">
        <f>IFERROR(DATOS!L134,"")</f>
        <v>0</v>
      </c>
      <c r="AF120" s="1422"/>
      <c r="AG120" s="1422"/>
      <c r="AH120" s="1422"/>
      <c r="AI120" s="1422"/>
      <c r="AJ120" s="1422"/>
      <c r="AK120" s="1422"/>
      <c r="AL120" s="1423"/>
      <c r="AM120" s="289"/>
      <c r="AN120" s="289"/>
      <c r="AO120" s="289"/>
      <c r="AP120" s="289"/>
      <c r="AQ120" s="289"/>
      <c r="AR120" s="289"/>
      <c r="AS120" s="289"/>
      <c r="AT120" s="289"/>
      <c r="AU120" s="289"/>
      <c r="AV120" s="289"/>
      <c r="AW120" s="289"/>
      <c r="AX120" s="289"/>
      <c r="AY120" s="289"/>
      <c r="AZ120" s="289"/>
    </row>
    <row r="121" spans="1:52" s="291" customFormat="1" ht="18" customHeight="1">
      <c r="A121" s="294"/>
      <c r="B121" s="1405" t="s">
        <v>2551</v>
      </c>
      <c r="C121" s="1319"/>
      <c r="D121" s="1319"/>
      <c r="E121" s="1319"/>
      <c r="F121" s="1319"/>
      <c r="G121" s="1319"/>
      <c r="H121" s="1319"/>
      <c r="I121" s="1319"/>
      <c r="J121" s="1319"/>
      <c r="K121" s="1319"/>
      <c r="L121" s="1319"/>
      <c r="M121" s="1319"/>
      <c r="N121" s="1319"/>
      <c r="O121" s="1319"/>
      <c r="P121" s="1319"/>
      <c r="Q121" s="1319"/>
      <c r="R121" s="1319"/>
      <c r="S121" s="1319"/>
      <c r="T121" s="1319"/>
      <c r="U121" s="1319"/>
      <c r="V121" s="1319"/>
      <c r="W121" s="1319"/>
      <c r="X121" s="1319"/>
      <c r="Y121" s="1319"/>
      <c r="Z121" s="1319"/>
      <c r="AA121" s="1319"/>
      <c r="AB121" s="1319"/>
      <c r="AC121" s="1319"/>
      <c r="AD121" s="1406"/>
      <c r="AE121" s="1421">
        <f>IFERROR(DATOS!AF134,0)</f>
        <v>0</v>
      </c>
      <c r="AF121" s="1422"/>
      <c r="AG121" s="1422"/>
      <c r="AH121" s="1422"/>
      <c r="AI121" s="1422"/>
      <c r="AJ121" s="1422"/>
      <c r="AK121" s="1422"/>
      <c r="AL121" s="1423"/>
      <c r="AM121" s="289"/>
      <c r="AN121" s="289"/>
      <c r="AO121" s="289"/>
      <c r="AP121" s="289"/>
      <c r="AQ121" s="289"/>
      <c r="AR121" s="289"/>
      <c r="AS121" s="289"/>
      <c r="AT121" s="289"/>
      <c r="AU121" s="289"/>
      <c r="AV121" s="289"/>
      <c r="AW121" s="289"/>
      <c r="AX121" s="289"/>
      <c r="AY121" s="289"/>
      <c r="AZ121" s="289"/>
    </row>
    <row r="122" spans="1:52" s="291" customFormat="1" ht="18" customHeight="1">
      <c r="A122" s="294"/>
      <c r="B122" s="1402" t="s">
        <v>764</v>
      </c>
      <c r="C122" s="1403"/>
      <c r="D122" s="1403"/>
      <c r="E122" s="1403"/>
      <c r="F122" s="1403"/>
      <c r="G122" s="1403"/>
      <c r="H122" s="1403"/>
      <c r="I122" s="1403"/>
      <c r="J122" s="1403"/>
      <c r="K122" s="1403"/>
      <c r="L122" s="1403"/>
      <c r="M122" s="1403"/>
      <c r="N122" s="1403"/>
      <c r="O122" s="1403"/>
      <c r="P122" s="1403"/>
      <c r="Q122" s="1403"/>
      <c r="R122" s="1403"/>
      <c r="S122" s="1403"/>
      <c r="T122" s="1403"/>
      <c r="U122" s="1403"/>
      <c r="V122" s="1403"/>
      <c r="W122" s="1403"/>
      <c r="X122" s="1403"/>
      <c r="Y122" s="1403"/>
      <c r="Z122" s="1403"/>
      <c r="AA122" s="1403"/>
      <c r="AB122" s="1403"/>
      <c r="AC122" s="1403"/>
      <c r="AD122" s="1411"/>
      <c r="AE122" s="1208"/>
      <c r="AF122" s="1208"/>
      <c r="AG122" s="1208"/>
      <c r="AH122" s="1208"/>
      <c r="AI122" s="1208"/>
      <c r="AJ122" s="1208"/>
      <c r="AK122" s="1208"/>
      <c r="AL122" s="1208"/>
      <c r="AM122" s="289"/>
      <c r="AN122" s="289"/>
      <c r="AO122" s="289"/>
      <c r="AP122" s="289"/>
      <c r="AQ122" s="289"/>
      <c r="AR122" s="289"/>
      <c r="AS122" s="289"/>
      <c r="AT122" s="289"/>
      <c r="AU122" s="289"/>
      <c r="AV122" s="289"/>
      <c r="AW122" s="289"/>
      <c r="AX122" s="289"/>
      <c r="AY122" s="289"/>
      <c r="AZ122" s="289"/>
    </row>
    <row r="123" spans="1:52" s="291" customFormat="1" ht="18" customHeight="1">
      <c r="A123" s="294"/>
      <c r="B123" s="1169" t="s">
        <v>2552</v>
      </c>
      <c r="C123" s="1170"/>
      <c r="D123" s="1170"/>
      <c r="E123" s="1170"/>
      <c r="F123" s="1170"/>
      <c r="G123" s="1170"/>
      <c r="H123" s="1170"/>
      <c r="I123" s="1170"/>
      <c r="J123" s="1170"/>
      <c r="K123" s="1170"/>
      <c r="L123" s="1170"/>
      <c r="M123" s="1170"/>
      <c r="N123" s="1170"/>
      <c r="O123" s="1170"/>
      <c r="P123" s="1170"/>
      <c r="Q123" s="1170"/>
      <c r="R123" s="1170"/>
      <c r="S123" s="1170"/>
      <c r="T123" s="1170"/>
      <c r="U123" s="1170"/>
      <c r="V123" s="1170"/>
      <c r="W123" s="1170"/>
      <c r="X123" s="1170"/>
      <c r="Y123" s="1170"/>
      <c r="Z123" s="1170"/>
      <c r="AA123" s="1170"/>
      <c r="AB123" s="1170"/>
      <c r="AC123" s="1170"/>
      <c r="AD123" s="1171"/>
      <c r="AE123" s="1290"/>
      <c r="AF123" s="1290"/>
      <c r="AG123" s="1290"/>
      <c r="AH123" s="1290"/>
      <c r="AI123" s="1290"/>
      <c r="AJ123" s="1290"/>
      <c r="AK123" s="1290"/>
      <c r="AL123" s="1290"/>
      <c r="AM123" s="1647"/>
      <c r="AN123" s="1217"/>
      <c r="AO123" s="1217"/>
      <c r="AP123" s="1217"/>
      <c r="AQ123" s="1217"/>
      <c r="AR123" s="1217"/>
      <c r="AS123" s="1217"/>
      <c r="AT123" s="289"/>
      <c r="AU123" s="289"/>
      <c r="AV123" s="289"/>
      <c r="AW123" s="289"/>
      <c r="AX123" s="289"/>
      <c r="AY123" s="289"/>
      <c r="AZ123" s="289"/>
    </row>
    <row r="124" spans="1:52" s="291" customFormat="1" ht="18" customHeight="1">
      <c r="A124" s="297"/>
      <c r="B124" s="1208" t="s">
        <v>2553</v>
      </c>
      <c r="C124" s="1208"/>
      <c r="D124" s="1208"/>
      <c r="E124" s="1208"/>
      <c r="F124" s="1379" t="s">
        <v>464</v>
      </c>
      <c r="G124" s="1379"/>
      <c r="H124" s="1379"/>
      <c r="I124" s="1379"/>
      <c r="J124" s="1379"/>
      <c r="K124" s="1379"/>
      <c r="L124" s="1379"/>
      <c r="M124" s="1379"/>
      <c r="N124" s="1379" t="s">
        <v>448</v>
      </c>
      <c r="O124" s="1379"/>
      <c r="P124" s="1354">
        <v>1</v>
      </c>
      <c r="Q124" s="1354"/>
      <c r="R124" s="1354"/>
      <c r="S124" s="1354"/>
      <c r="T124" s="1354"/>
      <c r="U124" s="1187" t="s">
        <v>449</v>
      </c>
      <c r="V124" s="1210"/>
      <c r="W124" s="1172">
        <v>1</v>
      </c>
      <c r="X124" s="1173"/>
      <c r="Y124" s="1173"/>
      <c r="Z124" s="1174"/>
      <c r="AA124" s="1228" t="s">
        <v>465</v>
      </c>
      <c r="AB124" s="1229"/>
      <c r="AC124" s="1229"/>
      <c r="AD124" s="1230"/>
      <c r="AE124" s="1251">
        <v>1</v>
      </c>
      <c r="AF124" s="1252"/>
      <c r="AG124" s="1252"/>
      <c r="AH124" s="1252"/>
      <c r="AI124" s="1252"/>
      <c r="AJ124" s="1252"/>
      <c r="AK124" s="1252"/>
      <c r="AL124" s="1374"/>
      <c r="AM124" s="289"/>
      <c r="AN124" s="289"/>
      <c r="AO124" s="289"/>
      <c r="AP124" s="289"/>
      <c r="AQ124" s="289"/>
      <c r="AR124" s="289"/>
      <c r="AS124" s="289"/>
      <c r="AT124" s="289"/>
      <c r="AU124" s="289"/>
      <c r="AV124" s="289"/>
      <c r="AW124" s="289"/>
      <c r="AX124" s="289"/>
      <c r="AY124" s="289"/>
      <c r="AZ124" s="289"/>
    </row>
    <row r="125" spans="1:52" s="291" customFormat="1" ht="18" customHeight="1">
      <c r="A125" s="297"/>
      <c r="B125" s="1208" t="s">
        <v>2553</v>
      </c>
      <c r="C125" s="1208"/>
      <c r="D125" s="1208"/>
      <c r="E125" s="1208"/>
      <c r="F125" s="1379" t="s">
        <v>466</v>
      </c>
      <c r="G125" s="1379"/>
      <c r="H125" s="1379"/>
      <c r="I125" s="1379"/>
      <c r="J125" s="1379"/>
      <c r="K125" s="1379"/>
      <c r="L125" s="1379"/>
      <c r="M125" s="1379"/>
      <c r="N125" s="1379" t="s">
        <v>448</v>
      </c>
      <c r="O125" s="1379"/>
      <c r="P125" s="1354">
        <v>1</v>
      </c>
      <c r="Q125" s="1354"/>
      <c r="R125" s="1354"/>
      <c r="S125" s="1354"/>
      <c r="T125" s="1354"/>
      <c r="U125" s="1187" t="s">
        <v>449</v>
      </c>
      <c r="V125" s="1210"/>
      <c r="W125" s="1172">
        <v>1</v>
      </c>
      <c r="X125" s="1173"/>
      <c r="Y125" s="1173"/>
      <c r="Z125" s="1174"/>
      <c r="AA125" s="1228" t="s">
        <v>465</v>
      </c>
      <c r="AB125" s="1229"/>
      <c r="AC125" s="1229"/>
      <c r="AD125" s="1230"/>
      <c r="AE125" s="1251">
        <v>1</v>
      </c>
      <c r="AF125" s="1252"/>
      <c r="AG125" s="1252"/>
      <c r="AH125" s="1252"/>
      <c r="AI125" s="1252"/>
      <c r="AJ125" s="1252"/>
      <c r="AK125" s="1252"/>
      <c r="AL125" s="1374"/>
      <c r="AM125" s="289"/>
      <c r="AN125" s="289"/>
      <c r="AO125" s="289"/>
      <c r="AP125" s="289"/>
      <c r="AQ125" s="289"/>
      <c r="AR125" s="289"/>
      <c r="AS125" s="289"/>
      <c r="AT125" s="289"/>
      <c r="AU125" s="289"/>
      <c r="AV125" s="289"/>
      <c r="AW125" s="289"/>
      <c r="AX125" s="289"/>
      <c r="AY125" s="289"/>
      <c r="AZ125" s="289"/>
    </row>
    <row r="126" spans="1:52" s="291" customFormat="1" ht="18" customHeight="1">
      <c r="A126" s="297"/>
      <c r="B126" s="1208" t="s">
        <v>2553</v>
      </c>
      <c r="C126" s="1208"/>
      <c r="D126" s="1208"/>
      <c r="E126" s="1208"/>
      <c r="F126" s="1379" t="s">
        <v>467</v>
      </c>
      <c r="G126" s="1379"/>
      <c r="H126" s="1379"/>
      <c r="I126" s="1379"/>
      <c r="J126" s="1379"/>
      <c r="K126" s="1379"/>
      <c r="L126" s="1379"/>
      <c r="M126" s="1379"/>
      <c r="N126" s="1379" t="s">
        <v>448</v>
      </c>
      <c r="O126" s="1379"/>
      <c r="P126" s="1354">
        <v>1</v>
      </c>
      <c r="Q126" s="1354"/>
      <c r="R126" s="1354"/>
      <c r="S126" s="1354"/>
      <c r="T126" s="1354"/>
      <c r="U126" s="1187" t="s">
        <v>449</v>
      </c>
      <c r="V126" s="1210"/>
      <c r="W126" s="1172">
        <v>1</v>
      </c>
      <c r="X126" s="1173"/>
      <c r="Y126" s="1173"/>
      <c r="Z126" s="1174"/>
      <c r="AA126" s="1228" t="s">
        <v>465</v>
      </c>
      <c r="AB126" s="1229"/>
      <c r="AC126" s="1229"/>
      <c r="AD126" s="1230"/>
      <c r="AE126" s="1251">
        <v>1</v>
      </c>
      <c r="AF126" s="1252"/>
      <c r="AG126" s="1252"/>
      <c r="AH126" s="1252"/>
      <c r="AI126" s="1252"/>
      <c r="AJ126" s="1252"/>
      <c r="AK126" s="1252"/>
      <c r="AL126" s="1374"/>
      <c r="AM126" s="289"/>
      <c r="AN126" s="289"/>
      <c r="AO126" s="289"/>
      <c r="AP126" s="289"/>
      <c r="AQ126" s="289"/>
      <c r="AR126" s="289"/>
      <c r="AS126" s="289"/>
      <c r="AT126" s="289"/>
      <c r="AU126" s="289"/>
      <c r="AV126" s="289"/>
      <c r="AW126" s="289"/>
      <c r="AX126" s="289"/>
      <c r="AY126" s="289"/>
      <c r="AZ126" s="289"/>
    </row>
    <row r="127" spans="1:52" s="291" customFormat="1" ht="18" customHeight="1">
      <c r="A127" s="297"/>
      <c r="B127" s="1169" t="s">
        <v>2995</v>
      </c>
      <c r="C127" s="1170"/>
      <c r="D127" s="1170"/>
      <c r="E127" s="1170"/>
      <c r="F127" s="1170"/>
      <c r="G127" s="1170"/>
      <c r="H127" s="1170"/>
      <c r="I127" s="1170"/>
      <c r="J127" s="1170"/>
      <c r="K127" s="1170"/>
      <c r="L127" s="1170"/>
      <c r="M127" s="1170"/>
      <c r="N127" s="1170"/>
      <c r="O127" s="1170"/>
      <c r="P127" s="1170"/>
      <c r="Q127" s="1170"/>
      <c r="R127" s="1170"/>
      <c r="S127" s="1170"/>
      <c r="T127" s="1170"/>
      <c r="U127" s="1170"/>
      <c r="V127" s="1170"/>
      <c r="W127" s="1170"/>
      <c r="X127" s="1170"/>
      <c r="Y127" s="1170"/>
      <c r="Z127" s="1170"/>
      <c r="AA127" s="1170"/>
      <c r="AB127" s="1170"/>
      <c r="AC127" s="1170"/>
      <c r="AD127" s="1171"/>
      <c r="AE127" s="1257">
        <f>+AE124+AE125+AE126</f>
        <v>3</v>
      </c>
      <c r="AF127" s="1257"/>
      <c r="AG127" s="1257"/>
      <c r="AH127" s="1257"/>
      <c r="AI127" s="1257"/>
      <c r="AJ127" s="1257"/>
      <c r="AK127" s="1257"/>
      <c r="AL127" s="1257"/>
      <c r="AM127" s="289"/>
      <c r="AN127" s="289"/>
      <c r="AO127" s="289"/>
      <c r="AP127" s="289"/>
      <c r="AQ127" s="289"/>
      <c r="AR127" s="289"/>
      <c r="AS127" s="289"/>
      <c r="AT127" s="289"/>
      <c r="AU127" s="289"/>
      <c r="AV127" s="289"/>
      <c r="AW127" s="289"/>
      <c r="AX127" s="289"/>
      <c r="AY127" s="289"/>
      <c r="AZ127" s="289"/>
    </row>
    <row r="128" spans="1:52" s="291" customFormat="1" ht="18" customHeight="1">
      <c r="A128" s="297"/>
      <c r="B128" s="1169" t="s">
        <v>2803</v>
      </c>
      <c r="C128" s="1170"/>
      <c r="D128" s="1170"/>
      <c r="E128" s="1170"/>
      <c r="F128" s="1170"/>
      <c r="G128" s="1170"/>
      <c r="H128" s="1170"/>
      <c r="I128" s="1170"/>
      <c r="J128" s="1170"/>
      <c r="K128" s="1170"/>
      <c r="L128" s="1170"/>
      <c r="M128" s="1170"/>
      <c r="N128" s="1170"/>
      <c r="O128" s="1170"/>
      <c r="P128" s="1170"/>
      <c r="Q128" s="1170"/>
      <c r="R128" s="1170"/>
      <c r="S128" s="1170"/>
      <c r="T128" s="1170"/>
      <c r="U128" s="1170"/>
      <c r="V128" s="1170"/>
      <c r="W128" s="1170"/>
      <c r="X128" s="1170"/>
      <c r="Y128" s="1170"/>
      <c r="Z128" s="1170"/>
      <c r="AA128" s="1170"/>
      <c r="AB128" s="1170"/>
      <c r="AC128" s="1170"/>
      <c r="AD128" s="1171"/>
      <c r="AE128" s="1426">
        <v>1</v>
      </c>
      <c r="AF128" s="1353"/>
      <c r="AG128" s="1353"/>
      <c r="AH128" s="1353"/>
      <c r="AI128" s="1353"/>
      <c r="AJ128" s="1353"/>
      <c r="AK128" s="1353"/>
      <c r="AL128" s="1353"/>
      <c r="AM128" s="289"/>
      <c r="AN128" s="289"/>
      <c r="AO128" s="289"/>
      <c r="AP128" s="289"/>
      <c r="AQ128" s="289"/>
      <c r="AR128" s="289"/>
      <c r="AS128" s="289"/>
      <c r="AT128" s="289"/>
      <c r="AU128" s="289"/>
      <c r="AV128" s="289"/>
      <c r="AW128" s="289"/>
      <c r="AX128" s="289"/>
      <c r="AY128" s="289"/>
      <c r="AZ128" s="289"/>
    </row>
    <row r="129" spans="1:52" s="291" customFormat="1" ht="18" customHeight="1">
      <c r="A129" s="297"/>
      <c r="B129" s="1402" t="s">
        <v>2508</v>
      </c>
      <c r="C129" s="1403"/>
      <c r="D129" s="1403"/>
      <c r="E129" s="1403"/>
      <c r="F129" s="1403"/>
      <c r="G129" s="1403"/>
      <c r="H129" s="1403"/>
      <c r="I129" s="1403"/>
      <c r="J129" s="1403"/>
      <c r="K129" s="1403"/>
      <c r="L129" s="1403"/>
      <c r="M129" s="1403"/>
      <c r="N129" s="1403"/>
      <c r="O129" s="1403"/>
      <c r="P129" s="1403"/>
      <c r="Q129" s="1403"/>
      <c r="R129" s="1403"/>
      <c r="S129" s="1403"/>
      <c r="T129" s="1403"/>
      <c r="U129" s="1403"/>
      <c r="V129" s="1403"/>
      <c r="W129" s="1403"/>
      <c r="X129" s="1403"/>
      <c r="Y129" s="1403"/>
      <c r="Z129" s="1403"/>
      <c r="AA129" s="1403"/>
      <c r="AB129" s="1403"/>
      <c r="AC129" s="1403"/>
      <c r="AD129" s="1411"/>
      <c r="AE129" s="1208"/>
      <c r="AF129" s="1208"/>
      <c r="AG129" s="1208"/>
      <c r="AH129" s="1208"/>
      <c r="AI129" s="1208"/>
      <c r="AJ129" s="1208"/>
      <c r="AK129" s="1208"/>
      <c r="AL129" s="1208"/>
      <c r="AM129" s="289"/>
      <c r="AN129" s="289"/>
      <c r="AO129" s="289"/>
      <c r="AP129" s="289"/>
      <c r="AQ129" s="289"/>
      <c r="AR129" s="289"/>
      <c r="AS129" s="289"/>
      <c r="AT129" s="289"/>
      <c r="AU129" s="289"/>
      <c r="AV129" s="289"/>
      <c r="AW129" s="289"/>
      <c r="AX129" s="289"/>
      <c r="AY129" s="289"/>
      <c r="AZ129" s="289"/>
    </row>
    <row r="130" spans="1:52" s="291" customFormat="1" ht="18" customHeight="1">
      <c r="A130" s="297"/>
      <c r="B130" s="1169" t="s">
        <v>2554</v>
      </c>
      <c r="C130" s="1170"/>
      <c r="D130" s="1170"/>
      <c r="E130" s="1170"/>
      <c r="F130" s="1170"/>
      <c r="G130" s="1170"/>
      <c r="H130" s="1170"/>
      <c r="I130" s="1170"/>
      <c r="J130" s="1170"/>
      <c r="K130" s="1170"/>
      <c r="L130" s="1170"/>
      <c r="M130" s="1170"/>
      <c r="N130" s="1170"/>
      <c r="O130" s="1170"/>
      <c r="P130" s="1170"/>
      <c r="Q130" s="1170"/>
      <c r="R130" s="1170"/>
      <c r="S130" s="1170"/>
      <c r="T130" s="1170"/>
      <c r="U130" s="1170"/>
      <c r="V130" s="1170"/>
      <c r="W130" s="1170"/>
      <c r="X130" s="1170"/>
      <c r="Y130" s="1170"/>
      <c r="Z130" s="1170"/>
      <c r="AA130" s="1170"/>
      <c r="AB130" s="1170"/>
      <c r="AC130" s="1170"/>
      <c r="AD130" s="1171"/>
      <c r="AE130" s="1353">
        <v>1</v>
      </c>
      <c r="AF130" s="1353"/>
      <c r="AG130" s="1353"/>
      <c r="AH130" s="1353"/>
      <c r="AI130" s="1353"/>
      <c r="AJ130" s="1353"/>
      <c r="AK130" s="1353"/>
      <c r="AL130" s="1353"/>
      <c r="AM130" s="289"/>
      <c r="AN130" s="289"/>
      <c r="AO130" s="289"/>
      <c r="AP130" s="289"/>
      <c r="AQ130" s="289"/>
      <c r="AR130" s="289"/>
      <c r="AS130" s="289"/>
      <c r="AT130" s="289"/>
      <c r="AU130" s="289"/>
      <c r="AV130" s="289"/>
      <c r="AW130" s="289"/>
      <c r="AX130" s="289"/>
      <c r="AY130" s="289"/>
      <c r="AZ130" s="289"/>
    </row>
    <row r="131" spans="1:52" s="291" customFormat="1" ht="18" customHeight="1">
      <c r="A131" s="297"/>
      <c r="B131" s="1169" t="s">
        <v>2555</v>
      </c>
      <c r="C131" s="1170"/>
      <c r="D131" s="1170"/>
      <c r="E131" s="1170"/>
      <c r="F131" s="1170"/>
      <c r="G131" s="1170"/>
      <c r="H131" s="1170"/>
      <c r="I131" s="1170"/>
      <c r="J131" s="1170"/>
      <c r="K131" s="1170"/>
      <c r="L131" s="1170"/>
      <c r="M131" s="1170"/>
      <c r="N131" s="1170"/>
      <c r="O131" s="1170"/>
      <c r="P131" s="1170"/>
      <c r="Q131" s="1170"/>
      <c r="R131" s="1170"/>
      <c r="S131" s="1170"/>
      <c r="T131" s="1170"/>
      <c r="U131" s="1170"/>
      <c r="V131" s="1170"/>
      <c r="W131" s="1170"/>
      <c r="X131" s="1170"/>
      <c r="Y131" s="1170"/>
      <c r="Z131" s="1170"/>
      <c r="AA131" s="1170"/>
      <c r="AB131" s="1170"/>
      <c r="AC131" s="1170"/>
      <c r="AD131" s="1171"/>
      <c r="AE131" s="1353">
        <v>1</v>
      </c>
      <c r="AF131" s="1353"/>
      <c r="AG131" s="1353"/>
      <c r="AH131" s="1353"/>
      <c r="AI131" s="1353"/>
      <c r="AJ131" s="1353"/>
      <c r="AK131" s="1353"/>
      <c r="AL131" s="1353"/>
      <c r="AM131" s="289"/>
      <c r="AN131" s="289"/>
      <c r="AO131" s="289"/>
      <c r="AP131" s="289"/>
      <c r="AQ131" s="289"/>
      <c r="AR131" s="289"/>
      <c r="AS131" s="289"/>
      <c r="AT131" s="289"/>
      <c r="AU131" s="289"/>
      <c r="AV131" s="289"/>
      <c r="AW131" s="289"/>
      <c r="AX131" s="289"/>
      <c r="AY131" s="289"/>
      <c r="AZ131" s="289"/>
    </row>
    <row r="132" spans="1:52" s="291" customFormat="1" ht="39" customHeight="1">
      <c r="A132" s="297"/>
      <c r="B132" s="1371" t="s">
        <v>2613</v>
      </c>
      <c r="C132" s="1372"/>
      <c r="D132" s="1372"/>
      <c r="E132" s="1372"/>
      <c r="F132" s="1372"/>
      <c r="G132" s="1372"/>
      <c r="H132" s="1372"/>
      <c r="I132" s="1372"/>
      <c r="J132" s="1372"/>
      <c r="K132" s="1372"/>
      <c r="L132" s="1372"/>
      <c r="M132" s="1372"/>
      <c r="N132" s="1372"/>
      <c r="O132" s="1372"/>
      <c r="P132" s="1372"/>
      <c r="Q132" s="1372"/>
      <c r="R132" s="1372"/>
      <c r="S132" s="1372"/>
      <c r="T132" s="1372"/>
      <c r="U132" s="1372"/>
      <c r="V132" s="1372"/>
      <c r="W132" s="1372"/>
      <c r="X132" s="1372"/>
      <c r="Y132" s="1372"/>
      <c r="Z132" s="1372"/>
      <c r="AA132" s="1372"/>
      <c r="AB132" s="1372"/>
      <c r="AC132" s="1372"/>
      <c r="AD132" s="1373"/>
      <c r="AE132" s="1353">
        <v>1</v>
      </c>
      <c r="AF132" s="1353"/>
      <c r="AG132" s="1353"/>
      <c r="AH132" s="1353"/>
      <c r="AI132" s="1353"/>
      <c r="AJ132" s="1353"/>
      <c r="AK132" s="1353"/>
      <c r="AL132" s="1353"/>
      <c r="AM132" s="289"/>
      <c r="AN132" s="289"/>
      <c r="AO132" s="289"/>
      <c r="AP132" s="289"/>
      <c r="AQ132" s="289"/>
      <c r="AR132" s="289"/>
      <c r="AS132" s="289"/>
      <c r="AT132" s="289"/>
      <c r="AU132" s="289"/>
      <c r="AV132" s="289"/>
      <c r="AW132" s="289"/>
      <c r="AX132" s="289"/>
      <c r="AY132" s="289"/>
      <c r="AZ132" s="289"/>
    </row>
    <row r="133" spans="1:52" s="291" customFormat="1" ht="18" customHeight="1">
      <c r="A133" s="297"/>
      <c r="B133" s="1412" t="s">
        <v>2614</v>
      </c>
      <c r="C133" s="1413"/>
      <c r="D133" s="1413"/>
      <c r="E133" s="1413"/>
      <c r="F133" s="1413"/>
      <c r="G133" s="1413"/>
      <c r="H133" s="1413"/>
      <c r="I133" s="1413"/>
      <c r="J133" s="1413"/>
      <c r="K133" s="1413"/>
      <c r="L133" s="1413"/>
      <c r="M133" s="1413"/>
      <c r="N133" s="1413"/>
      <c r="O133" s="1413"/>
      <c r="P133" s="1413"/>
      <c r="Q133" s="1413"/>
      <c r="R133" s="1413"/>
      <c r="S133" s="1413"/>
      <c r="T133" s="1413"/>
      <c r="U133" s="1413"/>
      <c r="V133" s="1413"/>
      <c r="W133" s="1413"/>
      <c r="X133" s="1413"/>
      <c r="Y133" s="1413"/>
      <c r="Z133" s="1413"/>
      <c r="AA133" s="1413"/>
      <c r="AB133" s="1413"/>
      <c r="AC133" s="1413"/>
      <c r="AD133" s="1414"/>
      <c r="AE133" s="1420">
        <v>1</v>
      </c>
      <c r="AF133" s="1353"/>
      <c r="AG133" s="1353"/>
      <c r="AH133" s="1353"/>
      <c r="AI133" s="1353"/>
      <c r="AJ133" s="1353"/>
      <c r="AK133" s="1353"/>
      <c r="AL133" s="1353"/>
      <c r="AM133" s="289"/>
      <c r="AN133" s="289"/>
      <c r="AO133" s="289"/>
      <c r="AP133" s="289"/>
      <c r="AQ133" s="289"/>
      <c r="AR133" s="289"/>
      <c r="AS133" s="289"/>
      <c r="AT133" s="289"/>
      <c r="AU133" s="289"/>
      <c r="AV133" s="289"/>
      <c r="AW133" s="289"/>
      <c r="AX133" s="289"/>
      <c r="AY133" s="289"/>
      <c r="AZ133" s="289"/>
    </row>
    <row r="134" spans="1:52" s="291" customFormat="1" ht="18" customHeight="1">
      <c r="A134" s="297"/>
      <c r="B134" s="1402" t="s">
        <v>468</v>
      </c>
      <c r="C134" s="1403"/>
      <c r="D134" s="1403"/>
      <c r="E134" s="1403"/>
      <c r="F134" s="1403"/>
      <c r="G134" s="1403"/>
      <c r="H134" s="1403"/>
      <c r="I134" s="1403"/>
      <c r="J134" s="1403"/>
      <c r="K134" s="1403"/>
      <c r="L134" s="1403"/>
      <c r="M134" s="1403"/>
      <c r="N134" s="1403"/>
      <c r="O134" s="1403"/>
      <c r="P134" s="1403"/>
      <c r="Q134" s="1403"/>
      <c r="R134" s="1403"/>
      <c r="S134" s="1403"/>
      <c r="T134" s="1403"/>
      <c r="U134" s="1403"/>
      <c r="V134" s="1403"/>
      <c r="W134" s="1403"/>
      <c r="X134" s="1403"/>
      <c r="Y134" s="1403"/>
      <c r="Z134" s="1403"/>
      <c r="AA134" s="1403"/>
      <c r="AB134" s="1403"/>
      <c r="AC134" s="1403"/>
      <c r="AD134" s="1411"/>
      <c r="AE134" s="1208"/>
      <c r="AF134" s="1208"/>
      <c r="AG134" s="1208"/>
      <c r="AH134" s="1208"/>
      <c r="AI134" s="1208"/>
      <c r="AJ134" s="1208"/>
      <c r="AK134" s="1208"/>
      <c r="AL134" s="1208"/>
      <c r="AM134" s="289"/>
      <c r="AN134" s="289"/>
      <c r="AO134" s="289"/>
      <c r="AP134" s="289"/>
      <c r="AQ134" s="289"/>
      <c r="AR134" s="289"/>
      <c r="AS134" s="289"/>
      <c r="AT134" s="289"/>
      <c r="AU134" s="289"/>
      <c r="AV134" s="289"/>
      <c r="AW134" s="289"/>
      <c r="AX134" s="289"/>
      <c r="AY134" s="289"/>
      <c r="AZ134" s="289"/>
    </row>
    <row r="135" spans="1:52" s="291" customFormat="1" ht="18" customHeight="1">
      <c r="A135" s="297"/>
      <c r="B135" s="1405" t="s">
        <v>2556</v>
      </c>
      <c r="C135" s="1319"/>
      <c r="D135" s="1319"/>
      <c r="E135" s="1319"/>
      <c r="F135" s="1319"/>
      <c r="G135" s="1319"/>
      <c r="H135" s="1319"/>
      <c r="I135" s="1319"/>
      <c r="J135" s="1319"/>
      <c r="K135" s="1319"/>
      <c r="L135" s="1319"/>
      <c r="M135" s="1319"/>
      <c r="N135" s="1319"/>
      <c r="O135" s="1319"/>
      <c r="P135" s="1319"/>
      <c r="Q135" s="1319"/>
      <c r="R135" s="1319"/>
      <c r="S135" s="1319"/>
      <c r="T135" s="1319"/>
      <c r="U135" s="1319"/>
      <c r="V135" s="1319"/>
      <c r="W135" s="1319"/>
      <c r="X135" s="1319"/>
      <c r="Y135" s="1319"/>
      <c r="Z135" s="1319"/>
      <c r="AA135" s="1319"/>
      <c r="AB135" s="1319"/>
      <c r="AC135" s="1319"/>
      <c r="AD135" s="1406"/>
      <c r="AE135" s="1353">
        <v>1</v>
      </c>
      <c r="AF135" s="1353"/>
      <c r="AG135" s="1353"/>
      <c r="AH135" s="1353"/>
      <c r="AI135" s="1353"/>
      <c r="AJ135" s="1353"/>
      <c r="AK135" s="1353"/>
      <c r="AL135" s="1353"/>
      <c r="AM135" s="289"/>
      <c r="AN135" s="289"/>
      <c r="AO135" s="289"/>
      <c r="AP135" s="289"/>
      <c r="AQ135" s="289"/>
      <c r="AR135" s="289"/>
      <c r="AS135" s="289"/>
      <c r="AT135" s="289"/>
      <c r="AU135" s="289"/>
      <c r="AV135" s="289"/>
      <c r="AW135" s="289"/>
      <c r="AX135" s="289"/>
      <c r="AY135" s="289"/>
      <c r="AZ135" s="289"/>
    </row>
    <row r="136" spans="1:52" s="291" customFormat="1" ht="18" customHeight="1">
      <c r="A136" s="297"/>
      <c r="B136" s="1169" t="s">
        <v>2557</v>
      </c>
      <c r="C136" s="1170"/>
      <c r="D136" s="1170"/>
      <c r="E136" s="1170"/>
      <c r="F136" s="1170"/>
      <c r="G136" s="1170"/>
      <c r="H136" s="1170"/>
      <c r="I136" s="1170"/>
      <c r="J136" s="1170"/>
      <c r="K136" s="1170"/>
      <c r="L136" s="1170"/>
      <c r="M136" s="1170"/>
      <c r="N136" s="1170"/>
      <c r="O136" s="1170"/>
      <c r="P136" s="1170"/>
      <c r="Q136" s="1170"/>
      <c r="R136" s="1170"/>
      <c r="S136" s="1170"/>
      <c r="T136" s="1170"/>
      <c r="U136" s="1170"/>
      <c r="V136" s="1170"/>
      <c r="W136" s="1170"/>
      <c r="X136" s="1170"/>
      <c r="Y136" s="1170"/>
      <c r="Z136" s="1170"/>
      <c r="AA136" s="1170"/>
      <c r="AB136" s="1170"/>
      <c r="AC136" s="1170"/>
      <c r="AD136" s="1171"/>
      <c r="AE136" s="1429">
        <v>0.01</v>
      </c>
      <c r="AF136" s="1429"/>
      <c r="AG136" s="1429"/>
      <c r="AH136" s="1429"/>
      <c r="AI136" s="1429"/>
      <c r="AJ136" s="1429"/>
      <c r="AK136" s="1429"/>
      <c r="AL136" s="1429"/>
      <c r="AM136" s="289"/>
      <c r="AN136" s="289"/>
      <c r="AO136" s="289"/>
      <c r="AP136" s="289"/>
      <c r="AQ136" s="289"/>
      <c r="AR136" s="289"/>
      <c r="AS136" s="289"/>
      <c r="AT136" s="289"/>
      <c r="AU136" s="289"/>
      <c r="AV136" s="289"/>
      <c r="AW136" s="289"/>
      <c r="AX136" s="289"/>
      <c r="AY136" s="289"/>
      <c r="AZ136" s="289"/>
    </row>
    <row r="137" spans="1:52" s="291" customFormat="1" ht="18" customHeight="1">
      <c r="A137" s="297"/>
      <c r="B137" s="300" t="s">
        <v>469</v>
      </c>
      <c r="C137" s="488"/>
      <c r="D137" s="488"/>
      <c r="E137" s="488"/>
      <c r="F137" s="488"/>
      <c r="G137" s="488"/>
      <c r="H137" s="488"/>
      <c r="I137" s="488"/>
      <c r="J137" s="488"/>
      <c r="K137" s="488"/>
      <c r="L137" s="488"/>
      <c r="M137" s="488"/>
      <c r="N137" s="488"/>
      <c r="O137" s="488"/>
      <c r="P137" s="488"/>
      <c r="Q137" s="488"/>
      <c r="R137" s="488"/>
      <c r="S137" s="488"/>
      <c r="T137" s="488"/>
      <c r="U137" s="479"/>
      <c r="V137" s="479"/>
      <c r="W137" s="479"/>
      <c r="X137" s="479"/>
      <c r="Y137" s="488"/>
      <c r="Z137" s="488"/>
      <c r="AA137" s="488"/>
      <c r="AB137" s="479"/>
      <c r="AC137" s="479"/>
      <c r="AD137" s="479"/>
      <c r="AE137" s="487"/>
      <c r="AF137" s="487"/>
      <c r="AG137" s="487"/>
      <c r="AH137" s="487"/>
      <c r="AI137" s="487"/>
      <c r="AJ137" s="487"/>
      <c r="AK137" s="487"/>
      <c r="AL137" s="487"/>
      <c r="AM137" s="289"/>
      <c r="AN137" s="289"/>
      <c r="AO137" s="289"/>
      <c r="AP137" s="289"/>
      <c r="AQ137" s="289"/>
      <c r="AR137" s="289"/>
      <c r="AS137" s="289"/>
      <c r="AT137" s="289"/>
      <c r="AU137" s="289"/>
      <c r="AV137" s="289"/>
      <c r="AW137" s="289"/>
      <c r="AX137" s="289"/>
      <c r="AY137" s="289"/>
      <c r="AZ137" s="289"/>
    </row>
    <row r="138" spans="1:52" s="291" customFormat="1" ht="18" customHeight="1">
      <c r="A138" s="297"/>
      <c r="B138" s="1425"/>
      <c r="C138" s="1425"/>
      <c r="D138" s="1425"/>
      <c r="E138" s="1425"/>
      <c r="F138" s="1425"/>
      <c r="G138" s="1425"/>
      <c r="H138" s="289"/>
      <c r="I138" s="289"/>
      <c r="J138" s="289"/>
      <c r="K138" s="308"/>
      <c r="L138" s="308"/>
      <c r="M138" s="308"/>
      <c r="N138" s="308"/>
      <c r="O138" s="308"/>
      <c r="P138" s="308"/>
      <c r="Q138" s="309"/>
      <c r="R138" s="309"/>
      <c r="S138" s="308"/>
      <c r="T138" s="308"/>
      <c r="U138" s="289"/>
      <c r="V138" s="289"/>
      <c r="W138" s="289"/>
      <c r="X138" s="289"/>
      <c r="Y138" s="308"/>
      <c r="Z138" s="308"/>
      <c r="AA138" s="308"/>
      <c r="AB138" s="289"/>
      <c r="AC138" s="289"/>
      <c r="AD138" s="289"/>
      <c r="AE138" s="289"/>
      <c r="AF138" s="289"/>
      <c r="AG138" s="289"/>
      <c r="AH138" s="289"/>
      <c r="AI138" s="289"/>
      <c r="AJ138" s="289"/>
      <c r="AK138" s="289"/>
      <c r="AL138" s="289"/>
      <c r="AM138" s="289"/>
      <c r="AN138" s="289"/>
      <c r="AO138" s="289"/>
      <c r="AP138" s="289"/>
      <c r="AQ138" s="289"/>
      <c r="AR138" s="289"/>
      <c r="AS138" s="289"/>
      <c r="AT138" s="289"/>
      <c r="AU138" s="289"/>
      <c r="AV138" s="289"/>
      <c r="AW138" s="289"/>
      <c r="AX138" s="289"/>
      <c r="AY138" s="289"/>
      <c r="AZ138" s="289"/>
    </row>
    <row r="139" spans="1:52" s="291" customFormat="1" ht="18" customHeight="1">
      <c r="A139" s="292" t="s">
        <v>260</v>
      </c>
      <c r="B139" s="295" t="s">
        <v>2804</v>
      </c>
      <c r="C139" s="295"/>
      <c r="D139" s="287"/>
      <c r="E139" s="287"/>
      <c r="F139" s="287"/>
      <c r="G139" s="287"/>
      <c r="H139" s="287"/>
      <c r="I139" s="287"/>
      <c r="J139" s="287"/>
      <c r="K139" s="287"/>
      <c r="L139" s="287"/>
      <c r="M139" s="287"/>
      <c r="N139" s="287"/>
      <c r="O139" s="287"/>
      <c r="P139" s="287"/>
      <c r="Q139" s="488"/>
      <c r="R139" s="488"/>
      <c r="S139" s="287"/>
      <c r="T139" s="287"/>
      <c r="U139" s="288"/>
      <c r="V139" s="288"/>
      <c r="W139" s="288"/>
      <c r="X139" s="288"/>
      <c r="Y139" s="287"/>
      <c r="Z139" s="287"/>
      <c r="AA139" s="287"/>
      <c r="AB139" s="288"/>
      <c r="AC139" s="288"/>
      <c r="AD139" s="288"/>
      <c r="AE139" s="288"/>
      <c r="AF139" s="288"/>
      <c r="AG139" s="288"/>
      <c r="AH139" s="288"/>
      <c r="AI139" s="288"/>
      <c r="AJ139" s="288"/>
      <c r="AK139" s="288"/>
      <c r="AL139" s="288"/>
      <c r="AM139" s="288"/>
      <c r="AN139" s="288"/>
      <c r="AO139" s="288"/>
      <c r="AP139" s="288"/>
      <c r="AQ139" s="288"/>
      <c r="AR139" s="288"/>
      <c r="AS139" s="288"/>
      <c r="AT139" s="288"/>
      <c r="AU139" s="288"/>
      <c r="AV139" s="288"/>
      <c r="AW139" s="288"/>
      <c r="AX139" s="288"/>
      <c r="AY139" s="288"/>
      <c r="AZ139" s="288"/>
    </row>
    <row r="140" spans="1:52" s="291" customFormat="1" ht="12.75" customHeight="1">
      <c r="A140" s="294"/>
      <c r="B140" s="305"/>
      <c r="C140" s="305"/>
      <c r="D140" s="305"/>
      <c r="E140" s="305"/>
      <c r="F140" s="305"/>
      <c r="G140" s="305"/>
      <c r="H140" s="305"/>
      <c r="I140" s="305"/>
      <c r="J140" s="305"/>
      <c r="K140" s="287"/>
      <c r="L140" s="287"/>
      <c r="M140" s="287"/>
      <c r="N140" s="287"/>
      <c r="O140" s="287"/>
      <c r="P140" s="287"/>
      <c r="Q140" s="488"/>
      <c r="R140" s="488"/>
      <c r="S140" s="287"/>
      <c r="T140" s="287"/>
      <c r="U140" s="288"/>
      <c r="V140" s="288"/>
      <c r="W140" s="288"/>
      <c r="X140" s="288"/>
      <c r="Y140" s="287"/>
      <c r="Z140" s="287"/>
      <c r="AA140" s="287"/>
      <c r="AB140" s="288"/>
      <c r="AC140" s="288"/>
      <c r="AD140" s="288"/>
      <c r="AE140" s="288"/>
      <c r="AF140" s="288"/>
      <c r="AG140" s="288"/>
      <c r="AH140" s="288"/>
      <c r="AI140" s="288"/>
      <c r="AJ140" s="288"/>
      <c r="AK140" s="288"/>
      <c r="AL140" s="288"/>
      <c r="AM140" s="288"/>
      <c r="AN140" s="288"/>
      <c r="AO140" s="288"/>
      <c r="AP140" s="288"/>
      <c r="AQ140" s="288"/>
      <c r="AR140" s="288"/>
      <c r="AS140" s="288"/>
      <c r="AT140" s="288"/>
      <c r="AU140" s="288"/>
      <c r="AV140" s="288"/>
      <c r="AW140" s="288"/>
      <c r="AX140" s="288"/>
      <c r="AY140" s="288"/>
      <c r="AZ140" s="288"/>
    </row>
    <row r="141" spans="1:52" s="291" customFormat="1" ht="18" customHeight="1">
      <c r="A141" s="294"/>
      <c r="B141" s="1253" t="s">
        <v>470</v>
      </c>
      <c r="C141" s="1254"/>
      <c r="D141" s="1254"/>
      <c r="E141" s="1254"/>
      <c r="F141" s="1254"/>
      <c r="G141" s="1254"/>
      <c r="H141" s="1254"/>
      <c r="I141" s="1254"/>
      <c r="J141" s="1254"/>
      <c r="K141" s="1254"/>
      <c r="L141" s="1254"/>
      <c r="M141" s="1254"/>
      <c r="N141" s="1254"/>
      <c r="O141" s="1255"/>
      <c r="P141" s="1256" t="s">
        <v>471</v>
      </c>
      <c r="Q141" s="1256"/>
      <c r="R141" s="1256" t="s">
        <v>23</v>
      </c>
      <c r="S141" s="1256"/>
      <c r="T141" s="1256"/>
      <c r="U141" s="1256"/>
      <c r="V141" s="1256" t="s">
        <v>768</v>
      </c>
      <c r="W141" s="1256"/>
      <c r="X141" s="1256"/>
      <c r="Y141" s="1256"/>
      <c r="Z141" s="1256"/>
      <c r="AA141" s="1348"/>
      <c r="AB141" s="1348"/>
      <c r="AC141" s="1348"/>
      <c r="AD141" s="1348"/>
      <c r="AE141" s="1348"/>
      <c r="AF141" s="1348"/>
      <c r="AG141" s="1348"/>
      <c r="AH141" s="1348"/>
      <c r="AI141" s="1348"/>
      <c r="AJ141" s="1348"/>
      <c r="AK141" s="1348"/>
      <c r="AL141" s="1348"/>
      <c r="AM141" s="1348"/>
      <c r="AN141" s="1348"/>
      <c r="AO141" s="1348"/>
      <c r="AP141" s="1348"/>
      <c r="AQ141" s="1348"/>
      <c r="AR141" s="1348"/>
      <c r="AS141" s="1348"/>
      <c r="AT141" s="1348"/>
      <c r="AU141" s="1348"/>
      <c r="AV141" s="1348"/>
      <c r="AW141" s="1348"/>
      <c r="AX141" s="1348"/>
      <c r="AY141" s="1348"/>
      <c r="AZ141" s="1348"/>
    </row>
    <row r="142" spans="1:52" s="291" customFormat="1" ht="18" customHeight="1">
      <c r="A142" s="294"/>
      <c r="B142" s="1325" t="s">
        <v>389</v>
      </c>
      <c r="C142" s="1326"/>
      <c r="D142" s="1326"/>
      <c r="E142" s="1326"/>
      <c r="F142" s="1326"/>
      <c r="G142" s="1326"/>
      <c r="H142" s="1326"/>
      <c r="I142" s="1326"/>
      <c r="J142" s="1326"/>
      <c r="K142" s="1326"/>
      <c r="L142" s="1326"/>
      <c r="M142" s="1326"/>
      <c r="N142" s="1326"/>
      <c r="O142" s="1327"/>
      <c r="P142" s="1187"/>
      <c r="Q142" s="1210"/>
      <c r="R142" s="1208"/>
      <c r="S142" s="1208"/>
      <c r="T142" s="1208"/>
      <c r="U142" s="1208"/>
      <c r="V142" s="1379"/>
      <c r="W142" s="1379"/>
      <c r="X142" s="1379"/>
      <c r="Y142" s="1379"/>
      <c r="Z142" s="1379"/>
      <c r="AA142" s="1424"/>
      <c r="AB142" s="1424"/>
      <c r="AC142" s="1424"/>
      <c r="AD142" s="1424"/>
      <c r="AE142" s="1424"/>
      <c r="AF142" s="1314"/>
      <c r="AG142" s="1314"/>
      <c r="AH142" s="1314"/>
      <c r="AI142" s="1314"/>
      <c r="AJ142" s="1314"/>
      <c r="AK142" s="1314"/>
      <c r="AL142" s="1314"/>
      <c r="AM142" s="1314"/>
      <c r="AN142" s="1314"/>
      <c r="AO142" s="1314"/>
      <c r="AP142" s="1314"/>
      <c r="AQ142" s="1314"/>
      <c r="AR142" s="1314"/>
      <c r="AS142" s="1314"/>
      <c r="AT142" s="1314"/>
      <c r="AU142" s="1314"/>
      <c r="AV142" s="1314"/>
      <c r="AW142" s="1314"/>
      <c r="AX142" s="1314"/>
      <c r="AY142" s="1314"/>
      <c r="AZ142" s="1314"/>
    </row>
    <row r="143" spans="1:52" s="291" customFormat="1" ht="18" customHeight="1">
      <c r="A143" s="297"/>
      <c r="B143" s="1405" t="s">
        <v>2558</v>
      </c>
      <c r="C143" s="1319"/>
      <c r="D143" s="1319"/>
      <c r="E143" s="1319"/>
      <c r="F143" s="1319"/>
      <c r="G143" s="1319"/>
      <c r="H143" s="1319"/>
      <c r="I143" s="1319"/>
      <c r="J143" s="1319"/>
      <c r="K143" s="1319"/>
      <c r="L143" s="1319"/>
      <c r="M143" s="1319"/>
      <c r="N143" s="1319"/>
      <c r="O143" s="1406"/>
      <c r="P143" s="1187" t="s">
        <v>472</v>
      </c>
      <c r="Q143" s="1210"/>
      <c r="R143" s="1410">
        <f>DATOS!L44+DATOS!L60</f>
        <v>0</v>
      </c>
      <c r="S143" s="1208"/>
      <c r="T143" s="1208"/>
      <c r="U143" s="1208"/>
      <c r="V143" s="1427">
        <f>DATOS!V44+DATOS!V60</f>
        <v>0</v>
      </c>
      <c r="W143" s="1427"/>
      <c r="X143" s="1427"/>
      <c r="Y143" s="1427"/>
      <c r="Z143" s="1427"/>
      <c r="AA143" s="1424"/>
      <c r="AB143" s="1424"/>
      <c r="AC143" s="1424"/>
      <c r="AD143" s="1424"/>
      <c r="AE143" s="1424"/>
      <c r="AF143" s="1217"/>
      <c r="AG143" s="1217"/>
      <c r="AH143" s="1217"/>
      <c r="AI143" s="1217"/>
      <c r="AJ143" s="1217"/>
      <c r="AK143" s="1217"/>
      <c r="AL143" s="1217"/>
      <c r="AM143" s="1217"/>
      <c r="AN143" s="1217"/>
      <c r="AO143" s="1217"/>
      <c r="AP143" s="1217"/>
      <c r="AQ143" s="1217"/>
      <c r="AR143" s="1217"/>
      <c r="AS143" s="1217"/>
      <c r="AT143" s="1217"/>
      <c r="AU143" s="1217"/>
      <c r="AV143" s="1217"/>
      <c r="AW143" s="1217"/>
      <c r="AX143" s="1217"/>
      <c r="AY143" s="1217"/>
      <c r="AZ143" s="1217"/>
    </row>
    <row r="144" spans="1:52" s="291" customFormat="1" ht="18" customHeight="1">
      <c r="A144" s="297"/>
      <c r="B144" s="1405" t="s">
        <v>2559</v>
      </c>
      <c r="C144" s="1319"/>
      <c r="D144" s="1319"/>
      <c r="E144" s="1319"/>
      <c r="F144" s="1319"/>
      <c r="G144" s="1319"/>
      <c r="H144" s="1319"/>
      <c r="I144" s="1319"/>
      <c r="J144" s="1319"/>
      <c r="K144" s="1319"/>
      <c r="L144" s="1319"/>
      <c r="M144" s="1319"/>
      <c r="N144" s="1319"/>
      <c r="O144" s="1406"/>
      <c r="P144" s="1187"/>
      <c r="Q144" s="1210"/>
      <c r="R144" s="1410"/>
      <c r="S144" s="1208"/>
      <c r="T144" s="1208"/>
      <c r="U144" s="1208"/>
      <c r="V144" s="1427"/>
      <c r="W144" s="1427"/>
      <c r="X144" s="1427"/>
      <c r="Y144" s="1427"/>
      <c r="Z144" s="1427"/>
      <c r="AA144" s="1428"/>
      <c r="AB144" s="1428"/>
      <c r="AC144" s="1428"/>
      <c r="AD144" s="1428"/>
      <c r="AE144" s="1428"/>
      <c r="AF144" s="1217"/>
      <c r="AG144" s="1217"/>
      <c r="AH144" s="1217"/>
      <c r="AI144" s="1217"/>
      <c r="AJ144" s="1217"/>
      <c r="AK144" s="1217"/>
      <c r="AL144" s="1217"/>
      <c r="AM144" s="1217"/>
      <c r="AN144" s="1217"/>
      <c r="AO144" s="1217"/>
      <c r="AP144" s="1217"/>
      <c r="AQ144" s="1217"/>
      <c r="AR144" s="1217"/>
      <c r="AS144" s="1217"/>
      <c r="AT144" s="1217"/>
      <c r="AU144" s="1217"/>
      <c r="AV144" s="1217"/>
      <c r="AW144" s="1217"/>
      <c r="AX144" s="1217"/>
      <c r="AY144" s="1217"/>
      <c r="AZ144" s="1217"/>
    </row>
    <row r="145" spans="1:52" s="291" customFormat="1" ht="18" customHeight="1">
      <c r="A145" s="297"/>
      <c r="B145" s="1430" t="s">
        <v>2560</v>
      </c>
      <c r="C145" s="1431"/>
      <c r="D145" s="1431"/>
      <c r="E145" s="1431"/>
      <c r="F145" s="1431"/>
      <c r="G145" s="1431"/>
      <c r="H145" s="1431"/>
      <c r="I145" s="1431"/>
      <c r="J145" s="1431"/>
      <c r="K145" s="1431"/>
      <c r="L145" s="1431"/>
      <c r="M145" s="1431"/>
      <c r="N145" s="1431"/>
      <c r="O145" s="1432"/>
      <c r="P145" s="1187" t="s">
        <v>472</v>
      </c>
      <c r="Q145" s="1210"/>
      <c r="R145" s="1410">
        <f>DATOS!AJ44+DATOS!AJ60</f>
        <v>0</v>
      </c>
      <c r="S145" s="1208"/>
      <c r="T145" s="1208"/>
      <c r="U145" s="1208"/>
      <c r="V145" s="1427">
        <f>DATOS!AT44+DATOS!AT60</f>
        <v>0</v>
      </c>
      <c r="W145" s="1427"/>
      <c r="X145" s="1427"/>
      <c r="Y145" s="1427"/>
      <c r="Z145" s="1427"/>
      <c r="AA145" s="1428"/>
      <c r="AB145" s="1428"/>
      <c r="AC145" s="1428"/>
      <c r="AD145" s="1428"/>
      <c r="AE145" s="1428"/>
      <c r="AF145" s="1217"/>
      <c r="AG145" s="1217"/>
      <c r="AH145" s="1217"/>
      <c r="AI145" s="1217"/>
      <c r="AJ145" s="1217"/>
      <c r="AK145" s="1217"/>
      <c r="AL145" s="1217"/>
      <c r="AM145" s="1217"/>
      <c r="AN145" s="1217"/>
      <c r="AO145" s="1217"/>
      <c r="AP145" s="1217"/>
      <c r="AQ145" s="1217"/>
      <c r="AR145" s="1217"/>
      <c r="AS145" s="1217"/>
      <c r="AT145" s="1217"/>
      <c r="AU145" s="1217"/>
      <c r="AV145" s="487"/>
      <c r="AW145" s="487"/>
      <c r="AX145" s="487"/>
      <c r="AY145" s="487"/>
      <c r="AZ145" s="487"/>
    </row>
    <row r="146" spans="1:52" s="291" customFormat="1" ht="18" customHeight="1">
      <c r="A146" s="297"/>
      <c r="B146" s="1430" t="s">
        <v>2561</v>
      </c>
      <c r="C146" s="1431"/>
      <c r="D146" s="1431"/>
      <c r="E146" s="1431"/>
      <c r="F146" s="1431"/>
      <c r="G146" s="1431"/>
      <c r="H146" s="1431"/>
      <c r="I146" s="1431"/>
      <c r="J146" s="1431"/>
      <c r="K146" s="1431"/>
      <c r="L146" s="1431"/>
      <c r="M146" s="1431"/>
      <c r="N146" s="1431"/>
      <c r="O146" s="1432"/>
      <c r="P146" s="1187" t="s">
        <v>472</v>
      </c>
      <c r="Q146" s="1210"/>
      <c r="R146" s="1410">
        <f>DATOS!L51+DATOS!L67</f>
        <v>0</v>
      </c>
      <c r="S146" s="1208"/>
      <c r="T146" s="1208"/>
      <c r="U146" s="1208"/>
      <c r="V146" s="1427">
        <f>DATOS!V51+DATOS!V67</f>
        <v>0</v>
      </c>
      <c r="W146" s="1427"/>
      <c r="X146" s="1427"/>
      <c r="Y146" s="1427"/>
      <c r="Z146" s="1427"/>
      <c r="AA146" s="1428"/>
      <c r="AB146" s="1428"/>
      <c r="AC146" s="1428"/>
      <c r="AD146" s="1428"/>
      <c r="AE146" s="1428"/>
      <c r="AF146" s="1217"/>
      <c r="AG146" s="1217"/>
      <c r="AH146" s="1217"/>
      <c r="AI146" s="1217"/>
      <c r="AJ146" s="1217"/>
      <c r="AK146" s="1217"/>
      <c r="AL146" s="1217"/>
      <c r="AM146" s="1217"/>
      <c r="AN146" s="1217"/>
      <c r="AO146" s="1217"/>
      <c r="AP146" s="1217"/>
      <c r="AQ146" s="1217"/>
      <c r="AR146" s="1217"/>
      <c r="AS146" s="1217"/>
      <c r="AT146" s="1217"/>
      <c r="AU146" s="1217"/>
      <c r="AV146" s="487"/>
      <c r="AW146" s="487"/>
      <c r="AX146" s="487"/>
      <c r="AY146" s="487"/>
      <c r="AZ146" s="487"/>
    </row>
    <row r="147" spans="1:52" s="291" customFormat="1" ht="18" customHeight="1">
      <c r="A147" s="297"/>
      <c r="B147" s="1325" t="s">
        <v>390</v>
      </c>
      <c r="C147" s="1326"/>
      <c r="D147" s="1326"/>
      <c r="E147" s="1326"/>
      <c r="F147" s="1326"/>
      <c r="G147" s="1326"/>
      <c r="H147" s="1326"/>
      <c r="I147" s="1326"/>
      <c r="J147" s="1326"/>
      <c r="K147" s="1326"/>
      <c r="L147" s="1326"/>
      <c r="M147" s="1326"/>
      <c r="N147" s="1326"/>
      <c r="O147" s="1327"/>
      <c r="P147" s="1187"/>
      <c r="Q147" s="1210"/>
      <c r="R147" s="1208"/>
      <c r="S147" s="1208"/>
      <c r="T147" s="1208"/>
      <c r="U147" s="1208"/>
      <c r="V147" s="1427"/>
      <c r="W147" s="1427"/>
      <c r="X147" s="1427"/>
      <c r="Y147" s="1427"/>
      <c r="Z147" s="1427"/>
      <c r="AA147" s="1424"/>
      <c r="AB147" s="1424"/>
      <c r="AC147" s="1424"/>
      <c r="AD147" s="1424"/>
      <c r="AE147" s="1424"/>
      <c r="AF147" s="1217"/>
      <c r="AG147" s="1217"/>
      <c r="AH147" s="1217"/>
      <c r="AI147" s="1217"/>
      <c r="AJ147" s="1217"/>
      <c r="AK147" s="1314"/>
      <c r="AL147" s="1314"/>
      <c r="AM147" s="1314"/>
      <c r="AN147" s="1314"/>
      <c r="AO147" s="1314"/>
      <c r="AP147" s="1314"/>
      <c r="AQ147" s="1314"/>
      <c r="AR147" s="1314"/>
      <c r="AS147" s="1314"/>
      <c r="AT147" s="1314"/>
      <c r="AU147" s="1314"/>
      <c r="AV147" s="1314"/>
      <c r="AW147" s="1314"/>
      <c r="AX147" s="1314"/>
      <c r="AY147" s="1314"/>
      <c r="AZ147" s="1314"/>
    </row>
    <row r="148" spans="1:52" s="291" customFormat="1" ht="18" customHeight="1">
      <c r="A148" s="297"/>
      <c r="B148" s="1405" t="s">
        <v>2562</v>
      </c>
      <c r="C148" s="1319"/>
      <c r="D148" s="1319"/>
      <c r="E148" s="1319"/>
      <c r="F148" s="1319"/>
      <c r="G148" s="1319"/>
      <c r="H148" s="1319"/>
      <c r="I148" s="1319"/>
      <c r="J148" s="1319"/>
      <c r="K148" s="1319"/>
      <c r="L148" s="1319"/>
      <c r="M148" s="1319"/>
      <c r="N148" s="1319"/>
      <c r="O148" s="1406"/>
      <c r="P148" s="1187" t="s">
        <v>472</v>
      </c>
      <c r="Q148" s="1210"/>
      <c r="R148" s="1208">
        <f>DATOS!N72</f>
        <v>0</v>
      </c>
      <c r="S148" s="1208"/>
      <c r="T148" s="1208"/>
      <c r="U148" s="1208"/>
      <c r="V148" s="1427">
        <f>DATOS!N72</f>
        <v>0</v>
      </c>
      <c r="W148" s="1427"/>
      <c r="X148" s="1427"/>
      <c r="Y148" s="1427"/>
      <c r="Z148" s="1427"/>
      <c r="AA148" s="1433"/>
      <c r="AB148" s="1424"/>
      <c r="AC148" s="1424"/>
      <c r="AD148" s="1424"/>
      <c r="AE148" s="1424"/>
      <c r="AF148" s="1217"/>
      <c r="AG148" s="1217"/>
      <c r="AH148" s="1217"/>
      <c r="AI148" s="1217"/>
      <c r="AJ148" s="1217"/>
      <c r="AK148" s="1217"/>
      <c r="AL148" s="1217"/>
      <c r="AM148" s="1217"/>
      <c r="AN148" s="1217"/>
      <c r="AO148" s="1217"/>
      <c r="AP148" s="1217"/>
      <c r="AQ148" s="1217"/>
      <c r="AR148" s="1217"/>
      <c r="AS148" s="1217"/>
      <c r="AT148" s="1217"/>
      <c r="AU148" s="1217"/>
      <c r="AV148" s="1217"/>
      <c r="AW148" s="1217"/>
      <c r="AX148" s="1217"/>
      <c r="AY148" s="1217"/>
      <c r="AZ148" s="1217"/>
    </row>
    <row r="149" spans="1:52" s="291" customFormat="1" ht="18" customHeight="1">
      <c r="A149" s="297"/>
      <c r="B149" s="1405" t="s">
        <v>2563</v>
      </c>
      <c r="C149" s="1319"/>
      <c r="D149" s="1319"/>
      <c r="E149" s="1319"/>
      <c r="F149" s="1319"/>
      <c r="G149" s="1319"/>
      <c r="H149" s="1319"/>
      <c r="I149" s="1319"/>
      <c r="J149" s="1319"/>
      <c r="K149" s="1319"/>
      <c r="L149" s="1319"/>
      <c r="M149" s="1319"/>
      <c r="N149" s="1319"/>
      <c r="O149" s="1406"/>
      <c r="P149" s="1187" t="s">
        <v>472</v>
      </c>
      <c r="Q149" s="1210"/>
      <c r="R149" s="1290">
        <f>DATOS!N73</f>
        <v>0</v>
      </c>
      <c r="S149" s="1290"/>
      <c r="T149" s="1290"/>
      <c r="U149" s="1290"/>
      <c r="V149" s="1427">
        <f>DATOS!N73</f>
        <v>0</v>
      </c>
      <c r="W149" s="1427"/>
      <c r="X149" s="1427"/>
      <c r="Y149" s="1427"/>
      <c r="Z149" s="1427"/>
      <c r="AA149" s="1424"/>
      <c r="AB149" s="1424"/>
      <c r="AC149" s="1424"/>
      <c r="AD149" s="1424"/>
      <c r="AE149" s="1424"/>
      <c r="AF149" s="1217"/>
      <c r="AG149" s="1217"/>
      <c r="AH149" s="1217"/>
      <c r="AI149" s="1217"/>
      <c r="AJ149" s="1217"/>
      <c r="AK149" s="1217"/>
      <c r="AL149" s="1217"/>
      <c r="AM149" s="1217"/>
      <c r="AN149" s="1217"/>
      <c r="AO149" s="1217"/>
      <c r="AP149" s="1217"/>
      <c r="AQ149" s="1217"/>
      <c r="AR149" s="1217"/>
      <c r="AS149" s="1217"/>
      <c r="AT149" s="1217"/>
      <c r="AU149" s="1217"/>
      <c r="AV149" s="1217"/>
      <c r="AW149" s="1217"/>
      <c r="AX149" s="1217"/>
      <c r="AY149" s="1217"/>
      <c r="AZ149" s="1217"/>
    </row>
    <row r="150" spans="1:52" s="291" customFormat="1" ht="18" customHeight="1">
      <c r="A150" s="297"/>
      <c r="B150" s="1325" t="s">
        <v>401</v>
      </c>
      <c r="C150" s="1326"/>
      <c r="D150" s="1326"/>
      <c r="E150" s="1326"/>
      <c r="F150" s="1326"/>
      <c r="G150" s="1326"/>
      <c r="H150" s="1326"/>
      <c r="I150" s="1326"/>
      <c r="J150" s="1326"/>
      <c r="K150" s="1326"/>
      <c r="L150" s="1326"/>
      <c r="M150" s="1326"/>
      <c r="N150" s="1326"/>
      <c r="O150" s="1327"/>
      <c r="P150" s="1187"/>
      <c r="Q150" s="1210"/>
      <c r="R150" s="1208"/>
      <c r="S150" s="1208"/>
      <c r="T150" s="1208"/>
      <c r="U150" s="1208"/>
      <c r="V150" s="1427"/>
      <c r="W150" s="1427"/>
      <c r="X150" s="1427"/>
      <c r="Y150" s="1427"/>
      <c r="Z150" s="1427"/>
      <c r="AA150" s="1424"/>
      <c r="AB150" s="1424"/>
      <c r="AC150" s="1424"/>
      <c r="AD150" s="1424"/>
      <c r="AE150" s="1424"/>
      <c r="AF150" s="1217"/>
      <c r="AG150" s="1217"/>
      <c r="AH150" s="1217"/>
      <c r="AI150" s="1217"/>
      <c r="AJ150" s="1217"/>
      <c r="AK150" s="1314"/>
      <c r="AL150" s="1314"/>
      <c r="AM150" s="1314"/>
      <c r="AN150" s="1314"/>
      <c r="AO150" s="1314"/>
      <c r="AP150" s="1314"/>
      <c r="AQ150" s="1314"/>
      <c r="AR150" s="1314"/>
      <c r="AS150" s="1314"/>
      <c r="AT150" s="1314"/>
      <c r="AU150" s="1314"/>
      <c r="AV150" s="1314"/>
      <c r="AW150" s="1314"/>
      <c r="AX150" s="1314"/>
      <c r="AY150" s="1314"/>
      <c r="AZ150" s="1314"/>
    </row>
    <row r="151" spans="1:52" s="291" customFormat="1" ht="18" customHeight="1">
      <c r="A151" s="297"/>
      <c r="B151" s="1405" t="s">
        <v>2996</v>
      </c>
      <c r="C151" s="1319"/>
      <c r="D151" s="1319"/>
      <c r="E151" s="1319"/>
      <c r="F151" s="1319"/>
      <c r="G151" s="1319"/>
      <c r="H151" s="1319"/>
      <c r="I151" s="1319"/>
      <c r="J151" s="1319"/>
      <c r="K151" s="1319"/>
      <c r="L151" s="1319"/>
      <c r="M151" s="1319"/>
      <c r="N151" s="1319"/>
      <c r="O151" s="1406"/>
      <c r="P151" s="1187" t="s">
        <v>472</v>
      </c>
      <c r="Q151" s="1210"/>
      <c r="R151" s="1208">
        <f>+DATOS!AF128</f>
        <v>0</v>
      </c>
      <c r="S151" s="1208"/>
      <c r="T151" s="1208"/>
      <c r="U151" s="1208"/>
      <c r="V151" s="1434">
        <f>+DATOS!AT128</f>
        <v>0</v>
      </c>
      <c r="W151" s="1434"/>
      <c r="X151" s="1434"/>
      <c r="Y151" s="1434"/>
      <c r="Z151" s="1434"/>
      <c r="AA151" s="1424"/>
      <c r="AB151" s="1424"/>
      <c r="AC151" s="1424"/>
      <c r="AD151" s="1424"/>
      <c r="AE151" s="1424"/>
      <c r="AF151" s="1217"/>
      <c r="AG151" s="1217"/>
      <c r="AH151" s="1217"/>
      <c r="AI151" s="1217"/>
      <c r="AJ151" s="1217"/>
      <c r="AK151" s="1217"/>
      <c r="AL151" s="1217"/>
      <c r="AM151" s="1217"/>
      <c r="AN151" s="1217"/>
      <c r="AO151" s="1217"/>
      <c r="AP151" s="1217"/>
      <c r="AQ151" s="1217"/>
      <c r="AR151" s="1217"/>
      <c r="AS151" s="1217"/>
      <c r="AT151" s="1217"/>
      <c r="AU151" s="1217"/>
      <c r="AV151" s="1217"/>
      <c r="AW151" s="1217"/>
      <c r="AX151" s="1217"/>
      <c r="AY151" s="1217"/>
      <c r="AZ151" s="1217"/>
    </row>
    <row r="152" spans="1:52" s="291" customFormat="1" ht="18" customHeight="1">
      <c r="A152" s="297"/>
      <c r="B152" s="1325" t="s">
        <v>2805</v>
      </c>
      <c r="C152" s="1326"/>
      <c r="D152" s="1326"/>
      <c r="E152" s="1326"/>
      <c r="F152" s="1326"/>
      <c r="G152" s="1326"/>
      <c r="H152" s="1326"/>
      <c r="I152" s="1326"/>
      <c r="J152" s="1326"/>
      <c r="K152" s="1326"/>
      <c r="L152" s="1326"/>
      <c r="M152" s="1326"/>
      <c r="N152" s="1326"/>
      <c r="O152" s="1327"/>
      <c r="P152" s="1187"/>
      <c r="Q152" s="1210"/>
      <c r="R152" s="1208"/>
      <c r="S152" s="1208"/>
      <c r="T152" s="1208"/>
      <c r="U152" s="1208"/>
      <c r="V152" s="1427"/>
      <c r="W152" s="1427"/>
      <c r="X152" s="1427"/>
      <c r="Y152" s="1427"/>
      <c r="Z152" s="1427"/>
      <c r="AA152" s="1424"/>
      <c r="AB152" s="1424"/>
      <c r="AC152" s="1424"/>
      <c r="AD152" s="1424"/>
      <c r="AE152" s="1424"/>
      <c r="AF152" s="1217"/>
      <c r="AG152" s="1217"/>
      <c r="AH152" s="1217"/>
      <c r="AI152" s="1217"/>
      <c r="AJ152" s="1217"/>
      <c r="AK152" s="1314"/>
      <c r="AL152" s="1314"/>
      <c r="AM152" s="1314"/>
      <c r="AN152" s="1314"/>
      <c r="AO152" s="1314"/>
      <c r="AP152" s="1314"/>
      <c r="AQ152" s="1314"/>
      <c r="AR152" s="1314"/>
      <c r="AS152" s="1314"/>
      <c r="AT152" s="1314"/>
      <c r="AU152" s="1314"/>
      <c r="AV152" s="1314"/>
      <c r="AW152" s="1314"/>
      <c r="AX152" s="1314"/>
      <c r="AY152" s="1314"/>
      <c r="AZ152" s="1314"/>
    </row>
    <row r="153" spans="1:52" s="291" customFormat="1" ht="36" customHeight="1">
      <c r="A153" s="297"/>
      <c r="B153" s="1405" t="s">
        <v>2564</v>
      </c>
      <c r="C153" s="1319"/>
      <c r="D153" s="1319"/>
      <c r="E153" s="1319"/>
      <c r="F153" s="1319"/>
      <c r="G153" s="1319"/>
      <c r="H153" s="1319"/>
      <c r="I153" s="1319"/>
      <c r="J153" s="1319"/>
      <c r="K153" s="1319"/>
      <c r="L153" s="1319"/>
      <c r="M153" s="1319"/>
      <c r="N153" s="1319"/>
      <c r="O153" s="1406"/>
      <c r="P153" s="1187" t="s">
        <v>22</v>
      </c>
      <c r="Q153" s="1210"/>
      <c r="R153" s="1290">
        <f>DATOS!R137</f>
        <v>0</v>
      </c>
      <c r="S153" s="1290"/>
      <c r="T153" s="1290"/>
      <c r="U153" s="1290"/>
      <c r="V153" s="1435">
        <f>DATOS!V137</f>
        <v>0</v>
      </c>
      <c r="W153" s="1435"/>
      <c r="X153" s="1435"/>
      <c r="Y153" s="1435"/>
      <c r="Z153" s="1435"/>
      <c r="AA153" s="1424"/>
      <c r="AB153" s="1424"/>
      <c r="AC153" s="1424"/>
      <c r="AD153" s="1424"/>
      <c r="AE153" s="1424"/>
      <c r="AF153" s="1217"/>
      <c r="AG153" s="1217"/>
      <c r="AH153" s="1217"/>
      <c r="AI153" s="1217"/>
      <c r="AJ153" s="1217"/>
      <c r="AK153" s="1217"/>
      <c r="AL153" s="1217"/>
      <c r="AM153" s="1217"/>
      <c r="AN153" s="1217"/>
      <c r="AO153" s="1217"/>
      <c r="AP153" s="1217"/>
      <c r="AQ153" s="1217"/>
      <c r="AR153" s="1217"/>
      <c r="AS153" s="1217"/>
      <c r="AT153" s="1217"/>
      <c r="AU153" s="1217"/>
      <c r="AV153" s="1217"/>
      <c r="AW153" s="1217"/>
      <c r="AX153" s="1217"/>
      <c r="AY153" s="1217"/>
      <c r="AZ153" s="1217"/>
    </row>
    <row r="154" spans="1:52" s="291" customFormat="1" ht="36" customHeight="1">
      <c r="A154" s="297"/>
      <c r="B154" s="1405" t="s">
        <v>2565</v>
      </c>
      <c r="C154" s="1319"/>
      <c r="D154" s="1319"/>
      <c r="E154" s="1319"/>
      <c r="F154" s="1319"/>
      <c r="G154" s="1319"/>
      <c r="H154" s="1319"/>
      <c r="I154" s="1319"/>
      <c r="J154" s="1319"/>
      <c r="K154" s="1319"/>
      <c r="L154" s="1319"/>
      <c r="M154" s="1319"/>
      <c r="N154" s="1319"/>
      <c r="O154" s="1406"/>
      <c r="P154" s="1187" t="s">
        <v>22</v>
      </c>
      <c r="Q154" s="1210"/>
      <c r="R154" s="1290">
        <f>DATOS!R138</f>
        <v>0</v>
      </c>
      <c r="S154" s="1290"/>
      <c r="T154" s="1290"/>
      <c r="U154" s="1290"/>
      <c r="V154" s="1435">
        <f>DATOS!V138</f>
        <v>0</v>
      </c>
      <c r="W154" s="1435"/>
      <c r="X154" s="1435"/>
      <c r="Y154" s="1435"/>
      <c r="Z154" s="1435"/>
      <c r="AA154" s="1424"/>
      <c r="AB154" s="1424"/>
      <c r="AC154" s="1424"/>
      <c r="AD154" s="1424"/>
      <c r="AE154" s="1424"/>
      <c r="AF154" s="1217"/>
      <c r="AG154" s="1217"/>
      <c r="AH154" s="1217"/>
      <c r="AI154" s="1217"/>
      <c r="AJ154" s="1217"/>
      <c r="AK154" s="1217"/>
      <c r="AL154" s="1217"/>
      <c r="AM154" s="1217"/>
      <c r="AN154" s="1217"/>
      <c r="AO154" s="1217"/>
      <c r="AP154" s="1217"/>
      <c r="AQ154" s="1217"/>
      <c r="AR154" s="1217"/>
      <c r="AS154" s="1217"/>
      <c r="AT154" s="1217"/>
      <c r="AU154" s="1217"/>
      <c r="AV154" s="1217"/>
      <c r="AW154" s="1217"/>
      <c r="AX154" s="1217"/>
      <c r="AY154" s="1217"/>
      <c r="AZ154" s="1217"/>
    </row>
    <row r="155" spans="1:52" s="291" customFormat="1" ht="18" customHeight="1">
      <c r="A155" s="297"/>
      <c r="B155" s="1325" t="s">
        <v>764</v>
      </c>
      <c r="C155" s="1326"/>
      <c r="D155" s="1326"/>
      <c r="E155" s="1326"/>
      <c r="F155" s="1326"/>
      <c r="G155" s="1326"/>
      <c r="H155" s="1326"/>
      <c r="I155" s="1326"/>
      <c r="J155" s="1326"/>
      <c r="K155" s="1326"/>
      <c r="L155" s="1326"/>
      <c r="M155" s="1326"/>
      <c r="N155" s="1326"/>
      <c r="O155" s="1327"/>
      <c r="P155" s="1187"/>
      <c r="Q155" s="1210"/>
      <c r="R155" s="1208"/>
      <c r="S155" s="1208"/>
      <c r="T155" s="1208"/>
      <c r="U155" s="1208"/>
      <c r="V155" s="1427"/>
      <c r="W155" s="1427"/>
      <c r="X155" s="1427"/>
      <c r="Y155" s="1427"/>
      <c r="Z155" s="1427"/>
      <c r="AA155" s="1424"/>
      <c r="AB155" s="1424"/>
      <c r="AC155" s="1424"/>
      <c r="AD155" s="1424"/>
      <c r="AE155" s="1424"/>
      <c r="AF155" s="1217"/>
      <c r="AG155" s="1217"/>
      <c r="AH155" s="1217"/>
      <c r="AI155" s="1217"/>
      <c r="AJ155" s="1217"/>
      <c r="AK155" s="1314"/>
      <c r="AL155" s="1314"/>
      <c r="AM155" s="1314"/>
      <c r="AN155" s="1314"/>
      <c r="AO155" s="1314"/>
      <c r="AP155" s="1314"/>
      <c r="AQ155" s="1314"/>
      <c r="AR155" s="1314"/>
      <c r="AS155" s="1314"/>
      <c r="AT155" s="1314"/>
      <c r="AU155" s="1314"/>
      <c r="AV155" s="1314"/>
      <c r="AW155" s="1314"/>
      <c r="AX155" s="1314"/>
      <c r="AY155" s="1314"/>
      <c r="AZ155" s="1314"/>
    </row>
    <row r="156" spans="1:52" s="291" customFormat="1" ht="18" customHeight="1">
      <c r="A156" s="297"/>
      <c r="B156" s="1405" t="s">
        <v>2806</v>
      </c>
      <c r="C156" s="1319"/>
      <c r="D156" s="1319"/>
      <c r="E156" s="1319"/>
      <c r="F156" s="1319"/>
      <c r="G156" s="1319"/>
      <c r="H156" s="1319"/>
      <c r="I156" s="1319"/>
      <c r="J156" s="1319"/>
      <c r="K156" s="1319"/>
      <c r="L156" s="1319"/>
      <c r="M156" s="1319"/>
      <c r="N156" s="1319"/>
      <c r="O156" s="1406"/>
      <c r="P156" s="1187" t="s">
        <v>472</v>
      </c>
      <c r="Q156" s="1210"/>
      <c r="R156" s="1290">
        <f>DATOS!R165</f>
        <v>0</v>
      </c>
      <c r="S156" s="1290"/>
      <c r="T156" s="1290"/>
      <c r="U156" s="1290"/>
      <c r="V156" s="1435">
        <f>DATOS!AA165</f>
        <v>0</v>
      </c>
      <c r="W156" s="1435"/>
      <c r="X156" s="1435"/>
      <c r="Y156" s="1435"/>
      <c r="Z156" s="1435"/>
      <c r="AA156" s="1424"/>
      <c r="AB156" s="1424"/>
      <c r="AC156" s="1424"/>
      <c r="AD156" s="1424"/>
      <c r="AE156" s="1424"/>
      <c r="AF156" s="1217"/>
      <c r="AG156" s="1217"/>
      <c r="AH156" s="1217"/>
      <c r="AI156" s="1217"/>
      <c r="AJ156" s="1217"/>
      <c r="AK156" s="1217"/>
      <c r="AL156" s="1217"/>
      <c r="AM156" s="1217"/>
      <c r="AN156" s="1217"/>
      <c r="AO156" s="1217"/>
      <c r="AP156" s="1217"/>
      <c r="AQ156" s="1217"/>
      <c r="AR156" s="1217"/>
      <c r="AS156" s="1217"/>
      <c r="AT156" s="1217"/>
      <c r="AU156" s="1217"/>
      <c r="AV156" s="1217"/>
      <c r="AW156" s="1217"/>
      <c r="AX156" s="1217"/>
      <c r="AY156" s="1217"/>
      <c r="AZ156" s="1217"/>
    </row>
    <row r="157" spans="1:52" s="291" customFormat="1" ht="18" customHeight="1">
      <c r="A157" s="297"/>
      <c r="B157" s="1405" t="s">
        <v>2566</v>
      </c>
      <c r="C157" s="1319"/>
      <c r="D157" s="1319"/>
      <c r="E157" s="1319"/>
      <c r="F157" s="1319"/>
      <c r="G157" s="1319"/>
      <c r="H157" s="1319"/>
      <c r="I157" s="1319"/>
      <c r="J157" s="1319"/>
      <c r="K157" s="1319"/>
      <c r="L157" s="1319"/>
      <c r="M157" s="1319"/>
      <c r="N157" s="1319"/>
      <c r="O157" s="1406"/>
      <c r="P157" s="1187" t="s">
        <v>472</v>
      </c>
      <c r="Q157" s="1210"/>
      <c r="R157" s="1290">
        <f>DATOS!R166</f>
        <v>0</v>
      </c>
      <c r="S157" s="1290"/>
      <c r="T157" s="1290"/>
      <c r="U157" s="1290"/>
      <c r="V157" s="1435">
        <f>DATOS!AA166</f>
        <v>0</v>
      </c>
      <c r="W157" s="1435"/>
      <c r="X157" s="1435"/>
      <c r="Y157" s="1435"/>
      <c r="Z157" s="1435"/>
      <c r="AA157" s="1424"/>
      <c r="AB157" s="1424"/>
      <c r="AC157" s="1424"/>
      <c r="AD157" s="1424"/>
      <c r="AE157" s="1424"/>
      <c r="AF157" s="1217"/>
      <c r="AG157" s="1217"/>
      <c r="AH157" s="1217"/>
      <c r="AI157" s="1217"/>
      <c r="AJ157" s="1217"/>
      <c r="AK157" s="1217"/>
      <c r="AL157" s="1217"/>
      <c r="AM157" s="1217"/>
      <c r="AN157" s="1217"/>
      <c r="AO157" s="1217"/>
      <c r="AP157" s="1217"/>
      <c r="AQ157" s="1217"/>
      <c r="AR157" s="1217"/>
      <c r="AS157" s="1217"/>
      <c r="AT157" s="1217"/>
      <c r="AU157" s="1217"/>
      <c r="AV157" s="1217"/>
      <c r="AW157" s="1217"/>
      <c r="AX157" s="1217"/>
      <c r="AY157" s="1217"/>
      <c r="AZ157" s="1217"/>
    </row>
    <row r="158" spans="1:52" s="291" customFormat="1" ht="11.25" customHeight="1">
      <c r="A158" s="294"/>
      <c r="B158" s="1330"/>
      <c r="C158" s="1330"/>
      <c r="D158" s="1330"/>
      <c r="E158" s="1330"/>
      <c r="F158" s="1330"/>
      <c r="G158" s="1330"/>
      <c r="H158" s="1330"/>
      <c r="I158" s="1330"/>
      <c r="J158" s="1330"/>
      <c r="K158" s="1330"/>
      <c r="L158" s="1330"/>
      <c r="M158" s="1330"/>
      <c r="N158" s="1330"/>
      <c r="O158" s="1330"/>
      <c r="P158" s="1330"/>
      <c r="Q158" s="1330"/>
      <c r="R158" s="1330"/>
      <c r="S158" s="1330"/>
      <c r="T158" s="1330"/>
      <c r="U158" s="1330"/>
      <c r="V158" s="1330"/>
      <c r="W158" s="1330"/>
      <c r="X158" s="1330"/>
      <c r="Y158" s="1330"/>
      <c r="Z158" s="1330"/>
      <c r="AA158" s="1336"/>
      <c r="AB158" s="1336"/>
      <c r="AC158" s="1336"/>
      <c r="AD158" s="1336"/>
      <c r="AE158" s="1336"/>
      <c r="AF158" s="1336"/>
      <c r="AG158" s="1336"/>
      <c r="AH158" s="1336"/>
      <c r="AI158" s="1336"/>
      <c r="AJ158" s="1336"/>
      <c r="AK158" s="1336"/>
      <c r="AL158" s="1336"/>
      <c r="AM158" s="1336"/>
      <c r="AN158" s="1336"/>
      <c r="AO158" s="1336"/>
      <c r="AP158" s="1336"/>
      <c r="AQ158" s="1336"/>
      <c r="AR158" s="1336"/>
      <c r="AS158" s="1336"/>
      <c r="AT158" s="1336"/>
      <c r="AU158" s="1336"/>
      <c r="AV158" s="1336"/>
      <c r="AW158" s="1336"/>
      <c r="AX158" s="1336"/>
      <c r="AY158" s="1336"/>
      <c r="AZ158" s="1336"/>
    </row>
    <row r="159" spans="1:52" s="291" customFormat="1" ht="18" customHeight="1">
      <c r="A159" s="292" t="s">
        <v>261</v>
      </c>
      <c r="B159" s="295" t="s">
        <v>2567</v>
      </c>
      <c r="C159" s="295"/>
      <c r="D159" s="287"/>
      <c r="E159" s="287"/>
      <c r="F159" s="287"/>
      <c r="G159" s="287"/>
      <c r="H159" s="287"/>
      <c r="I159" s="287"/>
      <c r="J159" s="287"/>
      <c r="K159" s="287"/>
      <c r="L159" s="287"/>
      <c r="M159" s="287"/>
      <c r="N159" s="287"/>
      <c r="O159" s="287"/>
      <c r="P159" s="287"/>
      <c r="Q159" s="488"/>
      <c r="R159" s="488"/>
      <c r="S159" s="287"/>
      <c r="T159" s="287"/>
      <c r="U159" s="288"/>
      <c r="V159" s="288"/>
      <c r="W159" s="288"/>
      <c r="X159" s="288"/>
      <c r="Y159" s="287"/>
      <c r="Z159" s="287"/>
      <c r="AA159" s="287"/>
      <c r="AB159" s="288"/>
      <c r="AC159" s="288"/>
      <c r="AD159" s="288"/>
      <c r="AE159" s="288"/>
      <c r="AF159" s="288"/>
      <c r="AG159" s="288"/>
      <c r="AH159" s="288"/>
      <c r="AI159" s="288"/>
      <c r="AJ159" s="288"/>
      <c r="AK159" s="288"/>
      <c r="AL159" s="288"/>
      <c r="AM159" s="288"/>
      <c r="AN159" s="288"/>
      <c r="AO159" s="288"/>
      <c r="AP159" s="288"/>
      <c r="AQ159" s="288"/>
      <c r="AR159" s="288"/>
      <c r="AS159" s="288"/>
      <c r="AT159" s="288"/>
      <c r="AU159" s="288"/>
      <c r="AV159" s="288"/>
      <c r="AW159" s="288"/>
      <c r="AX159" s="288"/>
      <c r="AY159" s="288"/>
      <c r="AZ159" s="288"/>
    </row>
    <row r="160" spans="1:52" s="291" customFormat="1" ht="18" customHeight="1">
      <c r="A160" s="294"/>
      <c r="B160" s="295"/>
      <c r="C160" s="295"/>
      <c r="D160" s="295"/>
      <c r="E160" s="295"/>
      <c r="F160" s="295"/>
      <c r="G160" s="295"/>
      <c r="H160" s="295"/>
      <c r="I160" s="288"/>
      <c r="J160" s="288"/>
      <c r="K160" s="287"/>
      <c r="L160" s="287"/>
      <c r="M160" s="287"/>
      <c r="N160" s="287"/>
      <c r="O160" s="287"/>
      <c r="P160" s="287"/>
      <c r="Q160" s="488"/>
      <c r="R160" s="488"/>
      <c r="S160" s="287"/>
      <c r="T160" s="287"/>
      <c r="U160" s="288"/>
      <c r="V160" s="288"/>
      <c r="W160" s="288"/>
      <c r="X160" s="288"/>
      <c r="Y160" s="287"/>
      <c r="Z160" s="287"/>
      <c r="AA160" s="287"/>
      <c r="AB160" s="288"/>
      <c r="AC160" s="288"/>
      <c r="AD160" s="288"/>
      <c r="AE160" s="288"/>
      <c r="AF160" s="288"/>
      <c r="AG160" s="288"/>
      <c r="AH160" s="288"/>
      <c r="AI160" s="288"/>
      <c r="AJ160" s="288"/>
      <c r="AK160" s="288"/>
      <c r="AL160" s="288"/>
      <c r="AM160" s="288"/>
      <c r="AN160" s="288"/>
      <c r="AO160" s="288"/>
      <c r="AP160" s="288"/>
      <c r="AQ160" s="288"/>
      <c r="AR160" s="288"/>
      <c r="AS160" s="288"/>
      <c r="AT160" s="288"/>
      <c r="AU160" s="288"/>
      <c r="AV160" s="288"/>
      <c r="AW160" s="288"/>
      <c r="AX160" s="288"/>
      <c r="AY160" s="288"/>
      <c r="AZ160" s="288"/>
    </row>
    <row r="161" spans="1:52" s="291" customFormat="1" ht="18" customHeight="1">
      <c r="A161" s="297"/>
      <c r="B161" s="1253" t="s">
        <v>475</v>
      </c>
      <c r="C161" s="1254"/>
      <c r="D161" s="1254"/>
      <c r="E161" s="1254"/>
      <c r="F161" s="1254"/>
      <c r="G161" s="1254"/>
      <c r="H161" s="1254"/>
      <c r="I161" s="1254"/>
      <c r="J161" s="1254"/>
      <c r="K161" s="1255"/>
      <c r="L161" s="1253" t="s">
        <v>458</v>
      </c>
      <c r="M161" s="1254"/>
      <c r="N161" s="1254"/>
      <c r="O161" s="1254"/>
      <c r="P161" s="1254"/>
      <c r="Q161" s="1254"/>
      <c r="R161" s="1255"/>
      <c r="S161" s="296"/>
      <c r="T161" s="296"/>
      <c r="U161" s="293"/>
      <c r="V161" s="293"/>
      <c r="W161" s="293"/>
      <c r="X161" s="293"/>
      <c r="Y161" s="296"/>
      <c r="Z161" s="296"/>
      <c r="AA161" s="296"/>
      <c r="AB161" s="293"/>
      <c r="AC161" s="289"/>
      <c r="AD161" s="289"/>
      <c r="AE161" s="289"/>
      <c r="AF161" s="289"/>
      <c r="AG161" s="289"/>
      <c r="AH161" s="289"/>
      <c r="AI161" s="289"/>
      <c r="AJ161" s="289"/>
      <c r="AK161" s="289"/>
      <c r="AL161" s="289"/>
      <c r="AM161" s="289"/>
      <c r="AN161" s="289"/>
      <c r="AO161" s="289"/>
      <c r="AP161" s="289"/>
      <c r="AQ161" s="289"/>
      <c r="AR161" s="289"/>
      <c r="AS161" s="289"/>
      <c r="AT161" s="289"/>
      <c r="AU161" s="289"/>
      <c r="AV161" s="289"/>
      <c r="AW161" s="289"/>
      <c r="AX161" s="289"/>
      <c r="AY161" s="289"/>
      <c r="AZ161" s="289"/>
    </row>
    <row r="162" spans="1:52" s="291" customFormat="1" ht="36" customHeight="1">
      <c r="A162" s="297"/>
      <c r="B162" s="1436" t="s">
        <v>2568</v>
      </c>
      <c r="C162" s="1436"/>
      <c r="D162" s="1436"/>
      <c r="E162" s="1436"/>
      <c r="F162" s="1436"/>
      <c r="G162" s="1436"/>
      <c r="H162" s="1436"/>
      <c r="I162" s="1436"/>
      <c r="J162" s="1436"/>
      <c r="K162" s="1436"/>
      <c r="L162" s="1437">
        <f>'Población Y RR.SS'!E8</f>
        <v>0</v>
      </c>
      <c r="M162" s="1438"/>
      <c r="N162" s="1438"/>
      <c r="O162" s="1438"/>
      <c r="P162" s="1438"/>
      <c r="Q162" s="1438"/>
      <c r="R162" s="1439"/>
      <c r="S162" s="296"/>
      <c r="T162" s="296"/>
      <c r="U162" s="293"/>
      <c r="V162" s="293"/>
      <c r="W162" s="293"/>
      <c r="X162" s="293"/>
      <c r="Y162" s="296"/>
      <c r="Z162" s="296"/>
      <c r="AA162" s="296"/>
      <c r="AB162" s="293"/>
      <c r="AC162" s="289"/>
      <c r="AD162" s="289"/>
      <c r="AE162" s="289"/>
      <c r="AF162" s="289"/>
      <c r="AG162" s="289"/>
      <c r="AH162" s="289"/>
      <c r="AI162" s="289"/>
      <c r="AJ162" s="289"/>
      <c r="AK162" s="289"/>
      <c r="AL162" s="289"/>
      <c r="AM162" s="289"/>
      <c r="AN162" s="289"/>
      <c r="AO162" s="289"/>
      <c r="AP162" s="289"/>
      <c r="AQ162" s="289"/>
      <c r="AR162" s="289"/>
      <c r="AS162" s="289"/>
      <c r="AT162" s="289"/>
      <c r="AU162" s="289"/>
      <c r="AV162" s="289"/>
      <c r="AW162" s="289"/>
      <c r="AX162" s="289"/>
      <c r="AY162" s="289"/>
      <c r="AZ162" s="289"/>
    </row>
    <row r="163" spans="1:52" s="291" customFormat="1" ht="36" customHeight="1">
      <c r="A163" s="297"/>
      <c r="B163" s="1436" t="s">
        <v>2569</v>
      </c>
      <c r="C163" s="1436"/>
      <c r="D163" s="1436"/>
      <c r="E163" s="1436"/>
      <c r="F163" s="1436"/>
      <c r="G163" s="1436"/>
      <c r="H163" s="1436"/>
      <c r="I163" s="1436"/>
      <c r="J163" s="1436"/>
      <c r="K163" s="1436"/>
      <c r="L163" s="1443">
        <f>AE114</f>
        <v>0</v>
      </c>
      <c r="M163" s="1444"/>
      <c r="N163" s="1444"/>
      <c r="O163" s="1444"/>
      <c r="P163" s="1444"/>
      <c r="Q163" s="1444"/>
      <c r="R163" s="1445"/>
      <c r="S163" s="296"/>
      <c r="T163" s="296"/>
      <c r="U163" s="293"/>
      <c r="V163" s="293"/>
      <c r="W163" s="293"/>
      <c r="X163" s="293"/>
      <c r="Y163" s="296"/>
      <c r="Z163" s="296"/>
      <c r="AA163" s="296"/>
      <c r="AB163" s="293"/>
      <c r="AC163" s="289"/>
      <c r="AD163" s="289"/>
      <c r="AE163" s="289"/>
      <c r="AF163" s="289"/>
      <c r="AG163" s="289"/>
      <c r="AH163" s="289"/>
      <c r="AI163" s="289"/>
      <c r="AJ163" s="289"/>
      <c r="AK163" s="289"/>
      <c r="AL163" s="289"/>
      <c r="AM163" s="289"/>
      <c r="AN163" s="289"/>
      <c r="AO163" s="289"/>
      <c r="AP163" s="289"/>
      <c r="AQ163" s="289"/>
      <c r="AR163" s="289"/>
      <c r="AS163" s="289"/>
      <c r="AT163" s="289"/>
      <c r="AU163" s="289"/>
      <c r="AV163" s="289"/>
      <c r="AW163" s="289"/>
      <c r="AX163" s="289"/>
      <c r="AY163" s="289"/>
      <c r="AZ163" s="289"/>
    </row>
    <row r="164" spans="1:52" s="291" customFormat="1" ht="36" customHeight="1">
      <c r="A164" s="297"/>
      <c r="B164" s="1436" t="s">
        <v>2570</v>
      </c>
      <c r="C164" s="1436"/>
      <c r="D164" s="1436"/>
      <c r="E164" s="1436"/>
      <c r="F164" s="1436"/>
      <c r="G164" s="1436"/>
      <c r="H164" s="1436"/>
      <c r="I164" s="1436"/>
      <c r="J164" s="1436"/>
      <c r="K164" s="1436"/>
      <c r="L164" s="1440">
        <f>V157</f>
        <v>0</v>
      </c>
      <c r="M164" s="1441"/>
      <c r="N164" s="1441"/>
      <c r="O164" s="1441"/>
      <c r="P164" s="1441"/>
      <c r="Q164" s="1441"/>
      <c r="R164" s="1442"/>
      <c r="S164" s="296"/>
      <c r="T164" s="296"/>
      <c r="U164" s="293"/>
      <c r="V164" s="293"/>
      <c r="W164" s="293"/>
      <c r="X164" s="293"/>
      <c r="Y164" s="296"/>
      <c r="Z164" s="296"/>
      <c r="AA164" s="296"/>
      <c r="AB164" s="293"/>
      <c r="AC164" s="289"/>
      <c r="AD164" s="289"/>
      <c r="AE164" s="289"/>
      <c r="AF164" s="289"/>
      <c r="AG164" s="289"/>
      <c r="AH164" s="289"/>
      <c r="AI164" s="289"/>
      <c r="AJ164" s="289"/>
      <c r="AK164" s="289"/>
      <c r="AL164" s="289"/>
      <c r="AM164" s="289"/>
      <c r="AN164" s="289"/>
      <c r="AO164" s="289"/>
      <c r="AP164" s="289"/>
      <c r="AQ164" s="289"/>
      <c r="AR164" s="289"/>
      <c r="AS164" s="289"/>
      <c r="AT164" s="289"/>
      <c r="AU164" s="289"/>
      <c r="AV164" s="289"/>
      <c r="AW164" s="289"/>
      <c r="AX164" s="289"/>
      <c r="AY164" s="289"/>
      <c r="AZ164" s="289"/>
    </row>
    <row r="165" spans="1:52" s="291" customFormat="1" ht="18" customHeight="1">
      <c r="A165" s="297"/>
      <c r="B165" s="323"/>
      <c r="C165" s="487"/>
      <c r="D165" s="487"/>
      <c r="E165" s="487"/>
      <c r="F165" s="501"/>
      <c r="G165" s="501"/>
      <c r="H165" s="487"/>
      <c r="I165" s="502"/>
      <c r="J165" s="502"/>
      <c r="K165" s="308"/>
      <c r="L165" s="308"/>
      <c r="M165" s="308"/>
      <c r="N165" s="308"/>
      <c r="O165" s="308"/>
      <c r="P165" s="308"/>
      <c r="Q165" s="309"/>
      <c r="R165" s="309"/>
      <c r="S165" s="308"/>
      <c r="T165" s="308"/>
      <c r="U165" s="289"/>
      <c r="V165" s="289"/>
      <c r="W165" s="289"/>
      <c r="X165" s="289"/>
      <c r="Y165" s="308"/>
      <c r="Z165" s="308"/>
      <c r="AA165" s="308"/>
      <c r="AB165" s="289"/>
      <c r="AC165" s="289"/>
      <c r="AD165" s="289"/>
      <c r="AE165" s="289"/>
      <c r="AF165" s="289"/>
      <c r="AG165" s="289"/>
      <c r="AH165" s="289"/>
      <c r="AI165" s="289"/>
      <c r="AJ165" s="289"/>
      <c r="AK165" s="289"/>
      <c r="AL165" s="289"/>
      <c r="AM165" s="289"/>
      <c r="AN165" s="289"/>
      <c r="AO165" s="289"/>
      <c r="AP165" s="289"/>
      <c r="AQ165" s="289"/>
      <c r="AR165" s="289"/>
      <c r="AS165" s="289"/>
      <c r="AT165" s="289"/>
      <c r="AU165" s="289"/>
      <c r="AV165" s="289"/>
      <c r="AW165" s="289"/>
      <c r="AX165" s="289"/>
      <c r="AY165" s="289"/>
      <c r="AZ165" s="289"/>
    </row>
    <row r="166" spans="1:52" s="291" customFormat="1" ht="18" customHeight="1">
      <c r="A166" s="292" t="s">
        <v>476</v>
      </c>
      <c r="B166" s="295" t="s">
        <v>2498</v>
      </c>
      <c r="C166" s="295"/>
      <c r="D166" s="295"/>
      <c r="E166" s="295"/>
      <c r="F166" s="287"/>
      <c r="G166" s="287"/>
      <c r="H166" s="503"/>
      <c r="I166" s="503"/>
      <c r="J166" s="503"/>
      <c r="K166" s="287"/>
      <c r="L166" s="287"/>
      <c r="M166" s="287"/>
      <c r="N166" s="287"/>
      <c r="O166" s="287"/>
      <c r="P166" s="287"/>
      <c r="Q166" s="488"/>
      <c r="R166" s="488"/>
      <c r="S166" s="287"/>
      <c r="T166" s="287"/>
      <c r="U166" s="288"/>
      <c r="V166" s="288"/>
      <c r="W166" s="288"/>
      <c r="X166" s="288"/>
      <c r="Y166" s="287"/>
      <c r="Z166" s="287"/>
      <c r="AA166" s="287"/>
      <c r="AB166" s="288"/>
      <c r="AC166" s="288"/>
      <c r="AD166" s="288"/>
      <c r="AE166" s="288"/>
      <c r="AF166" s="288"/>
      <c r="AG166" s="288"/>
      <c r="AH166" s="288"/>
      <c r="AI166" s="288"/>
      <c r="AJ166" s="288"/>
      <c r="AK166" s="288"/>
      <c r="AL166" s="288"/>
      <c r="AM166" s="288"/>
      <c r="AN166" s="288"/>
      <c r="AO166" s="288"/>
      <c r="AP166" s="288"/>
      <c r="AQ166" s="288"/>
      <c r="AR166" s="288"/>
      <c r="AS166" s="288"/>
      <c r="AT166" s="288"/>
      <c r="AU166" s="288"/>
      <c r="AV166" s="288"/>
      <c r="AW166" s="288"/>
      <c r="AX166" s="288"/>
      <c r="AY166" s="288"/>
      <c r="AZ166" s="288"/>
    </row>
    <row r="167" spans="1:52" s="291" customFormat="1" ht="4.5" customHeight="1">
      <c r="A167" s="292"/>
      <c r="B167" s="295"/>
      <c r="C167" s="295"/>
      <c r="D167" s="295"/>
      <c r="E167" s="295"/>
      <c r="F167" s="287"/>
      <c r="G167" s="287"/>
      <c r="H167" s="287"/>
      <c r="I167" s="287"/>
      <c r="J167" s="287"/>
      <c r="K167" s="287"/>
      <c r="L167" s="287"/>
      <c r="M167" s="287"/>
      <c r="N167" s="287"/>
      <c r="O167" s="287"/>
      <c r="P167" s="287"/>
      <c r="Q167" s="488"/>
      <c r="R167" s="488"/>
      <c r="S167" s="287"/>
      <c r="T167" s="287"/>
      <c r="U167" s="288"/>
      <c r="V167" s="288"/>
      <c r="W167" s="288"/>
      <c r="X167" s="288"/>
      <c r="Y167" s="287"/>
      <c r="Z167" s="287"/>
      <c r="AA167" s="287"/>
      <c r="AB167" s="288"/>
      <c r="AC167" s="288"/>
      <c r="AD167" s="288"/>
      <c r="AE167" s="288"/>
      <c r="AF167" s="288"/>
      <c r="AG167" s="288"/>
      <c r="AH167" s="288"/>
      <c r="AI167" s="288"/>
      <c r="AJ167" s="288"/>
      <c r="AK167" s="288"/>
      <c r="AL167" s="288"/>
      <c r="AM167" s="288"/>
      <c r="AN167" s="288"/>
      <c r="AO167" s="288"/>
      <c r="AP167" s="288"/>
      <c r="AQ167" s="288"/>
      <c r="AR167" s="288"/>
      <c r="AS167" s="288"/>
      <c r="AT167" s="288"/>
      <c r="AU167" s="288"/>
      <c r="AV167" s="288"/>
      <c r="AW167" s="288"/>
      <c r="AX167" s="288"/>
      <c r="AY167" s="288"/>
      <c r="AZ167" s="288"/>
    </row>
    <row r="168" spans="1:52" s="291" customFormat="1" ht="18" customHeight="1">
      <c r="A168" s="292"/>
      <c r="B168" s="305" t="s">
        <v>2499</v>
      </c>
      <c r="C168" s="488"/>
      <c r="D168" s="488"/>
      <c r="E168" s="488"/>
      <c r="F168" s="488"/>
      <c r="G168" s="488"/>
      <c r="H168" s="488"/>
      <c r="I168" s="488"/>
      <c r="J168" s="488"/>
      <c r="K168" s="488"/>
      <c r="L168" s="488"/>
      <c r="M168" s="488"/>
      <c r="N168" s="488"/>
      <c r="O168" s="488"/>
      <c r="P168" s="488"/>
      <c r="Q168" s="488"/>
      <c r="R168" s="488"/>
      <c r="S168" s="287"/>
      <c r="T168" s="287"/>
      <c r="U168" s="288"/>
      <c r="V168" s="288"/>
      <c r="W168" s="288"/>
      <c r="X168" s="288"/>
      <c r="Y168" s="287"/>
      <c r="Z168" s="287"/>
      <c r="AA168" s="287"/>
      <c r="AB168" s="288"/>
      <c r="AC168" s="288"/>
      <c r="AD168" s="288"/>
      <c r="AE168" s="288"/>
      <c r="AF168" s="288"/>
      <c r="AG168" s="288"/>
      <c r="AH168" s="288"/>
      <c r="AI168" s="288"/>
      <c r="AJ168" s="288"/>
      <c r="AK168" s="288"/>
      <c r="AL168" s="288"/>
      <c r="AM168" s="288"/>
      <c r="AN168" s="288"/>
      <c r="AO168" s="288"/>
      <c r="AP168" s="288"/>
      <c r="AQ168" s="288"/>
      <c r="AR168" s="288"/>
      <c r="AS168" s="288"/>
      <c r="AT168" s="288"/>
      <c r="AU168" s="288"/>
      <c r="AV168" s="288"/>
      <c r="AW168" s="288"/>
      <c r="AX168" s="288"/>
      <c r="AY168" s="288"/>
      <c r="AZ168" s="288"/>
    </row>
    <row r="169" spans="1:52" s="291" customFormat="1" ht="18" customHeight="1">
      <c r="A169" s="294"/>
      <c r="B169" s="1177" t="str">
        <f>+CONCATENATE($M$166," LA POBLACIÓN NO ACCEDE A UN ADECUADO SERVICIO DE LIMPIEZA PÚBLICA EN LA LOCALIDAD DE ",$AO$20, ", DISTRITO ",$AB$20, ", PROVINCIA ",$O$20, ", DEPARTAMENTO ",$B$20)</f>
        <v xml:space="preserve"> LA POBLACIÓN NO ACCEDE A UN ADECUADO SERVICIO DE LIMPIEZA PÚBLICA EN LA LOCALIDAD DE SAN JUAN, DISTRITO CALLERÍA, PROVINCIA CORONEL PORTILLO, DEPARTAMENTO UCAYALI</v>
      </c>
      <c r="C169" s="1178"/>
      <c r="D169" s="1178"/>
      <c r="E169" s="1178"/>
      <c r="F169" s="1178"/>
      <c r="G169" s="1178"/>
      <c r="H169" s="1178"/>
      <c r="I169" s="1178"/>
      <c r="J169" s="1178"/>
      <c r="K169" s="1178"/>
      <c r="L169" s="1178"/>
      <c r="M169" s="1178"/>
      <c r="N169" s="1178"/>
      <c r="O169" s="1178"/>
      <c r="P169" s="1178"/>
      <c r="Q169" s="1178"/>
      <c r="R169" s="1178"/>
      <c r="S169" s="1178"/>
      <c r="T169" s="1178"/>
      <c r="U169" s="1178"/>
      <c r="V169" s="1178"/>
      <c r="W169" s="1178"/>
      <c r="X169" s="1178"/>
      <c r="Y169" s="1178"/>
      <c r="Z169" s="1178"/>
      <c r="AA169" s="1178"/>
      <c r="AB169" s="1178"/>
      <c r="AC169" s="1178"/>
      <c r="AD169" s="1178"/>
      <c r="AE169" s="1178"/>
      <c r="AF169" s="1178"/>
      <c r="AG169" s="1178"/>
      <c r="AH169" s="1178"/>
      <c r="AI169" s="1178"/>
      <c r="AJ169" s="1178"/>
      <c r="AK169" s="1178"/>
      <c r="AL169" s="1178"/>
      <c r="AM169" s="1178"/>
      <c r="AN169" s="1178"/>
      <c r="AO169" s="1178"/>
      <c r="AP169" s="1178"/>
      <c r="AQ169" s="1178"/>
      <c r="AR169" s="1178"/>
      <c r="AS169" s="1178"/>
      <c r="AT169" s="1178"/>
      <c r="AU169" s="1178"/>
      <c r="AV169" s="1178"/>
      <c r="AW169" s="1178"/>
      <c r="AX169" s="1178"/>
      <c r="AY169" s="1178"/>
      <c r="AZ169" s="1191"/>
    </row>
    <row r="170" spans="1:52" s="291" customFormat="1" ht="18" customHeight="1">
      <c r="A170" s="294"/>
      <c r="B170" s="478"/>
      <c r="C170" s="478"/>
      <c r="D170" s="478"/>
      <c r="E170" s="478"/>
      <c r="F170" s="478"/>
      <c r="G170" s="478"/>
      <c r="H170" s="478"/>
      <c r="I170" s="478"/>
      <c r="J170" s="478"/>
      <c r="K170" s="478"/>
      <c r="L170" s="478"/>
      <c r="M170" s="478"/>
      <c r="N170" s="478"/>
      <c r="O170" s="478"/>
      <c r="P170" s="478"/>
      <c r="Q170" s="479"/>
      <c r="R170" s="479"/>
      <c r="S170" s="478"/>
      <c r="T170" s="478"/>
      <c r="U170" s="478"/>
      <c r="V170" s="478"/>
      <c r="W170" s="478"/>
      <c r="X170" s="478"/>
      <c r="Y170" s="478"/>
      <c r="Z170" s="478"/>
      <c r="AA170" s="478"/>
      <c r="AB170" s="478"/>
      <c r="AC170" s="478"/>
      <c r="AD170" s="478"/>
      <c r="AE170" s="478"/>
      <c r="AF170" s="478"/>
      <c r="AG170" s="478"/>
      <c r="AH170" s="478"/>
      <c r="AI170" s="478"/>
      <c r="AJ170" s="478"/>
      <c r="AK170" s="478"/>
      <c r="AL170" s="478"/>
      <c r="AM170" s="478"/>
      <c r="AN170" s="478"/>
      <c r="AO170" s="478"/>
      <c r="AP170" s="478"/>
      <c r="AQ170" s="478"/>
      <c r="AR170" s="478"/>
      <c r="AS170" s="478"/>
      <c r="AT170" s="478"/>
      <c r="AU170" s="478"/>
      <c r="AV170" s="478"/>
      <c r="AW170" s="478"/>
      <c r="AX170" s="478"/>
      <c r="AY170" s="478"/>
      <c r="AZ170" s="478"/>
    </row>
    <row r="171" spans="1:52" s="291" customFormat="1" ht="18" customHeight="1">
      <c r="A171" s="294"/>
      <c r="B171" s="1256" t="s">
        <v>621</v>
      </c>
      <c r="C171" s="1256"/>
      <c r="D171" s="1256"/>
      <c r="E171" s="1256"/>
      <c r="F171" s="1256"/>
      <c r="G171" s="1256"/>
      <c r="H171" s="1256"/>
      <c r="I171" s="1256"/>
      <c r="J171" s="1256"/>
      <c r="K171" s="1256"/>
      <c r="L171" s="1256"/>
      <c r="M171" s="1256"/>
      <c r="N171" s="1256"/>
      <c r="O171" s="1256"/>
      <c r="P171" s="1256"/>
      <c r="Q171" s="1256"/>
      <c r="R171" s="1256"/>
      <c r="S171" s="1256"/>
      <c r="T171" s="1256"/>
      <c r="U171" s="1253" t="s">
        <v>477</v>
      </c>
      <c r="V171" s="1254"/>
      <c r="W171" s="1254"/>
      <c r="X171" s="1254"/>
      <c r="Y171" s="1254"/>
      <c r="Z171" s="1254"/>
      <c r="AA171" s="1254"/>
      <c r="AB171" s="1254"/>
      <c r="AC171" s="1254"/>
      <c r="AD171" s="1254"/>
      <c r="AE171" s="1254"/>
      <c r="AF171" s="1254"/>
      <c r="AG171" s="1254"/>
      <c r="AH171" s="1254"/>
      <c r="AI171" s="1254"/>
      <c r="AJ171" s="1254"/>
      <c r="AK171" s="1254"/>
      <c r="AL171" s="1254"/>
      <c r="AM171" s="1254"/>
      <c r="AN171" s="1254"/>
      <c r="AO171" s="1254"/>
      <c r="AP171" s="1254"/>
      <c r="AQ171" s="1254"/>
      <c r="AR171" s="1254"/>
      <c r="AS171" s="1254"/>
      <c r="AT171" s="1254"/>
      <c r="AU171" s="1254"/>
      <c r="AV171" s="1254"/>
      <c r="AW171" s="1254"/>
      <c r="AX171" s="1254"/>
      <c r="AY171" s="1254"/>
      <c r="AZ171" s="1255"/>
    </row>
    <row r="172" spans="1:52" s="291" customFormat="1" ht="18" customHeight="1">
      <c r="A172" s="298"/>
      <c r="B172" s="299"/>
      <c r="C172" s="1195" t="str">
        <f>BASE!B15</f>
        <v>Inadecuado almacenamiento en vías urbanas y áreas públicas</v>
      </c>
      <c r="D172" s="1196"/>
      <c r="E172" s="1196"/>
      <c r="F172" s="1196"/>
      <c r="G172" s="1196"/>
      <c r="H172" s="1196"/>
      <c r="I172" s="1196"/>
      <c r="J172" s="1196"/>
      <c r="K172" s="1196"/>
      <c r="L172" s="1196"/>
      <c r="M172" s="1196"/>
      <c r="N172" s="1196"/>
      <c r="O172" s="1196"/>
      <c r="P172" s="1196"/>
      <c r="Q172" s="1196"/>
      <c r="R172" s="1196"/>
      <c r="S172" s="1196"/>
      <c r="T172" s="1197"/>
      <c r="U172" s="475"/>
      <c r="V172" s="1447" t="str">
        <f>BASE!D15</f>
        <v>Inadecuado equipamiento para el almacenamiento en vías urbanas y áreas públicas</v>
      </c>
      <c r="W172" s="1447"/>
      <c r="X172" s="1447"/>
      <c r="Y172" s="1447"/>
      <c r="Z172" s="1447"/>
      <c r="AA172" s="1447"/>
      <c r="AB172" s="1447"/>
      <c r="AC172" s="1447"/>
      <c r="AD172" s="1447"/>
      <c r="AE172" s="1447"/>
      <c r="AF172" s="1447"/>
      <c r="AG172" s="1447"/>
      <c r="AH172" s="1447"/>
      <c r="AI172" s="1447"/>
      <c r="AJ172" s="1447"/>
      <c r="AK172" s="1447"/>
      <c r="AL172" s="1447"/>
      <c r="AM172" s="1447"/>
      <c r="AN172" s="1447"/>
      <c r="AO172" s="1447"/>
      <c r="AP172" s="1447"/>
      <c r="AQ172" s="1447"/>
      <c r="AR172" s="1447"/>
      <c r="AS172" s="1447"/>
      <c r="AT172" s="1447"/>
      <c r="AU172" s="1447"/>
      <c r="AV172" s="1447"/>
      <c r="AW172" s="1447"/>
      <c r="AX172" s="1447"/>
      <c r="AY172" s="1447"/>
      <c r="AZ172" s="1447"/>
    </row>
    <row r="173" spans="1:52" s="291" customFormat="1" ht="18" customHeight="1">
      <c r="A173" s="298"/>
      <c r="B173" s="299"/>
      <c r="C173" s="1195" t="str">
        <f>BASE!B16</f>
        <v>Inadecuado barrido de vías urbanas y áreas públicas</v>
      </c>
      <c r="D173" s="1196"/>
      <c r="E173" s="1196"/>
      <c r="F173" s="1196"/>
      <c r="G173" s="1196"/>
      <c r="H173" s="1196"/>
      <c r="I173" s="1196"/>
      <c r="J173" s="1196"/>
      <c r="K173" s="1196"/>
      <c r="L173" s="1196"/>
      <c r="M173" s="1196"/>
      <c r="N173" s="1196"/>
      <c r="O173" s="1196"/>
      <c r="P173" s="1196"/>
      <c r="Q173" s="1196"/>
      <c r="R173" s="1196"/>
      <c r="S173" s="1196"/>
      <c r="T173" s="1197"/>
      <c r="U173" s="475"/>
      <c r="V173" s="1447" t="str">
        <f>BASE!D16</f>
        <v>Inadecuado equipamiento para el barrido de vías urbanas y áreas públicas</v>
      </c>
      <c r="W173" s="1447"/>
      <c r="X173" s="1447"/>
      <c r="Y173" s="1447"/>
      <c r="Z173" s="1447"/>
      <c r="AA173" s="1447"/>
      <c r="AB173" s="1447"/>
      <c r="AC173" s="1447"/>
      <c r="AD173" s="1447"/>
      <c r="AE173" s="1447"/>
      <c r="AF173" s="1447"/>
      <c r="AG173" s="1447"/>
      <c r="AH173" s="1447"/>
      <c r="AI173" s="1447"/>
      <c r="AJ173" s="1447"/>
      <c r="AK173" s="1447"/>
      <c r="AL173" s="1447"/>
      <c r="AM173" s="1447"/>
      <c r="AN173" s="1447"/>
      <c r="AO173" s="1447"/>
      <c r="AP173" s="1447"/>
      <c r="AQ173" s="1447"/>
      <c r="AR173" s="1447"/>
      <c r="AS173" s="1447"/>
      <c r="AT173" s="1447"/>
      <c r="AU173" s="1447"/>
      <c r="AV173" s="1447"/>
      <c r="AW173" s="1447"/>
      <c r="AX173" s="1447"/>
      <c r="AY173" s="1447"/>
      <c r="AZ173" s="1447"/>
    </row>
    <row r="174" spans="1:52" s="291" customFormat="1" ht="18" customHeight="1">
      <c r="A174" s="298"/>
      <c r="B174" s="1458"/>
      <c r="C174" s="1449" t="str">
        <f>BASE!B17</f>
        <v>Inadecuada capacidad para la recolección y transporte</v>
      </c>
      <c r="D174" s="1450"/>
      <c r="E174" s="1450"/>
      <c r="F174" s="1450"/>
      <c r="G174" s="1450"/>
      <c r="H174" s="1450"/>
      <c r="I174" s="1450"/>
      <c r="J174" s="1450"/>
      <c r="K174" s="1450"/>
      <c r="L174" s="1450"/>
      <c r="M174" s="1450"/>
      <c r="N174" s="1450"/>
      <c r="O174" s="1450"/>
      <c r="P174" s="1450"/>
      <c r="Q174" s="1450"/>
      <c r="R174" s="1450"/>
      <c r="S174" s="1450"/>
      <c r="T174" s="1451"/>
      <c r="U174" s="475"/>
      <c r="V174" s="1447" t="str">
        <f>BASE!D17</f>
        <v>Inadecuado equipamiento para la recolección y transporte</v>
      </c>
      <c r="W174" s="1447"/>
      <c r="X174" s="1447"/>
      <c r="Y174" s="1447"/>
      <c r="Z174" s="1447"/>
      <c r="AA174" s="1447"/>
      <c r="AB174" s="1447"/>
      <c r="AC174" s="1447"/>
      <c r="AD174" s="1447"/>
      <c r="AE174" s="1447"/>
      <c r="AF174" s="1447"/>
      <c r="AG174" s="1447"/>
      <c r="AH174" s="1447"/>
      <c r="AI174" s="1447"/>
      <c r="AJ174" s="1447"/>
      <c r="AK174" s="1447"/>
      <c r="AL174" s="1447"/>
      <c r="AM174" s="1447"/>
      <c r="AN174" s="1447"/>
      <c r="AO174" s="1447"/>
      <c r="AP174" s="1447"/>
      <c r="AQ174" s="1447"/>
      <c r="AR174" s="1447"/>
      <c r="AS174" s="1447"/>
      <c r="AT174" s="1447"/>
      <c r="AU174" s="1447"/>
      <c r="AV174" s="1447"/>
      <c r="AW174" s="1447"/>
      <c r="AX174" s="1447"/>
      <c r="AY174" s="1447"/>
      <c r="AZ174" s="1447"/>
    </row>
    <row r="175" spans="1:52" s="291" customFormat="1" ht="18" customHeight="1">
      <c r="A175" s="298"/>
      <c r="B175" s="1458"/>
      <c r="C175" s="1452"/>
      <c r="D175" s="1453"/>
      <c r="E175" s="1453"/>
      <c r="F175" s="1453"/>
      <c r="G175" s="1453"/>
      <c r="H175" s="1453"/>
      <c r="I175" s="1453"/>
      <c r="J175" s="1453"/>
      <c r="K175" s="1453"/>
      <c r="L175" s="1453"/>
      <c r="M175" s="1453"/>
      <c r="N175" s="1453"/>
      <c r="O175" s="1453"/>
      <c r="P175" s="1453"/>
      <c r="Q175" s="1453"/>
      <c r="R175" s="1453"/>
      <c r="S175" s="1453"/>
      <c r="T175" s="1454"/>
      <c r="U175" s="475"/>
      <c r="V175" s="1446" t="str">
        <f>BASE!D18</f>
        <v>Inadecuados vehículos para la recolección y transporte de residuos sólidos no aprovechables</v>
      </c>
      <c r="W175" s="1446"/>
      <c r="X175" s="1446"/>
      <c r="Y175" s="1446"/>
      <c r="Z175" s="1446"/>
      <c r="AA175" s="1446"/>
      <c r="AB175" s="1446"/>
      <c r="AC175" s="1446"/>
      <c r="AD175" s="1446"/>
      <c r="AE175" s="1446"/>
      <c r="AF175" s="1446"/>
      <c r="AG175" s="1446"/>
      <c r="AH175" s="1446"/>
      <c r="AI175" s="1446"/>
      <c r="AJ175" s="1446"/>
      <c r="AK175" s="1446"/>
      <c r="AL175" s="1446"/>
      <c r="AM175" s="1446"/>
      <c r="AN175" s="1446"/>
      <c r="AO175" s="1446"/>
      <c r="AP175" s="1446"/>
      <c r="AQ175" s="1446"/>
      <c r="AR175" s="1446"/>
      <c r="AS175" s="1446"/>
      <c r="AT175" s="1446"/>
      <c r="AU175" s="1446"/>
      <c r="AV175" s="1446"/>
      <c r="AW175" s="1446"/>
      <c r="AX175" s="1446"/>
      <c r="AY175" s="1446"/>
      <c r="AZ175" s="1446"/>
    </row>
    <row r="176" spans="1:52" s="291" customFormat="1" ht="18" customHeight="1">
      <c r="A176" s="298"/>
      <c r="B176" s="1458"/>
      <c r="C176" s="1455"/>
      <c r="D176" s="1456"/>
      <c r="E176" s="1456"/>
      <c r="F176" s="1456"/>
      <c r="G176" s="1456"/>
      <c r="H176" s="1456"/>
      <c r="I176" s="1456"/>
      <c r="J176" s="1456"/>
      <c r="K176" s="1456"/>
      <c r="L176" s="1456"/>
      <c r="M176" s="1456"/>
      <c r="N176" s="1456"/>
      <c r="O176" s="1456"/>
      <c r="P176" s="1456"/>
      <c r="Q176" s="1456"/>
      <c r="R176" s="1456"/>
      <c r="S176" s="1456"/>
      <c r="T176" s="1457"/>
      <c r="U176" s="475"/>
      <c r="V176" s="1195" t="str">
        <f>BASE!D19</f>
        <v>Inadecuados vehículos para la recolección y transporte de residuos sólidos aprovechables</v>
      </c>
      <c r="W176" s="1196"/>
      <c r="X176" s="1196"/>
      <c r="Y176" s="1196"/>
      <c r="Z176" s="1196"/>
      <c r="AA176" s="1196"/>
      <c r="AB176" s="1196"/>
      <c r="AC176" s="1196"/>
      <c r="AD176" s="1196"/>
      <c r="AE176" s="1196"/>
      <c r="AF176" s="1196"/>
      <c r="AG176" s="1196"/>
      <c r="AH176" s="1196"/>
      <c r="AI176" s="1196"/>
      <c r="AJ176" s="1196"/>
      <c r="AK176" s="1196"/>
      <c r="AL176" s="1196"/>
      <c r="AM176" s="1196"/>
      <c r="AN176" s="1196"/>
      <c r="AO176" s="1196"/>
      <c r="AP176" s="1196"/>
      <c r="AQ176" s="1196"/>
      <c r="AR176" s="1196"/>
      <c r="AS176" s="1196"/>
      <c r="AT176" s="1196"/>
      <c r="AU176" s="1196"/>
      <c r="AV176" s="1196"/>
      <c r="AW176" s="1196"/>
      <c r="AX176" s="1196"/>
      <c r="AY176" s="1196"/>
      <c r="AZ176" s="1197"/>
    </row>
    <row r="177" spans="1:56" s="291" customFormat="1" ht="18" customHeight="1">
      <c r="A177" s="298"/>
      <c r="B177" s="1448"/>
      <c r="C177" s="1449" t="str">
        <f>BASE!B20</f>
        <v>Inadecuada valorización de los residuos sólidos</v>
      </c>
      <c r="D177" s="1450"/>
      <c r="E177" s="1450"/>
      <c r="F177" s="1450"/>
      <c r="G177" s="1450"/>
      <c r="H177" s="1450"/>
      <c r="I177" s="1450"/>
      <c r="J177" s="1450"/>
      <c r="K177" s="1450"/>
      <c r="L177" s="1450"/>
      <c r="M177" s="1450"/>
      <c r="N177" s="1450"/>
      <c r="O177" s="1450"/>
      <c r="P177" s="1450"/>
      <c r="Q177" s="1450"/>
      <c r="R177" s="1450"/>
      <c r="S177" s="1450"/>
      <c r="T177" s="1451"/>
      <c r="U177" s="475"/>
      <c r="V177" s="1195" t="str">
        <f>BASE!D20</f>
        <v>Inadecuada infraestructura para la valorización de residuos sólidos ORGÁNICOS</v>
      </c>
      <c r="W177" s="1196"/>
      <c r="X177" s="1196"/>
      <c r="Y177" s="1196"/>
      <c r="Z177" s="1196"/>
      <c r="AA177" s="1196"/>
      <c r="AB177" s="1196"/>
      <c r="AC177" s="1196"/>
      <c r="AD177" s="1196"/>
      <c r="AE177" s="1196"/>
      <c r="AF177" s="1196"/>
      <c r="AG177" s="1196"/>
      <c r="AH177" s="1196"/>
      <c r="AI177" s="1196"/>
      <c r="AJ177" s="1196"/>
      <c r="AK177" s="1196"/>
      <c r="AL177" s="1196"/>
      <c r="AM177" s="1196"/>
      <c r="AN177" s="1196"/>
      <c r="AO177" s="1196"/>
      <c r="AP177" s="1196"/>
      <c r="AQ177" s="1196"/>
      <c r="AR177" s="1196"/>
      <c r="AS177" s="1196"/>
      <c r="AT177" s="1196"/>
      <c r="AU177" s="1196"/>
      <c r="AV177" s="1196"/>
      <c r="AW177" s="1196"/>
      <c r="AX177" s="1196"/>
      <c r="AY177" s="1196"/>
      <c r="AZ177" s="1197"/>
    </row>
    <row r="178" spans="1:56" s="291" customFormat="1" ht="18" customHeight="1">
      <c r="A178" s="298"/>
      <c r="B178" s="1448"/>
      <c r="C178" s="1452"/>
      <c r="D178" s="1453"/>
      <c r="E178" s="1453"/>
      <c r="F178" s="1453"/>
      <c r="G178" s="1453"/>
      <c r="H178" s="1453"/>
      <c r="I178" s="1453"/>
      <c r="J178" s="1453"/>
      <c r="K178" s="1453"/>
      <c r="L178" s="1453"/>
      <c r="M178" s="1453"/>
      <c r="N178" s="1453"/>
      <c r="O178" s="1453"/>
      <c r="P178" s="1453"/>
      <c r="Q178" s="1453"/>
      <c r="R178" s="1453"/>
      <c r="S178" s="1453"/>
      <c r="T178" s="1454"/>
      <c r="U178" s="475"/>
      <c r="V178" s="1195" t="str">
        <f>BASE!D21</f>
        <v>Inadecuado equipamiento para la valorización de residuos sólidos ORGÁNICOS</v>
      </c>
      <c r="W178" s="1196"/>
      <c r="X178" s="1196"/>
      <c r="Y178" s="1196"/>
      <c r="Z178" s="1196"/>
      <c r="AA178" s="1196"/>
      <c r="AB178" s="1196"/>
      <c r="AC178" s="1196"/>
      <c r="AD178" s="1196"/>
      <c r="AE178" s="1196"/>
      <c r="AF178" s="1196"/>
      <c r="AG178" s="1196"/>
      <c r="AH178" s="1196"/>
      <c r="AI178" s="1196"/>
      <c r="AJ178" s="1196"/>
      <c r="AK178" s="1196"/>
      <c r="AL178" s="1196"/>
      <c r="AM178" s="1196"/>
      <c r="AN178" s="1196"/>
      <c r="AO178" s="1196"/>
      <c r="AP178" s="1196"/>
      <c r="AQ178" s="1196"/>
      <c r="AR178" s="1196"/>
      <c r="AS178" s="1196"/>
      <c r="AT178" s="1196"/>
      <c r="AU178" s="1196"/>
      <c r="AV178" s="1196"/>
      <c r="AW178" s="1196"/>
      <c r="AX178" s="1196"/>
      <c r="AY178" s="1196"/>
      <c r="AZ178" s="1197"/>
    </row>
    <row r="179" spans="1:56" s="291" customFormat="1" ht="18" customHeight="1">
      <c r="A179" s="298"/>
      <c r="B179" s="1448"/>
      <c r="C179" s="1452"/>
      <c r="D179" s="1453"/>
      <c r="E179" s="1453"/>
      <c r="F179" s="1453"/>
      <c r="G179" s="1453"/>
      <c r="H179" s="1453"/>
      <c r="I179" s="1453"/>
      <c r="J179" s="1453"/>
      <c r="K179" s="1453"/>
      <c r="L179" s="1453"/>
      <c r="M179" s="1453"/>
      <c r="N179" s="1453"/>
      <c r="O179" s="1453"/>
      <c r="P179" s="1453"/>
      <c r="Q179" s="1453"/>
      <c r="R179" s="1453"/>
      <c r="S179" s="1453"/>
      <c r="T179" s="1454"/>
      <c r="U179" s="475"/>
      <c r="V179" s="1195" t="str">
        <f>BASE!D22</f>
        <v>Inadecuada infraestructura para aprovechamiento de residuos sólidos INORGÁNICOS</v>
      </c>
      <c r="W179" s="1196"/>
      <c r="X179" s="1196"/>
      <c r="Y179" s="1196"/>
      <c r="Z179" s="1196"/>
      <c r="AA179" s="1196"/>
      <c r="AB179" s="1196"/>
      <c r="AC179" s="1196"/>
      <c r="AD179" s="1196"/>
      <c r="AE179" s="1196"/>
      <c r="AF179" s="1196"/>
      <c r="AG179" s="1196"/>
      <c r="AH179" s="1196"/>
      <c r="AI179" s="1196"/>
      <c r="AJ179" s="1196"/>
      <c r="AK179" s="1196"/>
      <c r="AL179" s="1196"/>
      <c r="AM179" s="1196"/>
      <c r="AN179" s="1196"/>
      <c r="AO179" s="1196"/>
      <c r="AP179" s="1196"/>
      <c r="AQ179" s="1196"/>
      <c r="AR179" s="1196"/>
      <c r="AS179" s="1196"/>
      <c r="AT179" s="1196"/>
      <c r="AU179" s="1196"/>
      <c r="AV179" s="1196"/>
      <c r="AW179" s="1196"/>
      <c r="AX179" s="1196"/>
      <c r="AY179" s="1196"/>
      <c r="AZ179" s="1197"/>
    </row>
    <row r="180" spans="1:56" s="291" customFormat="1" ht="18" customHeight="1">
      <c r="A180" s="298"/>
      <c r="B180" s="1448"/>
      <c r="C180" s="1455"/>
      <c r="D180" s="1456"/>
      <c r="E180" s="1456"/>
      <c r="F180" s="1456"/>
      <c r="G180" s="1456"/>
      <c r="H180" s="1456"/>
      <c r="I180" s="1456"/>
      <c r="J180" s="1456"/>
      <c r="K180" s="1456"/>
      <c r="L180" s="1456"/>
      <c r="M180" s="1456"/>
      <c r="N180" s="1456"/>
      <c r="O180" s="1456"/>
      <c r="P180" s="1456"/>
      <c r="Q180" s="1456"/>
      <c r="R180" s="1456"/>
      <c r="S180" s="1456"/>
      <c r="T180" s="1457"/>
      <c r="U180" s="475"/>
      <c r="V180" s="1195" t="str">
        <f>BASE!D23</f>
        <v>Inadecuado equipamiento para el aprovechamiento de residuos sólidos INORGÁNICOS</v>
      </c>
      <c r="W180" s="1196"/>
      <c r="X180" s="1196"/>
      <c r="Y180" s="1196"/>
      <c r="Z180" s="1196"/>
      <c r="AA180" s="1196"/>
      <c r="AB180" s="1196"/>
      <c r="AC180" s="1196"/>
      <c r="AD180" s="1196"/>
      <c r="AE180" s="1196"/>
      <c r="AF180" s="1196"/>
      <c r="AG180" s="1196"/>
      <c r="AH180" s="1196"/>
      <c r="AI180" s="1196"/>
      <c r="AJ180" s="1196"/>
      <c r="AK180" s="1196"/>
      <c r="AL180" s="1196"/>
      <c r="AM180" s="1196"/>
      <c r="AN180" s="1196"/>
      <c r="AO180" s="1196"/>
      <c r="AP180" s="1196"/>
      <c r="AQ180" s="1196"/>
      <c r="AR180" s="1196"/>
      <c r="AS180" s="1196"/>
      <c r="AT180" s="1196"/>
      <c r="AU180" s="1196"/>
      <c r="AV180" s="1196"/>
      <c r="AW180" s="1196"/>
      <c r="AX180" s="1196"/>
      <c r="AY180" s="1196"/>
      <c r="AZ180" s="1197"/>
    </row>
    <row r="181" spans="1:56" s="291" customFormat="1" ht="18" customHeight="1">
      <c r="A181" s="298"/>
      <c r="B181" s="1448"/>
      <c r="C181" s="1449" t="str">
        <f>BASE!B24</f>
        <v>Inadecuada disposición final de los residuos sólidos</v>
      </c>
      <c r="D181" s="1450"/>
      <c r="E181" s="1450"/>
      <c r="F181" s="1450"/>
      <c r="G181" s="1450"/>
      <c r="H181" s="1450"/>
      <c r="I181" s="1450"/>
      <c r="J181" s="1450"/>
      <c r="K181" s="1450"/>
      <c r="L181" s="1450"/>
      <c r="M181" s="1450"/>
      <c r="N181" s="1450"/>
      <c r="O181" s="1450"/>
      <c r="P181" s="1450"/>
      <c r="Q181" s="1450"/>
      <c r="R181" s="1450"/>
      <c r="S181" s="1450"/>
      <c r="T181" s="1451"/>
      <c r="U181" s="475"/>
      <c r="V181" s="1195" t="str">
        <f>BASE!D24</f>
        <v>Inadecuada infraestructura para la disposición final de residuos sólidos</v>
      </c>
      <c r="W181" s="1196"/>
      <c r="X181" s="1196"/>
      <c r="Y181" s="1196"/>
      <c r="Z181" s="1196"/>
      <c r="AA181" s="1196"/>
      <c r="AB181" s="1196"/>
      <c r="AC181" s="1196"/>
      <c r="AD181" s="1196"/>
      <c r="AE181" s="1196"/>
      <c r="AF181" s="1196"/>
      <c r="AG181" s="1196"/>
      <c r="AH181" s="1196"/>
      <c r="AI181" s="1196"/>
      <c r="AJ181" s="1196"/>
      <c r="AK181" s="1196"/>
      <c r="AL181" s="1196"/>
      <c r="AM181" s="1196"/>
      <c r="AN181" s="1196"/>
      <c r="AO181" s="1196"/>
      <c r="AP181" s="1196"/>
      <c r="AQ181" s="1196"/>
      <c r="AR181" s="1196"/>
      <c r="AS181" s="1196"/>
      <c r="AT181" s="1196"/>
      <c r="AU181" s="1196"/>
      <c r="AV181" s="1196"/>
      <c r="AW181" s="1196"/>
      <c r="AX181" s="1196"/>
      <c r="AY181" s="1196"/>
      <c r="AZ181" s="1197"/>
    </row>
    <row r="182" spans="1:56" s="291" customFormat="1" ht="18" customHeight="1">
      <c r="A182" s="298"/>
      <c r="B182" s="1448"/>
      <c r="C182" s="1455"/>
      <c r="D182" s="1456"/>
      <c r="E182" s="1456"/>
      <c r="F182" s="1456"/>
      <c r="G182" s="1456"/>
      <c r="H182" s="1456"/>
      <c r="I182" s="1456"/>
      <c r="J182" s="1456"/>
      <c r="K182" s="1456"/>
      <c r="L182" s="1456"/>
      <c r="M182" s="1456"/>
      <c r="N182" s="1456"/>
      <c r="O182" s="1456"/>
      <c r="P182" s="1456"/>
      <c r="Q182" s="1456"/>
      <c r="R182" s="1456"/>
      <c r="S182" s="1456"/>
      <c r="T182" s="1457"/>
      <c r="U182" s="475"/>
      <c r="V182" s="1195" t="str">
        <f>BASE!D25</f>
        <v xml:space="preserve">Inadecuado equipamiento para la disposición final de residuos sólidos </v>
      </c>
      <c r="W182" s="1196"/>
      <c r="X182" s="1196"/>
      <c r="Y182" s="1196"/>
      <c r="Z182" s="1196"/>
      <c r="AA182" s="1196"/>
      <c r="AB182" s="1196"/>
      <c r="AC182" s="1196"/>
      <c r="AD182" s="1196"/>
      <c r="AE182" s="1196"/>
      <c r="AF182" s="1196"/>
      <c r="AG182" s="1196"/>
      <c r="AH182" s="1196"/>
      <c r="AI182" s="1196"/>
      <c r="AJ182" s="1196"/>
      <c r="AK182" s="1196"/>
      <c r="AL182" s="1196"/>
      <c r="AM182" s="1196"/>
      <c r="AN182" s="1196"/>
      <c r="AO182" s="1196"/>
      <c r="AP182" s="1196"/>
      <c r="AQ182" s="1196"/>
      <c r="AR182" s="1196"/>
      <c r="AS182" s="1196"/>
      <c r="AT182" s="1196"/>
      <c r="AU182" s="1196"/>
      <c r="AV182" s="1196"/>
      <c r="AW182" s="1196"/>
      <c r="AX182" s="1196"/>
      <c r="AY182" s="1196"/>
      <c r="AZ182" s="1197"/>
    </row>
    <row r="183" spans="1:56" s="291" customFormat="1" ht="18" customHeight="1">
      <c r="A183" s="298"/>
      <c r="B183" s="1448"/>
      <c r="C183" s="1449" t="str">
        <f>BASE!B26</f>
        <v>Ineficiente gestión técnica, administrativa, económica y financiera del servicio de limpieza pública</v>
      </c>
      <c r="D183" s="1450"/>
      <c r="E183" s="1450"/>
      <c r="F183" s="1450"/>
      <c r="G183" s="1450"/>
      <c r="H183" s="1450"/>
      <c r="I183" s="1450"/>
      <c r="J183" s="1450"/>
      <c r="K183" s="1450"/>
      <c r="L183" s="1450"/>
      <c r="M183" s="1450"/>
      <c r="N183" s="1450"/>
      <c r="O183" s="1450"/>
      <c r="P183" s="1450"/>
      <c r="Q183" s="1450"/>
      <c r="R183" s="1450"/>
      <c r="S183" s="1450"/>
      <c r="T183" s="1451"/>
      <c r="U183" s="475"/>
      <c r="V183" s="1195" t="str">
        <f>BASE!D26</f>
        <v>Insuficientes capacidades del área encargada para brindar el Servicio de Limpieza Pública</v>
      </c>
      <c r="W183" s="1196"/>
      <c r="X183" s="1196"/>
      <c r="Y183" s="1196"/>
      <c r="Z183" s="1196"/>
      <c r="AA183" s="1196"/>
      <c r="AB183" s="1196"/>
      <c r="AC183" s="1196"/>
      <c r="AD183" s="1196"/>
      <c r="AE183" s="1196"/>
      <c r="AF183" s="1196"/>
      <c r="AG183" s="1196"/>
      <c r="AH183" s="1196"/>
      <c r="AI183" s="1196"/>
      <c r="AJ183" s="1196"/>
      <c r="AK183" s="1196"/>
      <c r="AL183" s="1196"/>
      <c r="AM183" s="1196"/>
      <c r="AN183" s="1196"/>
      <c r="AO183" s="1196"/>
      <c r="AP183" s="1196"/>
      <c r="AQ183" s="1196"/>
      <c r="AR183" s="1196"/>
      <c r="AS183" s="1196"/>
      <c r="AT183" s="1196"/>
      <c r="AU183" s="1196"/>
      <c r="AV183" s="1196"/>
      <c r="AW183" s="1196"/>
      <c r="AX183" s="1196"/>
      <c r="AY183" s="1196"/>
      <c r="AZ183" s="1197"/>
    </row>
    <row r="184" spans="1:56" s="291" customFormat="1" ht="18" customHeight="1">
      <c r="A184" s="298"/>
      <c r="B184" s="1448"/>
      <c r="C184" s="1455"/>
      <c r="D184" s="1456"/>
      <c r="E184" s="1456"/>
      <c r="F184" s="1456"/>
      <c r="G184" s="1456"/>
      <c r="H184" s="1456"/>
      <c r="I184" s="1456"/>
      <c r="J184" s="1456"/>
      <c r="K184" s="1456"/>
      <c r="L184" s="1456"/>
      <c r="M184" s="1456"/>
      <c r="N184" s="1456"/>
      <c r="O184" s="1456"/>
      <c r="P184" s="1456"/>
      <c r="Q184" s="1456"/>
      <c r="R184" s="1456"/>
      <c r="S184" s="1456"/>
      <c r="T184" s="1457"/>
      <c r="U184" s="475"/>
      <c r="V184" s="1195" t="str">
        <f>BASE!D27</f>
        <v>Inadecuada supervisión del Servicio de Limpieza Pública</v>
      </c>
      <c r="W184" s="1196"/>
      <c r="X184" s="1196"/>
      <c r="Y184" s="1196"/>
      <c r="Z184" s="1196"/>
      <c r="AA184" s="1196"/>
      <c r="AB184" s="1196"/>
      <c r="AC184" s="1196"/>
      <c r="AD184" s="1196"/>
      <c r="AE184" s="1196"/>
      <c r="AF184" s="1196"/>
      <c r="AG184" s="1196"/>
      <c r="AH184" s="1196"/>
      <c r="AI184" s="1196"/>
      <c r="AJ184" s="1196"/>
      <c r="AK184" s="1196"/>
      <c r="AL184" s="1196"/>
      <c r="AM184" s="1196"/>
      <c r="AN184" s="1196"/>
      <c r="AO184" s="1196"/>
      <c r="AP184" s="1196"/>
      <c r="AQ184" s="1196"/>
      <c r="AR184" s="1196"/>
      <c r="AS184" s="1196"/>
      <c r="AT184" s="1196"/>
      <c r="AU184" s="1196"/>
      <c r="AV184" s="1196"/>
      <c r="AW184" s="1196"/>
      <c r="AX184" s="1196"/>
      <c r="AY184" s="1196"/>
      <c r="AZ184" s="1197"/>
    </row>
    <row r="185" spans="1:56" s="291" customFormat="1" ht="18" customHeight="1">
      <c r="A185" s="298"/>
      <c r="B185" s="1448"/>
      <c r="C185" s="1449" t="str">
        <f>BASE!B28</f>
        <v>Inadecuada educación y cultura ambiental de la población</v>
      </c>
      <c r="D185" s="1450"/>
      <c r="E185" s="1450"/>
      <c r="F185" s="1450"/>
      <c r="G185" s="1450"/>
      <c r="H185" s="1450"/>
      <c r="I185" s="1450"/>
      <c r="J185" s="1450"/>
      <c r="K185" s="1450"/>
      <c r="L185" s="1450"/>
      <c r="M185" s="1450"/>
      <c r="N185" s="1450"/>
      <c r="O185" s="1450"/>
      <c r="P185" s="1450"/>
      <c r="Q185" s="1450"/>
      <c r="R185" s="1450"/>
      <c r="S185" s="1450"/>
      <c r="T185" s="1451"/>
      <c r="U185" s="475"/>
      <c r="V185" s="1195" t="str">
        <f>BASE!D28</f>
        <v>Inadecuada difusión y sensibilización sobre temas ambientales y sanitarios.</v>
      </c>
      <c r="W185" s="1196"/>
      <c r="X185" s="1196"/>
      <c r="Y185" s="1196"/>
      <c r="Z185" s="1196"/>
      <c r="AA185" s="1196"/>
      <c r="AB185" s="1196"/>
      <c r="AC185" s="1196"/>
      <c r="AD185" s="1196"/>
      <c r="AE185" s="1196"/>
      <c r="AF185" s="1196"/>
      <c r="AG185" s="1196"/>
      <c r="AH185" s="1196"/>
      <c r="AI185" s="1196"/>
      <c r="AJ185" s="1196"/>
      <c r="AK185" s="1196"/>
      <c r="AL185" s="1196"/>
      <c r="AM185" s="1196"/>
      <c r="AN185" s="1196"/>
      <c r="AO185" s="1196"/>
      <c r="AP185" s="1196"/>
      <c r="AQ185" s="1196"/>
      <c r="AR185" s="1196"/>
      <c r="AS185" s="1196"/>
      <c r="AT185" s="1196"/>
      <c r="AU185" s="1196"/>
      <c r="AV185" s="1196"/>
      <c r="AW185" s="1196"/>
      <c r="AX185" s="1196"/>
      <c r="AY185" s="1196"/>
      <c r="AZ185" s="1197"/>
    </row>
    <row r="186" spans="1:56" s="291" customFormat="1" ht="18" customHeight="1">
      <c r="A186" s="298"/>
      <c r="B186" s="1448"/>
      <c r="C186" s="1455"/>
      <c r="D186" s="1456"/>
      <c r="E186" s="1456"/>
      <c r="F186" s="1456"/>
      <c r="G186" s="1456"/>
      <c r="H186" s="1456"/>
      <c r="I186" s="1456"/>
      <c r="J186" s="1456"/>
      <c r="K186" s="1456"/>
      <c r="L186" s="1456"/>
      <c r="M186" s="1456"/>
      <c r="N186" s="1456"/>
      <c r="O186" s="1456"/>
      <c r="P186" s="1456"/>
      <c r="Q186" s="1456"/>
      <c r="R186" s="1456"/>
      <c r="S186" s="1456"/>
      <c r="T186" s="1457"/>
      <c r="U186" s="475"/>
      <c r="V186" s="1195" t="str">
        <f>BASE!D29</f>
        <v>Inadecuada participación de la ciudadana para el manejo de residuos sólidos</v>
      </c>
      <c r="W186" s="1196"/>
      <c r="X186" s="1196"/>
      <c r="Y186" s="1196"/>
      <c r="Z186" s="1196"/>
      <c r="AA186" s="1196"/>
      <c r="AB186" s="1196"/>
      <c r="AC186" s="1196"/>
      <c r="AD186" s="1196"/>
      <c r="AE186" s="1196"/>
      <c r="AF186" s="1196"/>
      <c r="AG186" s="1196"/>
      <c r="AH186" s="1196"/>
      <c r="AI186" s="1196"/>
      <c r="AJ186" s="1196"/>
      <c r="AK186" s="1196"/>
      <c r="AL186" s="1196"/>
      <c r="AM186" s="1196"/>
      <c r="AN186" s="1196"/>
      <c r="AO186" s="1196"/>
      <c r="AP186" s="1196"/>
      <c r="AQ186" s="1196"/>
      <c r="AR186" s="1196"/>
      <c r="AS186" s="1196"/>
      <c r="AT186" s="1196"/>
      <c r="AU186" s="1196"/>
      <c r="AV186" s="1196"/>
      <c r="AW186" s="1196"/>
      <c r="AX186" s="1196"/>
      <c r="AY186" s="1196"/>
      <c r="AZ186" s="1197"/>
    </row>
    <row r="187" spans="1:56" s="291" customFormat="1" ht="18" customHeight="1">
      <c r="A187" s="298"/>
      <c r="B187" s="298"/>
      <c r="C187" s="298"/>
      <c r="D187" s="298"/>
      <c r="E187" s="298"/>
      <c r="F187" s="298"/>
      <c r="G187" s="298"/>
      <c r="H187" s="298"/>
      <c r="I187" s="298"/>
      <c r="J187" s="298"/>
      <c r="K187" s="298"/>
      <c r="L187" s="298"/>
      <c r="M187" s="298"/>
      <c r="N187" s="298"/>
      <c r="O187" s="298"/>
      <c r="P187" s="298"/>
      <c r="Q187" s="301"/>
      <c r="R187" s="301"/>
      <c r="S187" s="298"/>
      <c r="T187" s="298"/>
      <c r="U187" s="302"/>
      <c r="V187" s="302"/>
      <c r="W187" s="302"/>
      <c r="X187" s="302"/>
      <c r="Y187" s="298"/>
      <c r="Z187" s="298"/>
      <c r="AA187" s="298"/>
      <c r="AB187" s="302"/>
      <c r="AC187" s="302"/>
      <c r="AD187" s="302"/>
      <c r="AE187" s="302"/>
      <c r="AF187" s="302"/>
      <c r="AG187" s="302"/>
      <c r="AH187" s="302"/>
      <c r="AI187" s="302"/>
      <c r="AJ187" s="302"/>
      <c r="AK187" s="302"/>
      <c r="AL187" s="302"/>
      <c r="AM187" s="302"/>
      <c r="AN187" s="302"/>
      <c r="AO187" s="302"/>
      <c r="AP187" s="302"/>
      <c r="AQ187" s="302"/>
      <c r="AR187" s="302"/>
      <c r="AS187" s="302"/>
      <c r="AT187" s="302"/>
      <c r="AU187" s="302"/>
      <c r="AV187" s="302"/>
      <c r="AW187" s="302"/>
      <c r="AX187" s="302"/>
      <c r="AY187" s="302"/>
      <c r="AZ187" s="302"/>
    </row>
    <row r="188" spans="1:56" s="291" customFormat="1" ht="18" customHeight="1">
      <c r="A188" s="298"/>
      <c r="B188" s="1459"/>
      <c r="C188" s="1459"/>
      <c r="D188" s="1459"/>
      <c r="E188" s="1459"/>
      <c r="F188" s="1459"/>
      <c r="G188" s="1459"/>
      <c r="H188" s="1459"/>
      <c r="I188" s="1459"/>
      <c r="J188" s="1459"/>
      <c r="K188" s="1459"/>
      <c r="L188" s="1459"/>
      <c r="M188" s="1459"/>
      <c r="N188" s="1459"/>
      <c r="O188" s="1459"/>
      <c r="P188" s="1459"/>
      <c r="Q188" s="1459"/>
      <c r="R188" s="1459"/>
      <c r="S188" s="1459"/>
      <c r="T188" s="1459"/>
      <c r="U188" s="1459"/>
      <c r="V188" s="1459"/>
      <c r="W188" s="1459"/>
      <c r="X188" s="1459"/>
      <c r="Y188" s="1459"/>
      <c r="Z188" s="1459"/>
      <c r="AA188" s="1459"/>
      <c r="AB188" s="1459"/>
      <c r="AC188" s="1459"/>
      <c r="AD188" s="1459"/>
      <c r="AE188" s="1459"/>
      <c r="AF188" s="1459"/>
      <c r="AG188" s="1459"/>
      <c r="AH188" s="1459"/>
      <c r="AI188" s="1459"/>
      <c r="AJ188" s="1459"/>
      <c r="AK188" s="1459"/>
      <c r="AL188" s="1459"/>
      <c r="AM188" s="1459"/>
      <c r="AN188" s="1459"/>
      <c r="AO188" s="1459"/>
      <c r="AP188" s="1459"/>
      <c r="AQ188" s="1459"/>
      <c r="AR188" s="1459"/>
      <c r="AS188" s="1459"/>
      <c r="AT188" s="1459"/>
      <c r="AU188" s="1459"/>
      <c r="AV188" s="1459"/>
      <c r="AW188" s="1459"/>
      <c r="AX188" s="1459"/>
      <c r="AY188" s="1459"/>
      <c r="AZ188" s="1459"/>
    </row>
    <row r="189" spans="1:56" s="291" customFormat="1" ht="18" customHeight="1">
      <c r="A189" s="298"/>
      <c r="B189" s="1256" t="s">
        <v>755</v>
      </c>
      <c r="C189" s="1256"/>
      <c r="D189" s="1256"/>
      <c r="E189" s="1256"/>
      <c r="F189" s="1256"/>
      <c r="G189" s="1256"/>
      <c r="H189" s="1256"/>
      <c r="I189" s="1256"/>
      <c r="J189" s="1256"/>
      <c r="K189" s="1256"/>
      <c r="L189" s="1256"/>
      <c r="M189" s="1256"/>
      <c r="N189" s="1256"/>
      <c r="O189" s="1256"/>
      <c r="P189" s="1256"/>
      <c r="Q189" s="1256"/>
      <c r="R189" s="1256"/>
      <c r="S189" s="1256"/>
      <c r="T189" s="1256"/>
      <c r="U189" s="1253" t="s">
        <v>769</v>
      </c>
      <c r="V189" s="1254"/>
      <c r="W189" s="1254"/>
      <c r="X189" s="1254"/>
      <c r="Y189" s="1254"/>
      <c r="Z189" s="1254"/>
      <c r="AA189" s="1254"/>
      <c r="AB189" s="1254"/>
      <c r="AC189" s="1254"/>
      <c r="AD189" s="1254"/>
      <c r="AE189" s="1254"/>
      <c r="AF189" s="1254"/>
      <c r="AG189" s="1254"/>
      <c r="AH189" s="1254"/>
      <c r="AI189" s="1254"/>
      <c r="AJ189" s="1254"/>
      <c r="AK189" s="1254"/>
      <c r="AL189" s="1254"/>
      <c r="AM189" s="1254"/>
      <c r="AN189" s="1254"/>
      <c r="AO189" s="1254"/>
      <c r="AP189" s="1254"/>
      <c r="AQ189" s="1254"/>
      <c r="AR189" s="1254"/>
      <c r="AS189" s="1254"/>
      <c r="AT189" s="1254"/>
      <c r="AU189" s="1254"/>
      <c r="AV189" s="1254"/>
      <c r="AW189" s="1254"/>
      <c r="AX189" s="1254"/>
      <c r="AY189" s="1254"/>
      <c r="AZ189" s="1255"/>
    </row>
    <row r="190" spans="1:56" s="291" customFormat="1" ht="18" customHeight="1">
      <c r="A190" s="298"/>
      <c r="B190" s="299"/>
      <c r="C190" s="1322" t="s">
        <v>482</v>
      </c>
      <c r="D190" s="1322"/>
      <c r="E190" s="1322"/>
      <c r="F190" s="1322"/>
      <c r="G190" s="1322"/>
      <c r="H190" s="1322"/>
      <c r="I190" s="1322"/>
      <c r="J190" s="1322"/>
      <c r="K190" s="1322"/>
      <c r="L190" s="1322"/>
      <c r="M190" s="1322"/>
      <c r="N190" s="1322"/>
      <c r="O190" s="1322"/>
      <c r="P190" s="1322"/>
      <c r="Q190" s="1322"/>
      <c r="R190" s="1322"/>
      <c r="S190" s="1322"/>
      <c r="T190" s="1322"/>
      <c r="U190" s="475"/>
      <c r="V190" s="1169" t="s">
        <v>483</v>
      </c>
      <c r="W190" s="1170"/>
      <c r="X190" s="1170"/>
      <c r="Y190" s="1170"/>
      <c r="Z190" s="1170"/>
      <c r="AA190" s="1170"/>
      <c r="AB190" s="1170"/>
      <c r="AC190" s="1170"/>
      <c r="AD190" s="1170"/>
      <c r="AE190" s="1170"/>
      <c r="AF190" s="1170"/>
      <c r="AG190" s="1170"/>
      <c r="AH190" s="1170"/>
      <c r="AI190" s="1170"/>
      <c r="AJ190" s="1170"/>
      <c r="AK190" s="1170"/>
      <c r="AL190" s="1170"/>
      <c r="AM190" s="1170"/>
      <c r="AN190" s="1170"/>
      <c r="AO190" s="1170"/>
      <c r="AP190" s="1170"/>
      <c r="AQ190" s="1170"/>
      <c r="AR190" s="1170"/>
      <c r="AS190" s="1170"/>
      <c r="AT190" s="1170"/>
      <c r="AU190" s="1170"/>
      <c r="AV190" s="1170"/>
      <c r="AW190" s="1170"/>
      <c r="AX190" s="1170"/>
      <c r="AY190" s="1170"/>
      <c r="AZ190" s="1171"/>
    </row>
    <row r="191" spans="1:56" s="291" customFormat="1" ht="18" customHeight="1">
      <c r="A191" s="298"/>
      <c r="B191" s="299"/>
      <c r="C191" s="1322" t="s">
        <v>2506</v>
      </c>
      <c r="D191" s="1322"/>
      <c r="E191" s="1322"/>
      <c r="F191" s="1322"/>
      <c r="G191" s="1322"/>
      <c r="H191" s="1322"/>
      <c r="I191" s="1322"/>
      <c r="J191" s="1322"/>
      <c r="K191" s="1322"/>
      <c r="L191" s="1322"/>
      <c r="M191" s="1322"/>
      <c r="N191" s="1322"/>
      <c r="O191" s="1322"/>
      <c r="P191" s="1322"/>
      <c r="Q191" s="1322"/>
      <c r="R191" s="1322"/>
      <c r="S191" s="1322"/>
      <c r="T191" s="1322"/>
      <c r="U191" s="1472"/>
      <c r="V191" s="1460" t="s">
        <v>484</v>
      </c>
      <c r="W191" s="1461"/>
      <c r="X191" s="1461"/>
      <c r="Y191" s="1461"/>
      <c r="Z191" s="1461"/>
      <c r="AA191" s="1461"/>
      <c r="AB191" s="1461"/>
      <c r="AC191" s="1461"/>
      <c r="AD191" s="1461"/>
      <c r="AE191" s="1461"/>
      <c r="AF191" s="1461"/>
      <c r="AG191" s="1461"/>
      <c r="AH191" s="1461"/>
      <c r="AI191" s="1461"/>
      <c r="AJ191" s="1461"/>
      <c r="AK191" s="1461"/>
      <c r="AL191" s="1461"/>
      <c r="AM191" s="1461"/>
      <c r="AN191" s="1461"/>
      <c r="AO191" s="1461"/>
      <c r="AP191" s="1461"/>
      <c r="AQ191" s="1461"/>
      <c r="AR191" s="1461"/>
      <c r="AS191" s="1461"/>
      <c r="AT191" s="1461"/>
      <c r="AU191" s="1461"/>
      <c r="AV191" s="1461"/>
      <c r="AW191" s="1461"/>
      <c r="AX191" s="1461"/>
      <c r="AY191" s="1461"/>
      <c r="AZ191" s="1462"/>
    </row>
    <row r="192" spans="1:56" s="291" customFormat="1" ht="18" customHeight="1">
      <c r="A192" s="298"/>
      <c r="B192" s="299"/>
      <c r="C192" s="1322" t="s">
        <v>2693</v>
      </c>
      <c r="D192" s="1322"/>
      <c r="E192" s="1322"/>
      <c r="F192" s="1322"/>
      <c r="G192" s="1322"/>
      <c r="H192" s="1322"/>
      <c r="I192" s="1322"/>
      <c r="J192" s="1322"/>
      <c r="K192" s="1322"/>
      <c r="L192" s="1322"/>
      <c r="M192" s="1322"/>
      <c r="N192" s="1322"/>
      <c r="O192" s="1322"/>
      <c r="P192" s="1322"/>
      <c r="Q192" s="1322"/>
      <c r="R192" s="1322"/>
      <c r="S192" s="1322"/>
      <c r="T192" s="1322"/>
      <c r="U192" s="1473"/>
      <c r="V192" s="1463"/>
      <c r="W192" s="1464"/>
      <c r="X192" s="1464"/>
      <c r="Y192" s="1464"/>
      <c r="Z192" s="1464"/>
      <c r="AA192" s="1464"/>
      <c r="AB192" s="1464"/>
      <c r="AC192" s="1464"/>
      <c r="AD192" s="1464"/>
      <c r="AE192" s="1464"/>
      <c r="AF192" s="1464"/>
      <c r="AG192" s="1464"/>
      <c r="AH192" s="1464"/>
      <c r="AI192" s="1464"/>
      <c r="AJ192" s="1464"/>
      <c r="AK192" s="1464"/>
      <c r="AL192" s="1464"/>
      <c r="AM192" s="1464"/>
      <c r="AN192" s="1464"/>
      <c r="AO192" s="1464"/>
      <c r="AP192" s="1464"/>
      <c r="AQ192" s="1464"/>
      <c r="AR192" s="1464"/>
      <c r="AS192" s="1464"/>
      <c r="AT192" s="1464"/>
      <c r="AU192" s="1464"/>
      <c r="AV192" s="1464"/>
      <c r="AW192" s="1464"/>
      <c r="AX192" s="1464"/>
      <c r="AY192" s="1464"/>
      <c r="AZ192" s="1465"/>
      <c r="BB192" s="575"/>
      <c r="BC192" s="524"/>
      <c r="BD192" s="524"/>
    </row>
    <row r="193" spans="1:58" s="291" customFormat="1" ht="18" customHeight="1">
      <c r="A193" s="298"/>
      <c r="B193" s="299"/>
      <c r="C193" s="1322" t="s">
        <v>485</v>
      </c>
      <c r="D193" s="1322"/>
      <c r="E193" s="1322"/>
      <c r="F193" s="1322"/>
      <c r="G193" s="1322"/>
      <c r="H193" s="1322"/>
      <c r="I193" s="1322"/>
      <c r="J193" s="1322"/>
      <c r="K193" s="1322"/>
      <c r="L193" s="1322"/>
      <c r="M193" s="1322"/>
      <c r="N193" s="1322"/>
      <c r="O193" s="1322"/>
      <c r="P193" s="1322"/>
      <c r="Q193" s="1322"/>
      <c r="R193" s="1322"/>
      <c r="S193" s="1322"/>
      <c r="T193" s="1322"/>
      <c r="U193" s="1474"/>
      <c r="V193" s="1466"/>
      <c r="W193" s="1467"/>
      <c r="X193" s="1467"/>
      <c r="Y193" s="1467"/>
      <c r="Z193" s="1467"/>
      <c r="AA193" s="1467"/>
      <c r="AB193" s="1467"/>
      <c r="AC193" s="1467"/>
      <c r="AD193" s="1467"/>
      <c r="AE193" s="1467"/>
      <c r="AF193" s="1467"/>
      <c r="AG193" s="1467"/>
      <c r="AH193" s="1467"/>
      <c r="AI193" s="1467"/>
      <c r="AJ193" s="1467"/>
      <c r="AK193" s="1467"/>
      <c r="AL193" s="1467"/>
      <c r="AM193" s="1467"/>
      <c r="AN193" s="1467"/>
      <c r="AO193" s="1467"/>
      <c r="AP193" s="1467"/>
      <c r="AQ193" s="1467"/>
      <c r="AR193" s="1467"/>
      <c r="AS193" s="1467"/>
      <c r="AT193" s="1467"/>
      <c r="AU193" s="1467"/>
      <c r="AV193" s="1467"/>
      <c r="AW193" s="1467"/>
      <c r="AX193" s="1467"/>
      <c r="AY193" s="1467"/>
      <c r="AZ193" s="1468"/>
    </row>
    <row r="194" spans="1:58" s="291" customFormat="1" ht="18" customHeight="1">
      <c r="A194" s="298"/>
      <c r="B194" s="298"/>
      <c r="C194" s="298"/>
      <c r="D194" s="298"/>
      <c r="E194" s="298"/>
      <c r="F194" s="298"/>
      <c r="G194" s="298"/>
      <c r="H194" s="298"/>
      <c r="I194" s="298"/>
      <c r="J194" s="298"/>
      <c r="K194" s="298"/>
      <c r="L194" s="298"/>
      <c r="M194" s="298"/>
      <c r="N194" s="298"/>
      <c r="O194" s="298"/>
      <c r="P194" s="298"/>
      <c r="Q194" s="301"/>
      <c r="R194" s="301"/>
      <c r="S194" s="298"/>
      <c r="T194" s="298"/>
      <c r="U194" s="302"/>
      <c r="V194" s="302"/>
      <c r="W194" s="302"/>
      <c r="X194" s="302"/>
      <c r="Y194" s="298"/>
      <c r="Z194" s="298"/>
      <c r="AA194" s="298"/>
      <c r="AB194" s="302"/>
      <c r="AC194" s="302"/>
      <c r="AD194" s="302"/>
      <c r="AE194" s="302"/>
      <c r="AF194" s="302"/>
      <c r="AG194" s="302"/>
      <c r="AH194" s="302"/>
      <c r="AI194" s="302"/>
      <c r="AJ194" s="302"/>
      <c r="AK194" s="302"/>
      <c r="AL194" s="302"/>
      <c r="AM194" s="302"/>
      <c r="AN194" s="302"/>
      <c r="AO194" s="302"/>
      <c r="AP194" s="302"/>
      <c r="AQ194" s="302"/>
      <c r="AR194" s="302"/>
      <c r="AS194" s="302"/>
      <c r="AT194" s="302"/>
      <c r="AU194" s="302"/>
      <c r="AV194" s="302"/>
      <c r="AW194" s="302"/>
      <c r="AX194" s="302"/>
      <c r="AY194" s="302"/>
      <c r="AZ194" s="302"/>
    </row>
    <row r="195" spans="1:58" s="291" customFormat="1" ht="18" customHeight="1">
      <c r="A195" s="298"/>
      <c r="B195" s="336" t="s">
        <v>2501</v>
      </c>
      <c r="C195" s="298"/>
      <c r="D195" s="298"/>
      <c r="E195" s="298"/>
      <c r="F195" s="298"/>
      <c r="G195" s="298"/>
      <c r="H195" s="298"/>
      <c r="I195" s="298"/>
      <c r="J195" s="298"/>
      <c r="K195" s="298"/>
      <c r="L195" s="298"/>
      <c r="M195" s="298"/>
      <c r="N195" s="298"/>
      <c r="O195" s="298"/>
      <c r="P195" s="298"/>
      <c r="Q195" s="301"/>
      <c r="R195" s="301"/>
      <c r="S195" s="298"/>
      <c r="T195" s="298"/>
      <c r="U195" s="302"/>
      <c r="V195" s="302"/>
      <c r="W195" s="302"/>
      <c r="X195" s="302"/>
      <c r="Y195" s="298"/>
      <c r="Z195" s="298"/>
      <c r="AA195" s="298"/>
      <c r="AB195" s="302"/>
      <c r="AC195" s="302"/>
      <c r="AD195" s="302"/>
      <c r="AE195" s="302"/>
      <c r="AF195" s="302"/>
      <c r="AG195" s="302"/>
      <c r="AH195" s="302"/>
      <c r="AI195" s="302"/>
      <c r="AJ195" s="302"/>
      <c r="AK195" s="302"/>
      <c r="AL195" s="302"/>
      <c r="AM195" s="302"/>
      <c r="AN195" s="302"/>
      <c r="AO195" s="302"/>
      <c r="AP195" s="302"/>
      <c r="AQ195" s="302"/>
      <c r="AR195" s="302"/>
      <c r="AS195" s="302"/>
      <c r="AT195" s="302"/>
      <c r="AU195" s="302"/>
      <c r="AV195" s="302"/>
      <c r="AW195" s="302"/>
      <c r="AX195" s="302"/>
      <c r="AY195" s="302"/>
      <c r="AZ195" s="302"/>
    </row>
    <row r="196" spans="1:58" s="291" customFormat="1" ht="18" customHeight="1">
      <c r="A196" s="298"/>
      <c r="B196" s="298"/>
      <c r="C196" s="298"/>
      <c r="D196" s="298"/>
      <c r="E196" s="298"/>
      <c r="F196" s="298"/>
      <c r="G196" s="298"/>
      <c r="H196" s="298"/>
      <c r="I196" s="298"/>
      <c r="J196" s="298"/>
      <c r="K196" s="298"/>
      <c r="L196" s="298"/>
      <c r="M196" s="298"/>
      <c r="N196" s="298"/>
      <c r="O196" s="298"/>
      <c r="P196" s="298"/>
      <c r="Q196" s="301"/>
      <c r="R196" s="301"/>
      <c r="S196" s="298"/>
      <c r="T196" s="298"/>
      <c r="U196" s="302"/>
      <c r="V196" s="302"/>
      <c r="W196" s="302"/>
      <c r="X196" s="302"/>
      <c r="Y196" s="298"/>
      <c r="Z196" s="298"/>
      <c r="AA196" s="298"/>
      <c r="AB196" s="302"/>
      <c r="AC196" s="302"/>
      <c r="AD196" s="302"/>
      <c r="AE196" s="302"/>
      <c r="AF196" s="302"/>
      <c r="AG196" s="302"/>
      <c r="AH196" s="302"/>
      <c r="AI196" s="302"/>
      <c r="AJ196" s="302"/>
      <c r="AK196" s="302"/>
      <c r="AL196" s="302"/>
      <c r="AM196" s="302"/>
      <c r="AN196" s="302"/>
      <c r="AO196" s="302"/>
      <c r="AP196" s="302"/>
      <c r="AQ196" s="302"/>
      <c r="AR196" s="302"/>
      <c r="AS196" s="302"/>
      <c r="AT196" s="302"/>
      <c r="AU196" s="302"/>
      <c r="AV196" s="302"/>
      <c r="AW196" s="302"/>
      <c r="AX196" s="302"/>
      <c r="AY196" s="302"/>
      <c r="AZ196" s="302"/>
    </row>
    <row r="197" spans="1:58" s="291" customFormat="1" ht="18" customHeight="1">
      <c r="A197" s="298"/>
      <c r="B197" s="1469" t="str">
        <f>+CONCATENATE($M$166," DETERIORO DE LA CALIDAD DE VIDA DE LA POBLACIÓN DE LA LOCALIDAD DE ",$AO$20, ", DISTRITO ",$AB$20, ", PROVINCIA ",$O$20, ", DEPARTAMENTO ",$B$20)</f>
        <v xml:space="preserve"> DETERIORO DE LA CALIDAD DE VIDA DE LA POBLACIÓN DE LA LOCALIDAD DE SAN JUAN, DISTRITO CALLERÍA, PROVINCIA CORONEL PORTILLO, DEPARTAMENTO UCAYALI</v>
      </c>
      <c r="C197" s="1470"/>
      <c r="D197" s="1470"/>
      <c r="E197" s="1470"/>
      <c r="F197" s="1470"/>
      <c r="G197" s="1470"/>
      <c r="H197" s="1470"/>
      <c r="I197" s="1470"/>
      <c r="J197" s="1470"/>
      <c r="K197" s="1470"/>
      <c r="L197" s="1470"/>
      <c r="M197" s="1470"/>
      <c r="N197" s="1470"/>
      <c r="O197" s="1470"/>
      <c r="P197" s="1470"/>
      <c r="Q197" s="1470"/>
      <c r="R197" s="1470"/>
      <c r="S197" s="1470"/>
      <c r="T197" s="1470"/>
      <c r="U197" s="1470"/>
      <c r="V197" s="1470"/>
      <c r="W197" s="1470"/>
      <c r="X197" s="1470"/>
      <c r="Y197" s="1470"/>
      <c r="Z197" s="1470"/>
      <c r="AA197" s="1470"/>
      <c r="AB197" s="1470"/>
      <c r="AC197" s="1470"/>
      <c r="AD197" s="1470"/>
      <c r="AE197" s="1470"/>
      <c r="AF197" s="1470"/>
      <c r="AG197" s="1470"/>
      <c r="AH197" s="1470"/>
      <c r="AI197" s="1470"/>
      <c r="AJ197" s="1470"/>
      <c r="AK197" s="1470"/>
      <c r="AL197" s="1470"/>
      <c r="AM197" s="1470"/>
      <c r="AN197" s="1470"/>
      <c r="AO197" s="1470"/>
      <c r="AP197" s="1470"/>
      <c r="AQ197" s="1470"/>
      <c r="AR197" s="1470"/>
      <c r="AS197" s="1470"/>
      <c r="AT197" s="1470"/>
      <c r="AU197" s="1470"/>
      <c r="AV197" s="1470"/>
      <c r="AW197" s="1470"/>
      <c r="AX197" s="1470"/>
      <c r="AY197" s="1470"/>
      <c r="AZ197" s="1471"/>
    </row>
    <row r="198" spans="1:58" s="291" customFormat="1" ht="18" customHeight="1">
      <c r="A198" s="298"/>
      <c r="B198" s="298"/>
      <c r="C198" s="298"/>
      <c r="D198" s="298"/>
      <c r="E198" s="298"/>
      <c r="F198" s="298"/>
      <c r="G198" s="298"/>
      <c r="H198" s="298"/>
      <c r="I198" s="298"/>
      <c r="J198" s="298"/>
      <c r="K198" s="298"/>
      <c r="L198" s="298"/>
      <c r="M198" s="298"/>
      <c r="N198" s="298"/>
      <c r="O198" s="298"/>
      <c r="P198" s="298"/>
      <c r="Q198" s="301"/>
      <c r="R198" s="301"/>
      <c r="S198" s="298"/>
      <c r="T198" s="298"/>
      <c r="U198" s="302"/>
      <c r="V198" s="302"/>
      <c r="W198" s="302"/>
      <c r="X198" s="302"/>
      <c r="Y198" s="298"/>
      <c r="Z198" s="298"/>
      <c r="AA198" s="298"/>
      <c r="AB198" s="302"/>
      <c r="AC198" s="302"/>
      <c r="AD198" s="302"/>
      <c r="AE198" s="302"/>
      <c r="AF198" s="302"/>
      <c r="AG198" s="302"/>
      <c r="AH198" s="302"/>
      <c r="AI198" s="302"/>
      <c r="AJ198" s="302"/>
      <c r="AK198" s="302"/>
      <c r="AL198" s="302"/>
      <c r="AM198" s="302"/>
      <c r="AN198" s="302"/>
      <c r="AO198" s="302"/>
      <c r="AP198" s="302"/>
      <c r="AQ198" s="302"/>
      <c r="AR198" s="302"/>
      <c r="AS198" s="302"/>
      <c r="AT198" s="302"/>
      <c r="AU198" s="302"/>
      <c r="AV198" s="302"/>
      <c r="AW198" s="302"/>
      <c r="AX198" s="302"/>
      <c r="AY198" s="302"/>
      <c r="AZ198" s="302"/>
    </row>
    <row r="199" spans="1:58" s="291" customFormat="1" ht="18" customHeight="1">
      <c r="A199" s="292" t="s">
        <v>486</v>
      </c>
      <c r="B199" s="305" t="s">
        <v>487</v>
      </c>
      <c r="C199" s="303"/>
      <c r="D199" s="303"/>
      <c r="E199" s="303"/>
      <c r="F199" s="303"/>
      <c r="G199" s="303"/>
      <c r="H199" s="303"/>
      <c r="I199" s="303"/>
      <c r="J199" s="303"/>
      <c r="K199" s="287"/>
      <c r="L199" s="287"/>
      <c r="M199" s="287"/>
      <c r="N199" s="287"/>
      <c r="O199" s="287"/>
      <c r="P199" s="287"/>
      <c r="Q199" s="488"/>
      <c r="R199" s="488"/>
      <c r="S199" s="287"/>
      <c r="T199" s="287"/>
      <c r="U199" s="288"/>
      <c r="V199" s="288"/>
      <c r="W199" s="288"/>
      <c r="X199" s="288"/>
      <c r="Y199" s="287"/>
      <c r="Z199" s="287"/>
      <c r="AA199" s="287"/>
      <c r="AB199" s="288"/>
      <c r="AC199" s="288"/>
      <c r="AD199" s="288"/>
      <c r="AE199" s="288"/>
      <c r="AF199" s="288"/>
      <c r="AG199" s="288"/>
      <c r="AH199" s="288"/>
      <c r="AI199" s="288"/>
      <c r="AJ199" s="288"/>
      <c r="AK199" s="288"/>
      <c r="AL199" s="288"/>
      <c r="AM199" s="288"/>
      <c r="AN199" s="288"/>
      <c r="AO199" s="288"/>
      <c r="AP199" s="288"/>
      <c r="AQ199" s="288"/>
      <c r="AR199" s="288"/>
      <c r="AS199" s="288"/>
      <c r="AT199" s="288"/>
      <c r="AU199" s="288"/>
      <c r="AV199" s="288"/>
      <c r="AW199" s="288"/>
      <c r="AX199" s="288"/>
      <c r="AY199" s="288"/>
      <c r="AZ199" s="288"/>
    </row>
    <row r="200" spans="1:58" s="291" customFormat="1" ht="18" customHeight="1">
      <c r="A200" s="294"/>
      <c r="B200" s="303"/>
      <c r="C200" s="303"/>
      <c r="D200" s="303"/>
      <c r="E200" s="303"/>
      <c r="F200" s="303"/>
      <c r="G200" s="303"/>
      <c r="H200" s="303"/>
      <c r="I200" s="303"/>
      <c r="J200" s="303"/>
      <c r="K200" s="287"/>
      <c r="L200" s="287"/>
      <c r="M200" s="287"/>
      <c r="N200" s="287"/>
      <c r="O200" s="287"/>
      <c r="P200" s="287"/>
      <c r="Q200" s="488"/>
      <c r="R200" s="488"/>
      <c r="S200" s="287"/>
      <c r="T200" s="287"/>
      <c r="U200" s="288"/>
      <c r="V200" s="288"/>
      <c r="W200" s="288"/>
      <c r="X200" s="288"/>
      <c r="Y200" s="287"/>
      <c r="Z200" s="287"/>
      <c r="AA200" s="287"/>
      <c r="AB200" s="288"/>
      <c r="AC200" s="288"/>
      <c r="AD200" s="288"/>
      <c r="AE200" s="288"/>
      <c r="AF200" s="288"/>
      <c r="AG200" s="288"/>
      <c r="AH200" s="288"/>
      <c r="AI200" s="288"/>
      <c r="AJ200" s="288"/>
      <c r="AK200" s="288"/>
      <c r="AL200" s="288"/>
      <c r="AM200" s="288"/>
      <c r="AN200" s="288"/>
      <c r="AO200" s="288"/>
      <c r="AP200" s="288"/>
      <c r="AQ200" s="288"/>
      <c r="AR200" s="288"/>
      <c r="AS200" s="288"/>
      <c r="AT200" s="288"/>
      <c r="AU200" s="288"/>
      <c r="AV200" s="288"/>
      <c r="AW200" s="288"/>
      <c r="AX200" s="288"/>
      <c r="AY200" s="288"/>
      <c r="AZ200" s="288"/>
    </row>
    <row r="201" spans="1:58" s="291" customFormat="1" ht="48" customHeight="1">
      <c r="A201" s="294"/>
      <c r="B201" s="1256" t="s">
        <v>770</v>
      </c>
      <c r="C201" s="1256"/>
      <c r="D201" s="1256"/>
      <c r="E201" s="1256"/>
      <c r="F201" s="1256"/>
      <c r="G201" s="1256" t="s">
        <v>771</v>
      </c>
      <c r="H201" s="1256"/>
      <c r="I201" s="1256"/>
      <c r="J201" s="1256"/>
      <c r="K201" s="1256"/>
      <c r="L201" s="1256"/>
      <c r="M201" s="1256"/>
      <c r="N201" s="1256"/>
      <c r="O201" s="1256"/>
      <c r="P201" s="1256" t="s">
        <v>772</v>
      </c>
      <c r="Q201" s="1256"/>
      <c r="R201" s="1256"/>
      <c r="S201" s="1256"/>
      <c r="T201" s="1256"/>
      <c r="U201" s="1256"/>
      <c r="V201" s="1256"/>
      <c r="W201" s="1256"/>
      <c r="X201" s="1256"/>
      <c r="Y201" s="1256"/>
      <c r="Z201" s="1256"/>
      <c r="AA201" s="1256" t="s">
        <v>2807</v>
      </c>
      <c r="AB201" s="1256"/>
      <c r="AC201" s="1256"/>
      <c r="AD201" s="1256"/>
      <c r="AE201" s="1256"/>
      <c r="AF201" s="1256"/>
      <c r="AG201" s="1256"/>
      <c r="AH201" s="1256"/>
      <c r="AI201" s="1256"/>
      <c r="AJ201" s="1256"/>
      <c r="AK201" s="1256" t="s">
        <v>773</v>
      </c>
      <c r="AL201" s="1256"/>
      <c r="AM201" s="1256"/>
      <c r="AN201" s="1256"/>
      <c r="AO201" s="1256"/>
      <c r="AP201" s="1256"/>
      <c r="AQ201" s="1256"/>
      <c r="AR201" s="1256"/>
      <c r="AS201" s="1256"/>
      <c r="AT201" s="1256"/>
      <c r="AU201" s="1256"/>
      <c r="AV201" s="1256"/>
      <c r="AW201" s="1256"/>
      <c r="AX201" s="1256"/>
      <c r="AY201" s="1256"/>
      <c r="AZ201" s="1256"/>
    </row>
    <row r="202" spans="1:58" s="291" customFormat="1" ht="18" customHeight="1">
      <c r="A202" s="297"/>
      <c r="B202" s="1353" t="s">
        <v>3289</v>
      </c>
      <c r="C202" s="1353"/>
      <c r="D202" s="1353"/>
      <c r="E202" s="1353"/>
      <c r="F202" s="1353"/>
      <c r="G202" s="1375">
        <f>INDEX(BASE!$G$6:$G$10,BE202)</f>
        <v>0</v>
      </c>
      <c r="H202" s="1377"/>
      <c r="I202" s="1377"/>
      <c r="J202" s="1377"/>
      <c r="K202" s="1377"/>
      <c r="L202" s="1377"/>
      <c r="M202" s="1377"/>
      <c r="N202" s="1377"/>
      <c r="O202" s="1376"/>
      <c r="P202" s="1353">
        <f>INDEX(BASE!$G$12:$G$16,BF202)</f>
        <v>0</v>
      </c>
      <c r="Q202" s="1353"/>
      <c r="R202" s="1353"/>
      <c r="S202" s="1353"/>
      <c r="T202" s="1353"/>
      <c r="U202" s="1353"/>
      <c r="V202" s="1353"/>
      <c r="W202" s="1353"/>
      <c r="X202" s="1353"/>
      <c r="Y202" s="1353"/>
      <c r="Z202" s="1353"/>
      <c r="AA202" s="1353" t="s">
        <v>3289</v>
      </c>
      <c r="AB202" s="1353"/>
      <c r="AC202" s="1353"/>
      <c r="AD202" s="1353"/>
      <c r="AE202" s="1353"/>
      <c r="AF202" s="1353"/>
      <c r="AG202" s="1353"/>
      <c r="AH202" s="1353"/>
      <c r="AI202" s="1353"/>
      <c r="AJ202" s="1353"/>
      <c r="AK202" s="1353" t="s">
        <v>3289</v>
      </c>
      <c r="AL202" s="1353"/>
      <c r="AM202" s="1353"/>
      <c r="AN202" s="1353"/>
      <c r="AO202" s="1353"/>
      <c r="AP202" s="1353"/>
      <c r="AQ202" s="1353"/>
      <c r="AR202" s="1353"/>
      <c r="AS202" s="1353"/>
      <c r="AT202" s="1353"/>
      <c r="AU202" s="1353"/>
      <c r="AV202" s="1353"/>
      <c r="AW202" s="1353"/>
      <c r="AX202" s="1353"/>
      <c r="AY202" s="1353"/>
      <c r="AZ202" s="1353"/>
      <c r="BE202" s="291">
        <v>1</v>
      </c>
      <c r="BF202" s="291">
        <v>1</v>
      </c>
    </row>
    <row r="203" spans="1:58" s="291" customFormat="1" ht="18" customHeight="1">
      <c r="A203" s="297"/>
      <c r="B203" s="1353" t="s">
        <v>3289</v>
      </c>
      <c r="C203" s="1353"/>
      <c r="D203" s="1353"/>
      <c r="E203" s="1353"/>
      <c r="F203" s="1353"/>
      <c r="G203" s="1375">
        <f>INDEX(BASE!$G$6:$G$10,BE203)</f>
        <v>0</v>
      </c>
      <c r="H203" s="1377"/>
      <c r="I203" s="1377"/>
      <c r="J203" s="1377"/>
      <c r="K203" s="1377"/>
      <c r="L203" s="1377"/>
      <c r="M203" s="1377"/>
      <c r="N203" s="1377"/>
      <c r="O203" s="1376"/>
      <c r="P203" s="1353">
        <f>INDEX(BASE!$G$12:$G$16,BF203)</f>
        <v>0</v>
      </c>
      <c r="Q203" s="1353"/>
      <c r="R203" s="1353"/>
      <c r="S203" s="1353"/>
      <c r="T203" s="1353"/>
      <c r="U203" s="1353"/>
      <c r="V203" s="1353"/>
      <c r="W203" s="1353"/>
      <c r="X203" s="1353"/>
      <c r="Y203" s="1353"/>
      <c r="Z203" s="1353"/>
      <c r="AA203" s="1353" t="s">
        <v>3289</v>
      </c>
      <c r="AB203" s="1353"/>
      <c r="AC203" s="1353"/>
      <c r="AD203" s="1353"/>
      <c r="AE203" s="1353"/>
      <c r="AF203" s="1353"/>
      <c r="AG203" s="1353"/>
      <c r="AH203" s="1353"/>
      <c r="AI203" s="1353"/>
      <c r="AJ203" s="1353"/>
      <c r="AK203" s="1251" t="s">
        <v>3289</v>
      </c>
      <c r="AL203" s="1252"/>
      <c r="AM203" s="1252"/>
      <c r="AN203" s="1252"/>
      <c r="AO203" s="1252"/>
      <c r="AP203" s="1252"/>
      <c r="AQ203" s="1252"/>
      <c r="AR203" s="1252"/>
      <c r="AS203" s="1252"/>
      <c r="AT203" s="1252"/>
      <c r="AU203" s="1252"/>
      <c r="AV203" s="1252"/>
      <c r="AW203" s="1252"/>
      <c r="AX203" s="1252"/>
      <c r="AY203" s="1252"/>
      <c r="AZ203" s="1374"/>
      <c r="BE203" s="291">
        <v>1</v>
      </c>
      <c r="BF203" s="291">
        <v>1</v>
      </c>
    </row>
    <row r="204" spans="1:58" s="291" customFormat="1" ht="18" customHeight="1">
      <c r="A204" s="297"/>
      <c r="B204" s="1353" t="s">
        <v>3289</v>
      </c>
      <c r="C204" s="1353"/>
      <c r="D204" s="1353"/>
      <c r="E204" s="1353"/>
      <c r="F204" s="1353"/>
      <c r="G204" s="1375">
        <f>INDEX(BASE!$G$6:$G$10,BE204)</f>
        <v>0</v>
      </c>
      <c r="H204" s="1377"/>
      <c r="I204" s="1377"/>
      <c r="J204" s="1377"/>
      <c r="K204" s="1377"/>
      <c r="L204" s="1377"/>
      <c r="M204" s="1377"/>
      <c r="N204" s="1377"/>
      <c r="O204" s="1376"/>
      <c r="P204" s="1353">
        <f>INDEX(BASE!$G$12:$G$16,BF204)</f>
        <v>0</v>
      </c>
      <c r="Q204" s="1353"/>
      <c r="R204" s="1353"/>
      <c r="S204" s="1353"/>
      <c r="T204" s="1353"/>
      <c r="U204" s="1353"/>
      <c r="V204" s="1353"/>
      <c r="W204" s="1353"/>
      <c r="X204" s="1353"/>
      <c r="Y204" s="1353"/>
      <c r="Z204" s="1353"/>
      <c r="AA204" s="1353" t="s">
        <v>3289</v>
      </c>
      <c r="AB204" s="1353"/>
      <c r="AC204" s="1353"/>
      <c r="AD204" s="1353"/>
      <c r="AE204" s="1353"/>
      <c r="AF204" s="1353"/>
      <c r="AG204" s="1353"/>
      <c r="AH204" s="1353"/>
      <c r="AI204" s="1353"/>
      <c r="AJ204" s="1353"/>
      <c r="AK204" s="1251" t="s">
        <v>3289</v>
      </c>
      <c r="AL204" s="1252"/>
      <c r="AM204" s="1252"/>
      <c r="AN204" s="1252"/>
      <c r="AO204" s="1252"/>
      <c r="AP204" s="1252"/>
      <c r="AQ204" s="1252"/>
      <c r="AR204" s="1252"/>
      <c r="AS204" s="1252"/>
      <c r="AT204" s="1252"/>
      <c r="AU204" s="1252"/>
      <c r="AV204" s="1252"/>
      <c r="AW204" s="1252"/>
      <c r="AX204" s="1252"/>
      <c r="AY204" s="1252"/>
      <c r="AZ204" s="1374"/>
      <c r="BE204" s="291">
        <v>1</v>
      </c>
      <c r="BF204" s="291">
        <v>1</v>
      </c>
    </row>
    <row r="205" spans="1:58" s="291" customFormat="1" ht="18" customHeight="1">
      <c r="A205" s="297"/>
      <c r="B205" s="1353" t="s">
        <v>3289</v>
      </c>
      <c r="C205" s="1353"/>
      <c r="D205" s="1353"/>
      <c r="E205" s="1353"/>
      <c r="F205" s="1353"/>
      <c r="G205" s="1375">
        <f>INDEX(BASE!$G$6:$G$10,BE205)</f>
        <v>0</v>
      </c>
      <c r="H205" s="1377"/>
      <c r="I205" s="1377"/>
      <c r="J205" s="1377"/>
      <c r="K205" s="1377"/>
      <c r="L205" s="1377"/>
      <c r="M205" s="1377"/>
      <c r="N205" s="1377"/>
      <c r="O205" s="1376"/>
      <c r="P205" s="1353">
        <f>INDEX(BASE!$G$12:$G$16,BF205)</f>
        <v>0</v>
      </c>
      <c r="Q205" s="1353"/>
      <c r="R205" s="1353"/>
      <c r="S205" s="1353"/>
      <c r="T205" s="1353"/>
      <c r="U205" s="1353"/>
      <c r="V205" s="1353"/>
      <c r="W205" s="1353"/>
      <c r="X205" s="1353"/>
      <c r="Y205" s="1353"/>
      <c r="Z205" s="1353"/>
      <c r="AA205" s="1353" t="s">
        <v>3289</v>
      </c>
      <c r="AB205" s="1353"/>
      <c r="AC205" s="1353"/>
      <c r="AD205" s="1353"/>
      <c r="AE205" s="1353"/>
      <c r="AF205" s="1353"/>
      <c r="AG205" s="1353"/>
      <c r="AH205" s="1353"/>
      <c r="AI205" s="1353"/>
      <c r="AJ205" s="1353"/>
      <c r="AK205" s="1251" t="s">
        <v>3289</v>
      </c>
      <c r="AL205" s="1252"/>
      <c r="AM205" s="1252"/>
      <c r="AN205" s="1252"/>
      <c r="AO205" s="1252"/>
      <c r="AP205" s="1252"/>
      <c r="AQ205" s="1252"/>
      <c r="AR205" s="1252"/>
      <c r="AS205" s="1252"/>
      <c r="AT205" s="1252"/>
      <c r="AU205" s="1252"/>
      <c r="AV205" s="1252"/>
      <c r="AW205" s="1252"/>
      <c r="AX205" s="1252"/>
      <c r="AY205" s="1252"/>
      <c r="AZ205" s="1374"/>
      <c r="BE205" s="291">
        <v>1</v>
      </c>
      <c r="BF205" s="291">
        <v>1</v>
      </c>
    </row>
    <row r="206" spans="1:58" s="291" customFormat="1" ht="18" customHeight="1">
      <c r="A206" s="297"/>
      <c r="B206" s="1353" t="s">
        <v>3289</v>
      </c>
      <c r="C206" s="1353"/>
      <c r="D206" s="1353"/>
      <c r="E206" s="1353"/>
      <c r="F206" s="1353"/>
      <c r="G206" s="1375">
        <f>INDEX(BASE!$G$6:$G$10,BE206)</f>
        <v>0</v>
      </c>
      <c r="H206" s="1377"/>
      <c r="I206" s="1377"/>
      <c r="J206" s="1377"/>
      <c r="K206" s="1377"/>
      <c r="L206" s="1377"/>
      <c r="M206" s="1377"/>
      <c r="N206" s="1377"/>
      <c r="O206" s="1376"/>
      <c r="P206" s="1353">
        <f>INDEX(BASE!$G$12:$G$16,BF206)</f>
        <v>0</v>
      </c>
      <c r="Q206" s="1353"/>
      <c r="R206" s="1353"/>
      <c r="S206" s="1353"/>
      <c r="T206" s="1353"/>
      <c r="U206" s="1353"/>
      <c r="V206" s="1353"/>
      <c r="W206" s="1353"/>
      <c r="X206" s="1353"/>
      <c r="Y206" s="1353"/>
      <c r="Z206" s="1353"/>
      <c r="AA206" s="1353" t="s">
        <v>3289</v>
      </c>
      <c r="AB206" s="1353"/>
      <c r="AC206" s="1353"/>
      <c r="AD206" s="1353"/>
      <c r="AE206" s="1353"/>
      <c r="AF206" s="1353"/>
      <c r="AG206" s="1353"/>
      <c r="AH206" s="1353"/>
      <c r="AI206" s="1353"/>
      <c r="AJ206" s="1353"/>
      <c r="AK206" s="1251" t="s">
        <v>3289</v>
      </c>
      <c r="AL206" s="1252"/>
      <c r="AM206" s="1252"/>
      <c r="AN206" s="1252"/>
      <c r="AO206" s="1252"/>
      <c r="AP206" s="1252"/>
      <c r="AQ206" s="1252"/>
      <c r="AR206" s="1252"/>
      <c r="AS206" s="1252"/>
      <c r="AT206" s="1252"/>
      <c r="AU206" s="1252"/>
      <c r="AV206" s="1252"/>
      <c r="AW206" s="1252"/>
      <c r="AX206" s="1252"/>
      <c r="AY206" s="1252"/>
      <c r="AZ206" s="1374"/>
      <c r="BE206" s="291">
        <v>1</v>
      </c>
      <c r="BF206" s="291">
        <v>1</v>
      </c>
    </row>
    <row r="207" spans="1:58" s="291" customFormat="1" ht="18" customHeight="1">
      <c r="A207" s="297"/>
      <c r="B207" s="1353" t="s">
        <v>3289</v>
      </c>
      <c r="C207" s="1353"/>
      <c r="D207" s="1353"/>
      <c r="E207" s="1353"/>
      <c r="F207" s="1353"/>
      <c r="G207" s="1375">
        <f>INDEX(BASE!$G$6:$G$10,BE207)</f>
        <v>0</v>
      </c>
      <c r="H207" s="1377"/>
      <c r="I207" s="1377"/>
      <c r="J207" s="1377"/>
      <c r="K207" s="1377"/>
      <c r="L207" s="1377"/>
      <c r="M207" s="1377"/>
      <c r="N207" s="1377"/>
      <c r="O207" s="1376"/>
      <c r="P207" s="1353">
        <f>INDEX(BASE!$G$12:$G$16,BF207)</f>
        <v>0</v>
      </c>
      <c r="Q207" s="1353"/>
      <c r="R207" s="1353"/>
      <c r="S207" s="1353"/>
      <c r="T207" s="1353"/>
      <c r="U207" s="1353"/>
      <c r="V207" s="1353"/>
      <c r="W207" s="1353"/>
      <c r="X207" s="1353"/>
      <c r="Y207" s="1353"/>
      <c r="Z207" s="1353"/>
      <c r="AA207" s="1353" t="s">
        <v>3289</v>
      </c>
      <c r="AB207" s="1353"/>
      <c r="AC207" s="1353"/>
      <c r="AD207" s="1353"/>
      <c r="AE207" s="1353"/>
      <c r="AF207" s="1353"/>
      <c r="AG207" s="1353"/>
      <c r="AH207" s="1353"/>
      <c r="AI207" s="1353"/>
      <c r="AJ207" s="1353"/>
      <c r="AK207" s="1251" t="s">
        <v>3289</v>
      </c>
      <c r="AL207" s="1252"/>
      <c r="AM207" s="1252"/>
      <c r="AN207" s="1252"/>
      <c r="AO207" s="1252"/>
      <c r="AP207" s="1252"/>
      <c r="AQ207" s="1252"/>
      <c r="AR207" s="1252"/>
      <c r="AS207" s="1252"/>
      <c r="AT207" s="1252"/>
      <c r="AU207" s="1252"/>
      <c r="AV207" s="1252"/>
      <c r="AW207" s="1252"/>
      <c r="AX207" s="1252"/>
      <c r="AY207" s="1252"/>
      <c r="AZ207" s="1374"/>
      <c r="BE207" s="291">
        <v>1</v>
      </c>
      <c r="BF207" s="291">
        <v>1</v>
      </c>
    </row>
    <row r="208" spans="1:58" s="291" customFormat="1" ht="18" customHeight="1">
      <c r="A208" s="294"/>
      <c r="B208" s="303"/>
      <c r="C208" s="303"/>
      <c r="D208" s="303"/>
      <c r="E208" s="303"/>
      <c r="F208" s="303"/>
      <c r="G208" s="303"/>
      <c r="H208" s="303"/>
      <c r="I208" s="303"/>
      <c r="J208" s="303"/>
      <c r="K208" s="287"/>
      <c r="L208" s="287"/>
      <c r="M208" s="287"/>
      <c r="N208" s="287"/>
      <c r="O208" s="287"/>
      <c r="P208" s="287"/>
      <c r="Q208" s="488"/>
      <c r="R208" s="488"/>
      <c r="S208" s="287"/>
      <c r="T208" s="287"/>
      <c r="U208" s="288"/>
      <c r="V208" s="288"/>
      <c r="W208" s="288"/>
      <c r="X208" s="288"/>
      <c r="Y208" s="287"/>
      <c r="Z208" s="287"/>
      <c r="AA208" s="287"/>
      <c r="AB208" s="288"/>
      <c r="AC208" s="288"/>
      <c r="AD208" s="288"/>
      <c r="AE208" s="288"/>
      <c r="AF208" s="288"/>
      <c r="AG208" s="288"/>
      <c r="AH208" s="288"/>
      <c r="AI208" s="288"/>
      <c r="AJ208" s="288"/>
      <c r="AK208" s="288"/>
      <c r="AL208" s="288"/>
      <c r="AM208" s="288"/>
      <c r="AN208" s="288"/>
      <c r="AO208" s="288"/>
      <c r="AP208" s="288"/>
      <c r="AQ208" s="288"/>
      <c r="AR208" s="288"/>
      <c r="AS208" s="288"/>
      <c r="AT208" s="288"/>
      <c r="AU208" s="288"/>
      <c r="AV208" s="288"/>
      <c r="AW208" s="288"/>
      <c r="AX208" s="288"/>
      <c r="AY208" s="288"/>
      <c r="AZ208" s="288"/>
    </row>
    <row r="209" spans="1:52" s="291" customFormat="1" ht="18" customHeight="1">
      <c r="A209" s="292" t="s">
        <v>491</v>
      </c>
      <c r="B209" s="305" t="s">
        <v>492</v>
      </c>
      <c r="C209" s="303"/>
      <c r="D209" s="303"/>
      <c r="E209" s="303"/>
      <c r="F209" s="303"/>
      <c r="G209" s="303"/>
      <c r="H209" s="303"/>
      <c r="I209" s="303"/>
      <c r="J209" s="303"/>
      <c r="K209" s="287"/>
      <c r="L209" s="287"/>
      <c r="M209" s="287"/>
      <c r="N209" s="287"/>
      <c r="O209" s="287"/>
      <c r="P209" s="287"/>
      <c r="Q209" s="1158"/>
      <c r="R209" s="1158"/>
      <c r="S209" s="287"/>
      <c r="T209" s="287"/>
      <c r="U209" s="288"/>
      <c r="V209" s="288"/>
      <c r="W209" s="288"/>
      <c r="X209" s="288"/>
      <c r="Y209" s="287"/>
      <c r="Z209" s="287"/>
      <c r="AA209" s="287"/>
      <c r="AB209" s="288"/>
      <c r="AC209" s="288"/>
      <c r="AD209" s="288"/>
      <c r="AE209" s="288"/>
      <c r="AF209" s="288"/>
      <c r="AG209" s="288"/>
      <c r="AH209" s="288"/>
      <c r="AI209" s="288"/>
      <c r="AJ209" s="288"/>
      <c r="AK209" s="288"/>
      <c r="AL209" s="288"/>
      <c r="AM209" s="288"/>
      <c r="AN209" s="288"/>
      <c r="AO209" s="288"/>
      <c r="AP209" s="288"/>
      <c r="AQ209" s="288"/>
      <c r="AR209" s="288"/>
      <c r="AS209" s="288"/>
      <c r="AT209" s="288"/>
      <c r="AU209" s="288"/>
      <c r="AV209" s="288"/>
      <c r="AW209" s="288"/>
      <c r="AX209" s="288"/>
      <c r="AY209" s="288"/>
      <c r="AZ209" s="288"/>
    </row>
    <row r="210" spans="1:52" s="291" customFormat="1" ht="18" customHeight="1">
      <c r="A210" s="304"/>
      <c r="B210" s="305" t="s">
        <v>2571</v>
      </c>
      <c r="C210" s="303"/>
      <c r="D210" s="303"/>
      <c r="E210" s="303"/>
      <c r="F210" s="303"/>
      <c r="G210" s="303"/>
      <c r="H210" s="303"/>
      <c r="I210" s="303"/>
      <c r="J210" s="303"/>
      <c r="K210" s="287"/>
      <c r="L210" s="287"/>
      <c r="M210" s="287"/>
      <c r="N210" s="287"/>
      <c r="O210" s="287"/>
      <c r="P210" s="287"/>
      <c r="Q210" s="1158"/>
      <c r="R210" s="1158"/>
      <c r="S210" s="287"/>
      <c r="T210" s="287"/>
      <c r="U210" s="288"/>
      <c r="V210" s="288"/>
      <c r="W210" s="288"/>
      <c r="X210" s="288"/>
      <c r="Y210" s="287"/>
      <c r="Z210" s="287"/>
      <c r="AA210" s="287"/>
      <c r="AB210" s="288"/>
      <c r="AC210" s="288"/>
      <c r="AD210" s="288"/>
      <c r="AE210" s="288"/>
      <c r="AF210" s="288"/>
      <c r="AG210" s="288"/>
      <c r="AH210" s="288"/>
      <c r="AI210" s="288"/>
      <c r="AJ210" s="288"/>
      <c r="AK210" s="288"/>
      <c r="AL210" s="288"/>
      <c r="AM210" s="288"/>
      <c r="AN210" s="288"/>
      <c r="AO210" s="288"/>
      <c r="AP210" s="288"/>
      <c r="AQ210" s="288"/>
      <c r="AR210" s="288"/>
      <c r="AS210" s="288"/>
      <c r="AT210" s="288"/>
      <c r="AU210" s="288"/>
      <c r="AV210" s="288"/>
      <c r="AW210" s="288"/>
      <c r="AX210" s="288"/>
      <c r="AY210" s="288"/>
      <c r="AZ210" s="288"/>
    </row>
    <row r="211" spans="1:52" s="291" customFormat="1" ht="18" customHeight="1">
      <c r="A211" s="294"/>
      <c r="B211" s="1305" t="s">
        <v>774</v>
      </c>
      <c r="C211" s="1306"/>
      <c r="D211" s="1306"/>
      <c r="E211" s="1306"/>
      <c r="F211" s="1306"/>
      <c r="G211" s="1306"/>
      <c r="H211" s="1306"/>
      <c r="I211" s="1306"/>
      <c r="J211" s="1306"/>
      <c r="K211" s="1306"/>
      <c r="L211" s="1306"/>
      <c r="M211" s="1306"/>
      <c r="N211" s="1306"/>
      <c r="O211" s="1306"/>
      <c r="P211" s="1306"/>
      <c r="Q211" s="1306"/>
      <c r="R211" s="1306"/>
      <c r="S211" s="1306"/>
      <c r="T211" s="1306"/>
      <c r="U211" s="1306"/>
      <c r="V211" s="1306"/>
      <c r="W211" s="1307"/>
      <c r="X211" s="1253" t="s">
        <v>23</v>
      </c>
      <c r="Y211" s="1254"/>
      <c r="Z211" s="1254"/>
      <c r="AA211" s="1254"/>
      <c r="AB211" s="1254"/>
      <c r="AC211" s="1254"/>
      <c r="AD211" s="1254"/>
      <c r="AE211" s="1254"/>
      <c r="AF211" s="1254"/>
      <c r="AG211" s="1254"/>
      <c r="AH211" s="1254"/>
      <c r="AI211" s="1254"/>
      <c r="AJ211" s="1254"/>
      <c r="AK211" s="1255"/>
      <c r="AL211" s="1253" t="s">
        <v>775</v>
      </c>
      <c r="AM211" s="1254"/>
      <c r="AN211" s="1254"/>
      <c r="AO211" s="1254"/>
      <c r="AP211" s="1254"/>
      <c r="AQ211" s="1254"/>
      <c r="AR211" s="1254"/>
      <c r="AS211" s="1254"/>
      <c r="AT211" s="1254"/>
      <c r="AU211" s="1254"/>
      <c r="AV211" s="1254"/>
      <c r="AW211" s="1254"/>
      <c r="AX211" s="1254"/>
      <c r="AY211" s="1254"/>
      <c r="AZ211" s="1255"/>
    </row>
    <row r="212" spans="1:52" s="291" customFormat="1" ht="18" customHeight="1">
      <c r="A212" s="294"/>
      <c r="B212" s="1228" t="s">
        <v>493</v>
      </c>
      <c r="C212" s="1229"/>
      <c r="D212" s="1229"/>
      <c r="E212" s="1229"/>
      <c r="F212" s="1229"/>
      <c r="G212" s="1229"/>
      <c r="H212" s="1229"/>
      <c r="I212" s="1229"/>
      <c r="J212" s="1229"/>
      <c r="K212" s="1229"/>
      <c r="L212" s="1229"/>
      <c r="M212" s="1229"/>
      <c r="N212" s="1229"/>
      <c r="O212" s="1229"/>
      <c r="P212" s="1229"/>
      <c r="Q212" s="1229"/>
      <c r="R212" s="1229"/>
      <c r="S212" s="1229"/>
      <c r="T212" s="1229"/>
      <c r="U212" s="1229"/>
      <c r="V212" s="1229"/>
      <c r="W212" s="1230"/>
      <c r="X212" s="1437">
        <f>L162</f>
        <v>0</v>
      </c>
      <c r="Y212" s="1188"/>
      <c r="Z212" s="1188"/>
      <c r="AA212" s="1188"/>
      <c r="AB212" s="1188"/>
      <c r="AC212" s="1188"/>
      <c r="AD212" s="1188"/>
      <c r="AE212" s="1188"/>
      <c r="AF212" s="1188"/>
      <c r="AG212" s="1188"/>
      <c r="AH212" s="1188"/>
      <c r="AI212" s="1188"/>
      <c r="AJ212" s="1188"/>
      <c r="AK212" s="1210"/>
      <c r="AL212" s="1187" t="s">
        <v>494</v>
      </c>
      <c r="AM212" s="1188"/>
      <c r="AN212" s="1188"/>
      <c r="AO212" s="1188"/>
      <c r="AP212" s="1188"/>
      <c r="AQ212" s="1188"/>
      <c r="AR212" s="1188"/>
      <c r="AS212" s="1188"/>
      <c r="AT212" s="1188"/>
      <c r="AU212" s="1188"/>
      <c r="AV212" s="1188"/>
      <c r="AW212" s="1188"/>
      <c r="AX212" s="1188"/>
      <c r="AY212" s="1188"/>
      <c r="AZ212" s="1210"/>
    </row>
    <row r="213" spans="1:52" s="291" customFormat="1" ht="18" customHeight="1">
      <c r="A213" s="294"/>
      <c r="B213" s="300"/>
      <c r="C213" s="300"/>
      <c r="D213" s="300"/>
      <c r="E213" s="300"/>
      <c r="F213" s="300"/>
      <c r="G213" s="300"/>
      <c r="H213" s="300"/>
      <c r="I213" s="300"/>
      <c r="J213" s="300"/>
      <c r="K213" s="300"/>
      <c r="L213" s="300"/>
      <c r="M213" s="300"/>
      <c r="N213" s="300"/>
      <c r="O213" s="300"/>
      <c r="P213" s="300"/>
      <c r="Q213" s="488"/>
      <c r="R213" s="488"/>
      <c r="S213" s="300"/>
      <c r="T213" s="300"/>
      <c r="U213" s="478"/>
      <c r="V213" s="478"/>
      <c r="W213" s="478"/>
      <c r="X213" s="479"/>
      <c r="Y213" s="479"/>
      <c r="Z213" s="479"/>
      <c r="AA213" s="479"/>
      <c r="AB213" s="479"/>
      <c r="AC213" s="479"/>
      <c r="AD213" s="479"/>
      <c r="AE213" s="479"/>
      <c r="AF213" s="479"/>
      <c r="AG213" s="479"/>
      <c r="AH213" s="479"/>
      <c r="AI213" s="479"/>
      <c r="AJ213" s="479"/>
      <c r="AK213" s="479"/>
      <c r="AL213" s="487"/>
      <c r="AM213" s="487"/>
      <c r="AN213" s="487"/>
      <c r="AO213" s="487"/>
      <c r="AP213" s="487"/>
      <c r="AQ213" s="487"/>
      <c r="AR213" s="487"/>
      <c r="AS213" s="487"/>
      <c r="AT213" s="487"/>
      <c r="AU213" s="487"/>
      <c r="AV213" s="487"/>
      <c r="AW213" s="487"/>
      <c r="AX213" s="487"/>
      <c r="AY213" s="487"/>
      <c r="AZ213" s="487"/>
    </row>
    <row r="214" spans="1:52" s="291" customFormat="1" ht="15" customHeight="1">
      <c r="A214" s="294"/>
      <c r="B214" s="303"/>
      <c r="C214" s="303"/>
      <c r="D214" s="303"/>
      <c r="E214" s="303"/>
      <c r="F214" s="303"/>
      <c r="G214" s="303"/>
      <c r="H214" s="303"/>
      <c r="I214" s="303"/>
      <c r="J214" s="303"/>
      <c r="K214" s="287"/>
      <c r="L214" s="287"/>
      <c r="M214" s="287"/>
      <c r="N214" s="287"/>
      <c r="O214" s="287"/>
      <c r="P214" s="287"/>
      <c r="Q214" s="488"/>
      <c r="R214" s="488"/>
      <c r="S214" s="287"/>
      <c r="T214" s="287"/>
      <c r="U214" s="288"/>
      <c r="V214" s="288"/>
      <c r="W214" s="288"/>
      <c r="X214" s="288"/>
      <c r="Y214" s="287"/>
      <c r="Z214" s="287"/>
      <c r="AA214" s="287"/>
      <c r="AB214" s="288"/>
      <c r="AC214" s="288"/>
      <c r="AD214" s="288"/>
      <c r="AE214" s="288"/>
      <c r="AF214" s="288"/>
      <c r="AG214" s="288"/>
      <c r="AH214" s="288"/>
      <c r="AI214" s="288"/>
      <c r="AJ214" s="288"/>
      <c r="AK214" s="288"/>
      <c r="AL214" s="289"/>
      <c r="AM214" s="289"/>
      <c r="AN214" s="289"/>
      <c r="AO214" s="289"/>
      <c r="AP214" s="289"/>
      <c r="AQ214" s="289"/>
      <c r="AR214" s="289"/>
      <c r="AS214" s="289"/>
      <c r="AT214" s="289"/>
      <c r="AU214" s="289"/>
      <c r="AV214" s="289"/>
      <c r="AW214" s="289"/>
      <c r="AX214" s="289"/>
      <c r="AY214" s="289"/>
      <c r="AZ214" s="289"/>
    </row>
    <row r="215" spans="1:52" s="291" customFormat="1" ht="18" customHeight="1">
      <c r="A215" s="292" t="s">
        <v>495</v>
      </c>
      <c r="B215" s="295" t="s">
        <v>496</v>
      </c>
      <c r="C215" s="295"/>
      <c r="D215" s="287"/>
      <c r="E215" s="287"/>
      <c r="F215" s="287"/>
      <c r="G215" s="287"/>
      <c r="H215" s="287"/>
      <c r="I215" s="287"/>
      <c r="J215" s="287"/>
      <c r="K215" s="287"/>
      <c r="L215" s="287"/>
      <c r="M215" s="287"/>
      <c r="N215" s="287"/>
      <c r="O215" s="287"/>
      <c r="P215" s="287"/>
      <c r="Q215" s="1158"/>
      <c r="R215" s="1158"/>
      <c r="S215" s="287"/>
      <c r="T215" s="287"/>
      <c r="U215" s="288"/>
      <c r="V215" s="288"/>
      <c r="W215" s="288"/>
      <c r="X215" s="288"/>
      <c r="Y215" s="287"/>
      <c r="Z215" s="287"/>
      <c r="AA215" s="287"/>
      <c r="AB215" s="288"/>
      <c r="AC215" s="288"/>
      <c r="AD215" s="288"/>
      <c r="AE215" s="288"/>
      <c r="AF215" s="288"/>
      <c r="AG215" s="288"/>
      <c r="AH215" s="288"/>
      <c r="AI215" s="288"/>
      <c r="AJ215" s="288"/>
      <c r="AK215" s="288"/>
      <c r="AL215" s="288"/>
      <c r="AM215" s="288"/>
      <c r="AN215" s="288"/>
      <c r="AO215" s="288"/>
      <c r="AP215" s="288"/>
      <c r="AQ215" s="288"/>
      <c r="AR215" s="288"/>
      <c r="AS215" s="288"/>
      <c r="AT215" s="288"/>
      <c r="AU215" s="288"/>
      <c r="AV215" s="288"/>
      <c r="AW215" s="288"/>
      <c r="AX215" s="288"/>
      <c r="AY215" s="288"/>
      <c r="AZ215" s="288"/>
    </row>
    <row r="216" spans="1:52" s="291" customFormat="1" ht="18" customHeight="1">
      <c r="A216" s="292"/>
      <c r="B216" s="295" t="s">
        <v>2572</v>
      </c>
      <c r="C216" s="295"/>
      <c r="D216" s="287"/>
      <c r="E216" s="287"/>
      <c r="F216" s="287"/>
      <c r="G216" s="287"/>
      <c r="H216" s="287"/>
      <c r="I216" s="287"/>
      <c r="J216" s="287"/>
      <c r="K216" s="287"/>
      <c r="L216" s="287"/>
      <c r="M216" s="287"/>
      <c r="N216" s="287"/>
      <c r="O216" s="287"/>
      <c r="P216" s="287"/>
      <c r="Q216" s="1158"/>
      <c r="R216" s="1158"/>
      <c r="S216" s="287"/>
      <c r="T216" s="287"/>
      <c r="U216" s="288"/>
      <c r="V216" s="288"/>
      <c r="W216" s="288"/>
      <c r="X216" s="288"/>
      <c r="Y216" s="287"/>
      <c r="Z216" s="287"/>
      <c r="AA216" s="287"/>
      <c r="AB216" s="288"/>
      <c r="AC216" s="288"/>
      <c r="AD216" s="288"/>
      <c r="AE216" s="288"/>
      <c r="AF216" s="288"/>
      <c r="AG216" s="288"/>
      <c r="AH216" s="288"/>
      <c r="AI216" s="288"/>
      <c r="AJ216" s="288"/>
      <c r="AK216" s="288"/>
      <c r="AL216" s="288"/>
      <c r="AM216" s="288"/>
      <c r="AN216" s="288"/>
      <c r="AO216" s="288"/>
      <c r="AP216" s="288"/>
      <c r="AQ216" s="288"/>
      <c r="AR216" s="288"/>
      <c r="AS216" s="288"/>
      <c r="AT216" s="288"/>
      <c r="AU216" s="288"/>
      <c r="AV216" s="288"/>
      <c r="AW216" s="288"/>
      <c r="AX216" s="288"/>
      <c r="AY216" s="288"/>
      <c r="AZ216" s="288"/>
    </row>
    <row r="217" spans="1:52" s="291" customFormat="1" ht="18" customHeight="1">
      <c r="A217" s="294"/>
      <c r="B217" s="1177" t="str">
        <f>+CONCATENATE(M166," LA POBLACIÓN ACCEDE A UN ADECUADO SERVICIO DE LIMPIEZA PÚBLICA EN LA LOCALIDAD DE ",AO20, ", DISTRITO ",AB20, ", PROVINCIA ",O20, ", DEPARTAMENTO ",B20)</f>
        <v xml:space="preserve"> LA POBLACIÓN ACCEDE A UN ADECUADO SERVICIO DE LIMPIEZA PÚBLICA EN LA LOCALIDAD DE SAN JUAN, DISTRITO CALLERÍA, PROVINCIA CORONEL PORTILLO, DEPARTAMENTO UCAYALI</v>
      </c>
      <c r="C217" s="1178"/>
      <c r="D217" s="1178"/>
      <c r="E217" s="1178"/>
      <c r="F217" s="1178"/>
      <c r="G217" s="1178"/>
      <c r="H217" s="1178"/>
      <c r="I217" s="1178"/>
      <c r="J217" s="1178"/>
      <c r="K217" s="1178"/>
      <c r="L217" s="1178"/>
      <c r="M217" s="1178"/>
      <c r="N217" s="1178"/>
      <c r="O217" s="1178"/>
      <c r="P217" s="1178"/>
      <c r="Q217" s="1178" t="b">
        <v>0</v>
      </c>
      <c r="R217" s="1178"/>
      <c r="S217" s="1178"/>
      <c r="T217" s="1178"/>
      <c r="U217" s="1178"/>
      <c r="V217" s="1178"/>
      <c r="W217" s="1178"/>
      <c r="X217" s="1178"/>
      <c r="Y217" s="1178"/>
      <c r="Z217" s="1178"/>
      <c r="AA217" s="1178"/>
      <c r="AB217" s="1178"/>
      <c r="AC217" s="1178"/>
      <c r="AD217" s="1178"/>
      <c r="AE217" s="1178"/>
      <c r="AF217" s="1178"/>
      <c r="AG217" s="1178"/>
      <c r="AH217" s="1178"/>
      <c r="AI217" s="1178"/>
      <c r="AJ217" s="1178"/>
      <c r="AK217" s="1178"/>
      <c r="AL217" s="1178"/>
      <c r="AM217" s="1178"/>
      <c r="AN217" s="1178"/>
      <c r="AO217" s="1178"/>
      <c r="AP217" s="1178"/>
      <c r="AQ217" s="1178"/>
      <c r="AR217" s="1178"/>
      <c r="AS217" s="1178"/>
      <c r="AT217" s="1178"/>
      <c r="AU217" s="1178"/>
      <c r="AV217" s="1178"/>
      <c r="AW217" s="1178"/>
      <c r="AX217" s="1178"/>
      <c r="AY217" s="1178"/>
      <c r="AZ217" s="1191"/>
    </row>
    <row r="218" spans="1:52" s="291" customFormat="1" ht="18" customHeight="1">
      <c r="A218" s="294"/>
      <c r="B218" s="1158"/>
      <c r="C218" s="1158"/>
      <c r="D218" s="1158"/>
      <c r="E218" s="1158"/>
      <c r="F218" s="1158"/>
      <c r="G218" s="1158"/>
      <c r="H218" s="1158"/>
      <c r="I218" s="1158"/>
      <c r="J218" s="1158"/>
      <c r="K218" s="1158"/>
      <c r="L218" s="1158"/>
      <c r="M218" s="1158"/>
      <c r="N218" s="1158"/>
      <c r="O218" s="1158"/>
      <c r="P218" s="1158"/>
      <c r="Q218" s="1158"/>
      <c r="R218" s="1158"/>
      <c r="S218" s="1158"/>
      <c r="T218" s="1158"/>
      <c r="U218" s="1155"/>
      <c r="V218" s="1155"/>
      <c r="W218" s="1155"/>
      <c r="X218" s="1155"/>
      <c r="Y218" s="1158"/>
      <c r="Z218" s="1158"/>
      <c r="AA218" s="1158"/>
      <c r="AB218" s="1155"/>
      <c r="AC218" s="1155"/>
      <c r="AD218" s="1155"/>
      <c r="AE218" s="1155"/>
      <c r="AF218" s="1155"/>
      <c r="AG218" s="1155"/>
      <c r="AH218" s="1155"/>
      <c r="AI218" s="1155"/>
      <c r="AJ218" s="1155"/>
      <c r="AK218" s="1155"/>
      <c r="AL218" s="1155"/>
      <c r="AM218" s="1155"/>
      <c r="AN218" s="1155"/>
      <c r="AO218" s="1155"/>
      <c r="AP218" s="1155"/>
      <c r="AQ218" s="1155"/>
      <c r="AR218" s="1155"/>
      <c r="AS218" s="1155"/>
      <c r="AT218" s="1155"/>
      <c r="AU218" s="1155"/>
      <c r="AV218" s="1155"/>
      <c r="AW218" s="1155"/>
      <c r="AX218" s="1155"/>
      <c r="AY218" s="1155"/>
      <c r="AZ218" s="1155"/>
    </row>
    <row r="219" spans="1:52" s="291" customFormat="1" ht="12" customHeight="1">
      <c r="A219" s="294"/>
      <c r="B219" s="1158"/>
      <c r="C219" s="1158"/>
      <c r="D219" s="1158"/>
      <c r="E219" s="1158"/>
      <c r="F219" s="1158"/>
      <c r="G219" s="1158"/>
      <c r="H219" s="1158"/>
      <c r="I219" s="1158"/>
      <c r="J219" s="1158"/>
      <c r="K219" s="1158"/>
      <c r="L219" s="1158"/>
      <c r="M219" s="1158"/>
      <c r="N219" s="1158"/>
      <c r="O219" s="1158"/>
      <c r="P219" s="1158"/>
      <c r="Q219" s="1158"/>
      <c r="R219" s="1158"/>
      <c r="S219" s="1158"/>
      <c r="T219" s="1158"/>
      <c r="U219" s="1155"/>
      <c r="V219" s="1155"/>
      <c r="W219" s="1155"/>
      <c r="X219" s="1155"/>
      <c r="Y219" s="1158"/>
      <c r="Z219" s="1158"/>
      <c r="AA219" s="1158"/>
      <c r="AB219" s="1155"/>
      <c r="AC219" s="1155"/>
      <c r="AD219" s="1155"/>
      <c r="AE219" s="1155"/>
      <c r="AF219" s="1155"/>
      <c r="AG219" s="1155"/>
      <c r="AH219" s="1155"/>
      <c r="AI219" s="1155"/>
      <c r="AJ219" s="1155"/>
      <c r="AK219" s="1155"/>
      <c r="AL219" s="1155"/>
      <c r="AM219" s="1155"/>
      <c r="AN219" s="1155"/>
      <c r="AO219" s="1155"/>
      <c r="AP219" s="1155"/>
      <c r="AQ219" s="1155"/>
      <c r="AR219" s="1155"/>
      <c r="AS219" s="1155"/>
      <c r="AT219" s="1155"/>
      <c r="AU219" s="1155"/>
      <c r="AV219" s="1155"/>
      <c r="AW219" s="1155"/>
      <c r="AX219" s="1155"/>
      <c r="AY219" s="1155"/>
      <c r="AZ219" s="1155"/>
    </row>
    <row r="220" spans="1:52" s="291" customFormat="1" ht="18" customHeight="1">
      <c r="A220" s="292"/>
      <c r="B220" s="295" t="s">
        <v>2573</v>
      </c>
      <c r="C220" s="295"/>
      <c r="D220" s="287"/>
      <c r="E220" s="287"/>
      <c r="F220" s="287"/>
      <c r="G220" s="287"/>
      <c r="H220" s="287"/>
      <c r="I220" s="287"/>
      <c r="J220" s="287"/>
      <c r="K220" s="287"/>
      <c r="L220" s="287"/>
      <c r="M220" s="287"/>
      <c r="N220" s="287"/>
      <c r="O220" s="287"/>
      <c r="P220" s="287"/>
      <c r="Q220" s="1158"/>
      <c r="R220" s="1158"/>
      <c r="S220" s="287"/>
      <c r="T220" s="287"/>
      <c r="U220" s="288"/>
      <c r="V220" s="288"/>
      <c r="W220" s="288"/>
      <c r="X220" s="288"/>
      <c r="Y220" s="287"/>
      <c r="Z220" s="287"/>
      <c r="AA220" s="287"/>
      <c r="AB220" s="288"/>
      <c r="AC220" s="288"/>
      <c r="AD220" s="288"/>
      <c r="AE220" s="288"/>
      <c r="AF220" s="288"/>
      <c r="AG220" s="288"/>
      <c r="AH220" s="288"/>
      <c r="AI220" s="288"/>
      <c r="AJ220" s="288"/>
      <c r="AK220" s="288"/>
      <c r="AL220" s="288"/>
      <c r="AM220" s="288"/>
      <c r="AN220" s="288"/>
      <c r="AO220" s="288"/>
      <c r="AP220" s="288"/>
      <c r="AQ220" s="288"/>
      <c r="AR220" s="288"/>
      <c r="AS220" s="288"/>
      <c r="AT220" s="288"/>
      <c r="AU220" s="288"/>
      <c r="AV220" s="288"/>
      <c r="AW220" s="288"/>
      <c r="AX220" s="288"/>
      <c r="AY220" s="288"/>
      <c r="AZ220" s="288"/>
    </row>
    <row r="221" spans="1:52" s="291" customFormat="1" ht="18" customHeight="1">
      <c r="A221" s="294"/>
      <c r="B221" s="295"/>
      <c r="C221" s="295"/>
      <c r="D221" s="295"/>
      <c r="E221" s="295"/>
      <c r="F221" s="295"/>
      <c r="G221" s="295"/>
      <c r="H221" s="295"/>
      <c r="I221" s="288"/>
      <c r="J221" s="288"/>
      <c r="K221" s="287"/>
      <c r="L221" s="287"/>
      <c r="M221" s="287"/>
      <c r="N221" s="287"/>
      <c r="O221" s="287"/>
      <c r="P221" s="287"/>
      <c r="Q221" s="1158"/>
      <c r="R221" s="1158"/>
      <c r="S221" s="287"/>
      <c r="T221" s="287"/>
      <c r="U221" s="288"/>
      <c r="V221" s="288"/>
      <c r="W221" s="288"/>
      <c r="X221" s="288"/>
      <c r="Y221" s="287"/>
      <c r="Z221" s="287"/>
      <c r="AA221" s="287"/>
      <c r="AB221" s="288"/>
      <c r="AC221" s="288"/>
      <c r="AD221" s="288"/>
      <c r="AE221" s="288"/>
      <c r="AF221" s="288"/>
      <c r="AG221" s="288"/>
      <c r="AH221" s="288"/>
      <c r="AI221" s="288"/>
      <c r="AJ221" s="288"/>
      <c r="AK221" s="288"/>
      <c r="AL221" s="288"/>
      <c r="AM221" s="288"/>
      <c r="AN221" s="288"/>
      <c r="AO221" s="288"/>
      <c r="AP221" s="288"/>
      <c r="AQ221" s="288"/>
      <c r="AR221" s="288"/>
      <c r="AS221" s="288"/>
      <c r="AT221" s="288"/>
      <c r="AU221" s="288"/>
      <c r="AV221" s="288"/>
      <c r="AW221" s="288"/>
      <c r="AX221" s="288"/>
      <c r="AY221" s="288"/>
      <c r="AZ221" s="288"/>
    </row>
    <row r="222" spans="1:52" s="291" customFormat="1" ht="18" customHeight="1">
      <c r="A222" s="294"/>
      <c r="B222" s="1256" t="s">
        <v>475</v>
      </c>
      <c r="C222" s="1256"/>
      <c r="D222" s="1256"/>
      <c r="E222" s="1256"/>
      <c r="F222" s="1256"/>
      <c r="G222" s="1256"/>
      <c r="H222" s="1256"/>
      <c r="I222" s="1256"/>
      <c r="J222" s="1256"/>
      <c r="K222" s="1256"/>
      <c r="L222" s="1256" t="s">
        <v>397</v>
      </c>
      <c r="M222" s="1256"/>
      <c r="N222" s="1256"/>
      <c r="O222" s="1256"/>
      <c r="P222" s="1256"/>
      <c r="Q222" s="1256"/>
      <c r="R222" s="1256"/>
      <c r="S222" s="1256"/>
      <c r="T222" s="1256"/>
      <c r="U222" s="1256"/>
      <c r="V222" s="1256" t="s">
        <v>497</v>
      </c>
      <c r="W222" s="1256"/>
      <c r="X222" s="1256"/>
      <c r="Y222" s="1256"/>
      <c r="Z222" s="1256"/>
      <c r="AA222" s="1256"/>
      <c r="AB222" s="1256"/>
      <c r="AC222" s="1256" t="s">
        <v>2808</v>
      </c>
      <c r="AD222" s="1256"/>
      <c r="AE222" s="1256"/>
      <c r="AF222" s="1256"/>
      <c r="AG222" s="1256"/>
      <c r="AH222" s="1256"/>
      <c r="AI222" s="1256"/>
      <c r="AJ222" s="1256"/>
      <c r="AK222" s="1256"/>
      <c r="AL222" s="1256"/>
      <c r="AM222" s="288"/>
      <c r="AN222" s="288"/>
      <c r="AO222" s="288"/>
      <c r="AP222" s="288"/>
      <c r="AQ222" s="288"/>
      <c r="AR222" s="288"/>
      <c r="AS222" s="288"/>
      <c r="AT222" s="288"/>
      <c r="AU222" s="288"/>
      <c r="AV222" s="288"/>
      <c r="AW222" s="288"/>
      <c r="AX222" s="288"/>
      <c r="AY222" s="288"/>
      <c r="AZ222" s="288"/>
    </row>
    <row r="223" spans="1:52" s="291" customFormat="1" ht="36" customHeight="1">
      <c r="A223" s="294"/>
      <c r="B223" s="1322" t="s">
        <v>498</v>
      </c>
      <c r="C223" s="1322"/>
      <c r="D223" s="1322"/>
      <c r="E223" s="1322"/>
      <c r="F223" s="1322"/>
      <c r="G223" s="1322"/>
      <c r="H223" s="1322"/>
      <c r="I223" s="1322"/>
      <c r="J223" s="1322"/>
      <c r="K223" s="1322"/>
      <c r="L223" s="1208" t="s">
        <v>129</v>
      </c>
      <c r="M223" s="1208"/>
      <c r="N223" s="1208"/>
      <c r="O223" s="1208"/>
      <c r="P223" s="1208"/>
      <c r="Q223" s="1208"/>
      <c r="R223" s="1208"/>
      <c r="S223" s="1208"/>
      <c r="T223" s="1208"/>
      <c r="U223" s="1208"/>
      <c r="V223" s="1207">
        <f>X212</f>
        <v>0</v>
      </c>
      <c r="W223" s="1207"/>
      <c r="X223" s="1207"/>
      <c r="Y223" s="1207"/>
      <c r="Z223" s="1207"/>
      <c r="AA223" s="1207"/>
      <c r="AB223" s="1207"/>
      <c r="AC223" s="1478" t="s">
        <v>499</v>
      </c>
      <c r="AD223" s="1478"/>
      <c r="AE223" s="1478"/>
      <c r="AF223" s="1478"/>
      <c r="AG223" s="1478"/>
      <c r="AH223" s="1478"/>
      <c r="AI223" s="1478"/>
      <c r="AJ223" s="1478"/>
      <c r="AK223" s="1478"/>
      <c r="AL223" s="1478"/>
      <c r="AM223" s="288"/>
      <c r="AN223" s="288"/>
      <c r="AO223" s="288"/>
      <c r="AP223" s="288"/>
      <c r="AQ223" s="288"/>
      <c r="AR223" s="288"/>
      <c r="AS223" s="288"/>
      <c r="AT223" s="288"/>
      <c r="AU223" s="288"/>
      <c r="AV223" s="288"/>
      <c r="AW223" s="288"/>
      <c r="AX223" s="313"/>
      <c r="AY223" s="288"/>
      <c r="AZ223" s="288"/>
    </row>
    <row r="224" spans="1:52" s="291" customFormat="1" ht="36" customHeight="1">
      <c r="A224" s="294"/>
      <c r="B224" s="1322" t="s">
        <v>500</v>
      </c>
      <c r="C224" s="1322"/>
      <c r="D224" s="1322"/>
      <c r="E224" s="1322"/>
      <c r="F224" s="1322"/>
      <c r="G224" s="1322"/>
      <c r="H224" s="1322"/>
      <c r="I224" s="1322"/>
      <c r="J224" s="1322"/>
      <c r="K224" s="1322"/>
      <c r="L224" s="1208" t="s">
        <v>2694</v>
      </c>
      <c r="M224" s="1208"/>
      <c r="N224" s="1208"/>
      <c r="O224" s="1208"/>
      <c r="P224" s="1208"/>
      <c r="Q224" s="1208"/>
      <c r="R224" s="1208"/>
      <c r="S224" s="1208"/>
      <c r="T224" s="1208"/>
      <c r="U224" s="1208"/>
      <c r="V224" s="1395">
        <f>'Demanda Oferta'!K33</f>
        <v>0</v>
      </c>
      <c r="W224" s="1395"/>
      <c r="X224" s="1395"/>
      <c r="Y224" s="1395"/>
      <c r="Z224" s="1395"/>
      <c r="AA224" s="1395"/>
      <c r="AB224" s="1395"/>
      <c r="AC224" s="1479" t="s">
        <v>501</v>
      </c>
      <c r="AD224" s="1479"/>
      <c r="AE224" s="1479"/>
      <c r="AF224" s="1479"/>
      <c r="AG224" s="1479"/>
      <c r="AH224" s="1479"/>
      <c r="AI224" s="1479"/>
      <c r="AJ224" s="1479"/>
      <c r="AK224" s="1479"/>
      <c r="AL224" s="1479"/>
      <c r="AM224" s="288"/>
      <c r="AN224" s="288"/>
      <c r="AO224" s="288"/>
      <c r="AP224" s="288"/>
      <c r="AQ224" s="288"/>
      <c r="AR224" s="288"/>
      <c r="AS224" s="288"/>
      <c r="AT224" s="288"/>
      <c r="AU224" s="288"/>
      <c r="AV224" s="288"/>
      <c r="AW224" s="288"/>
      <c r="AX224" s="313"/>
      <c r="AY224" s="288"/>
      <c r="AZ224" s="288"/>
    </row>
    <row r="225" spans="1:52" s="291" customFormat="1" ht="36" customHeight="1">
      <c r="A225" s="294"/>
      <c r="B225" s="1322" t="s">
        <v>502</v>
      </c>
      <c r="C225" s="1322"/>
      <c r="D225" s="1322"/>
      <c r="E225" s="1322"/>
      <c r="F225" s="1322"/>
      <c r="G225" s="1322"/>
      <c r="H225" s="1322"/>
      <c r="I225" s="1322"/>
      <c r="J225" s="1322"/>
      <c r="K225" s="1322"/>
      <c r="L225" s="1208" t="s">
        <v>2695</v>
      </c>
      <c r="M225" s="1208"/>
      <c r="N225" s="1208"/>
      <c r="O225" s="1208"/>
      <c r="P225" s="1208"/>
      <c r="Q225" s="1208"/>
      <c r="R225" s="1208"/>
      <c r="S225" s="1208"/>
      <c r="T225" s="1208"/>
      <c r="U225" s="1208"/>
      <c r="V225" s="1395">
        <f>V224</f>
        <v>0</v>
      </c>
      <c r="W225" s="1395"/>
      <c r="X225" s="1395"/>
      <c r="Y225" s="1395"/>
      <c r="Z225" s="1395"/>
      <c r="AA225" s="1395"/>
      <c r="AB225" s="1395"/>
      <c r="AC225" s="1479" t="str">
        <f>+AC224</f>
        <v>Informe del área encargada de la O&amp;M</v>
      </c>
      <c r="AD225" s="1479"/>
      <c r="AE225" s="1479"/>
      <c r="AF225" s="1479"/>
      <c r="AG225" s="1479"/>
      <c r="AH225" s="1479"/>
      <c r="AI225" s="1479"/>
      <c r="AJ225" s="1479"/>
      <c r="AK225" s="1479"/>
      <c r="AL225" s="1479"/>
      <c r="AM225" s="288"/>
      <c r="AN225" s="288"/>
      <c r="AO225" s="288"/>
      <c r="AP225" s="288"/>
      <c r="AQ225" s="288"/>
      <c r="AR225" s="288"/>
      <c r="AS225" s="288"/>
      <c r="AT225" s="288"/>
      <c r="AU225" s="288"/>
      <c r="AV225" s="288"/>
      <c r="AW225" s="288"/>
      <c r="AX225" s="313"/>
      <c r="AY225" s="288"/>
      <c r="AZ225" s="288"/>
    </row>
    <row r="226" spans="1:52" s="291" customFormat="1" ht="9" customHeight="1">
      <c r="A226" s="297"/>
      <c r="B226" s="323"/>
      <c r="C226" s="323"/>
      <c r="D226" s="323"/>
      <c r="E226" s="323"/>
      <c r="F226" s="323"/>
      <c r="G226" s="323"/>
      <c r="H226" s="323"/>
      <c r="I226" s="323"/>
      <c r="J226" s="323"/>
      <c r="K226" s="323"/>
      <c r="L226" s="479"/>
      <c r="M226" s="479"/>
      <c r="N226" s="479"/>
      <c r="O226" s="479"/>
      <c r="P226" s="479"/>
      <c r="Q226" s="479"/>
      <c r="R226" s="479"/>
      <c r="S226" s="479"/>
      <c r="T226" s="479"/>
      <c r="U226" s="479"/>
      <c r="V226" s="365"/>
      <c r="W226" s="365"/>
      <c r="X226" s="365"/>
      <c r="Y226" s="365"/>
      <c r="Z226" s="365"/>
      <c r="AA226" s="365"/>
      <c r="AB226" s="365"/>
      <c r="AC226" s="307"/>
      <c r="AD226" s="307"/>
      <c r="AE226" s="307"/>
      <c r="AF226" s="307"/>
      <c r="AG226" s="307"/>
      <c r="AH226" s="307"/>
      <c r="AI226" s="307"/>
      <c r="AJ226" s="307"/>
      <c r="AK226" s="307"/>
      <c r="AL226" s="307"/>
      <c r="AM226" s="289"/>
      <c r="AN226" s="289"/>
      <c r="AO226" s="289"/>
      <c r="AP226" s="289"/>
      <c r="AQ226" s="289"/>
      <c r="AR226" s="289"/>
      <c r="AS226" s="289"/>
      <c r="AT226" s="289"/>
      <c r="AU226" s="289"/>
      <c r="AV226" s="289"/>
      <c r="AW226" s="289"/>
      <c r="AX226" s="293"/>
      <c r="AY226" s="289"/>
      <c r="AZ226" s="289"/>
    </row>
    <row r="227" spans="1:52" s="291" customFormat="1" ht="9" customHeight="1">
      <c r="A227" s="297"/>
      <c r="B227" s="487"/>
      <c r="C227" s="487"/>
      <c r="D227" s="487"/>
      <c r="E227" s="487"/>
      <c r="F227" s="487"/>
      <c r="G227" s="487"/>
      <c r="H227" s="487"/>
      <c r="I227" s="487"/>
      <c r="J227" s="487"/>
      <c r="K227" s="487"/>
      <c r="L227" s="479"/>
      <c r="M227" s="479"/>
      <c r="N227" s="479"/>
      <c r="O227" s="479"/>
      <c r="P227" s="479"/>
      <c r="Q227" s="479"/>
      <c r="R227" s="479"/>
      <c r="S227" s="479"/>
      <c r="T227" s="479"/>
      <c r="U227" s="479"/>
      <c r="V227" s="306"/>
      <c r="W227" s="306"/>
      <c r="X227" s="306"/>
      <c r="Y227" s="306"/>
      <c r="Z227" s="306"/>
      <c r="AA227" s="306"/>
      <c r="AB227" s="306"/>
      <c r="AC227" s="307"/>
      <c r="AD227" s="307"/>
      <c r="AE227" s="307"/>
      <c r="AF227" s="307"/>
      <c r="AG227" s="307"/>
      <c r="AH227" s="307"/>
      <c r="AI227" s="307"/>
      <c r="AJ227" s="307"/>
      <c r="AK227" s="307"/>
      <c r="AL227" s="307"/>
      <c r="AM227" s="289"/>
      <c r="AN227" s="289"/>
      <c r="AO227" s="289"/>
      <c r="AP227" s="289"/>
      <c r="AQ227" s="289"/>
      <c r="AR227" s="289"/>
      <c r="AS227" s="289"/>
      <c r="AT227" s="289"/>
      <c r="AU227" s="289"/>
      <c r="AV227" s="289"/>
      <c r="AW227" s="289"/>
      <c r="AX227" s="293"/>
      <c r="AY227" s="289"/>
      <c r="AZ227" s="289"/>
    </row>
    <row r="228" spans="1:52" s="291" customFormat="1" ht="18" customHeight="1">
      <c r="A228" s="292"/>
      <c r="B228" s="295" t="s">
        <v>503</v>
      </c>
      <c r="C228" s="300"/>
      <c r="D228" s="300"/>
      <c r="E228" s="300"/>
      <c r="F228" s="300"/>
      <c r="G228" s="300"/>
      <c r="H228" s="300"/>
      <c r="I228" s="300"/>
      <c r="J228" s="300"/>
      <c r="K228" s="287"/>
      <c r="L228" s="300"/>
      <c r="M228" s="300"/>
      <c r="N228" s="300"/>
      <c r="O228" s="300"/>
      <c r="P228" s="300"/>
      <c r="Q228" s="488"/>
      <c r="R228" s="488"/>
      <c r="S228" s="300"/>
      <c r="T228" s="300"/>
      <c r="U228" s="478"/>
      <c r="V228" s="478"/>
      <c r="W228" s="478"/>
      <c r="X228" s="478"/>
      <c r="Y228" s="300"/>
      <c r="Z228" s="300"/>
      <c r="AA228" s="300"/>
      <c r="AB228" s="478"/>
      <c r="AC228" s="478"/>
      <c r="AD228" s="478"/>
      <c r="AE228" s="478"/>
      <c r="AF228" s="478"/>
      <c r="AG228" s="478"/>
      <c r="AH228" s="478"/>
      <c r="AI228" s="478"/>
      <c r="AJ228" s="478"/>
      <c r="AK228" s="478"/>
      <c r="AL228" s="478"/>
      <c r="AM228" s="478"/>
      <c r="AN228" s="478"/>
      <c r="AO228" s="478"/>
      <c r="AP228" s="478"/>
      <c r="AQ228" s="478"/>
      <c r="AR228" s="478"/>
      <c r="AS228" s="478"/>
      <c r="AT228" s="478"/>
      <c r="AU228" s="478"/>
      <c r="AV228" s="478"/>
      <c r="AW228" s="478"/>
      <c r="AX228" s="478"/>
      <c r="AY228" s="478"/>
      <c r="AZ228" s="478"/>
    </row>
    <row r="229" spans="1:52" s="291" customFormat="1" ht="9.75" customHeight="1">
      <c r="A229" s="292"/>
      <c r="B229" s="295"/>
      <c r="C229" s="300"/>
      <c r="D229" s="300"/>
      <c r="E229" s="300"/>
      <c r="F229" s="300"/>
      <c r="G229" s="300"/>
      <c r="H229" s="300"/>
      <c r="I229" s="300"/>
      <c r="J229" s="300"/>
      <c r="K229" s="300"/>
      <c r="L229" s="300"/>
      <c r="M229" s="300"/>
      <c r="N229" s="300"/>
      <c r="O229" s="300"/>
      <c r="P229" s="300"/>
      <c r="Q229" s="488"/>
      <c r="R229" s="488"/>
      <c r="S229" s="300"/>
      <c r="T229" s="300"/>
      <c r="U229" s="478"/>
      <c r="V229" s="478"/>
      <c r="W229" s="478"/>
      <c r="X229" s="478"/>
      <c r="Y229" s="300"/>
      <c r="Z229" s="300"/>
      <c r="AA229" s="300"/>
      <c r="AB229" s="478"/>
      <c r="AC229" s="478"/>
      <c r="AD229" s="478"/>
      <c r="AE229" s="478"/>
      <c r="AF229" s="478"/>
      <c r="AG229" s="478"/>
      <c r="AH229" s="478"/>
      <c r="AI229" s="478"/>
      <c r="AJ229" s="478"/>
      <c r="AK229" s="478"/>
      <c r="AL229" s="478"/>
      <c r="AM229" s="478"/>
      <c r="AN229" s="478"/>
      <c r="AO229" s="478"/>
      <c r="AP229" s="478"/>
      <c r="AQ229" s="478"/>
      <c r="AR229" s="478"/>
      <c r="AS229" s="478"/>
      <c r="AT229" s="478"/>
      <c r="AU229" s="478"/>
      <c r="AV229" s="478"/>
      <c r="AW229" s="478"/>
      <c r="AX229" s="478"/>
      <c r="AY229" s="478"/>
      <c r="AZ229" s="478"/>
    </row>
    <row r="230" spans="1:52" s="291" customFormat="1" ht="18" customHeight="1">
      <c r="A230" s="294"/>
      <c r="B230" s="1256" t="s">
        <v>776</v>
      </c>
      <c r="C230" s="1256"/>
      <c r="D230" s="1256"/>
      <c r="E230" s="1256"/>
      <c r="F230" s="1256"/>
      <c r="G230" s="1256"/>
      <c r="H230" s="1256"/>
      <c r="I230" s="1256"/>
      <c r="J230" s="1256"/>
      <c r="K230" s="1256"/>
      <c r="L230" s="1256"/>
      <c r="M230" s="1256"/>
      <c r="N230" s="1256"/>
      <c r="O230" s="1256"/>
      <c r="P230" s="1256"/>
      <c r="Q230" s="1256"/>
      <c r="R230" s="1256"/>
      <c r="S230" s="1256"/>
      <c r="T230" s="1256"/>
      <c r="U230" s="1253" t="s">
        <v>503</v>
      </c>
      <c r="V230" s="1254"/>
      <c r="W230" s="1254"/>
      <c r="X230" s="1254"/>
      <c r="Y230" s="1254"/>
      <c r="Z230" s="1254"/>
      <c r="AA230" s="1254"/>
      <c r="AB230" s="1254"/>
      <c r="AC230" s="1254"/>
      <c r="AD230" s="1254"/>
      <c r="AE230" s="1254"/>
      <c r="AF230" s="1254"/>
      <c r="AG230" s="1254"/>
      <c r="AH230" s="1254"/>
      <c r="AI230" s="1254"/>
      <c r="AJ230" s="1254"/>
      <c r="AK230" s="1254"/>
      <c r="AL230" s="1254"/>
      <c r="AM230" s="1254"/>
      <c r="AN230" s="1254"/>
      <c r="AO230" s="1254"/>
      <c r="AP230" s="1254"/>
      <c r="AQ230" s="1254"/>
      <c r="AR230" s="1254"/>
      <c r="AS230" s="1254"/>
      <c r="AT230" s="1254"/>
      <c r="AU230" s="1254"/>
      <c r="AV230" s="1254"/>
      <c r="AW230" s="1254"/>
      <c r="AX230" s="1254"/>
      <c r="AY230" s="1254"/>
      <c r="AZ230" s="1255"/>
    </row>
    <row r="231" spans="1:52" s="291" customFormat="1" ht="18" customHeight="1">
      <c r="A231" s="298"/>
      <c r="B231" s="299"/>
      <c r="C231" s="1195" t="str">
        <f>BASE!B33</f>
        <v>Adecuado almacenamiento en vías urbanas y áreas públicas</v>
      </c>
      <c r="D231" s="1196"/>
      <c r="E231" s="1196"/>
      <c r="F231" s="1196"/>
      <c r="G231" s="1196"/>
      <c r="H231" s="1196"/>
      <c r="I231" s="1196"/>
      <c r="J231" s="1196"/>
      <c r="K231" s="1196"/>
      <c r="L231" s="1196"/>
      <c r="M231" s="1196"/>
      <c r="N231" s="1196"/>
      <c r="O231" s="1196"/>
      <c r="P231" s="1196"/>
      <c r="Q231" s="1196"/>
      <c r="R231" s="1196"/>
      <c r="S231" s="1196"/>
      <c r="T231" s="1197"/>
      <c r="U231" s="475"/>
      <c r="V231" s="1447" t="str">
        <f>BASE!D33</f>
        <v>Adecuado equipamiento para el almacenamiento en vías urbanas y áreas publicas</v>
      </c>
      <c r="W231" s="1447"/>
      <c r="X231" s="1447"/>
      <c r="Y231" s="1447"/>
      <c r="Z231" s="1447"/>
      <c r="AA231" s="1447"/>
      <c r="AB231" s="1447"/>
      <c r="AC231" s="1447"/>
      <c r="AD231" s="1447"/>
      <c r="AE231" s="1447"/>
      <c r="AF231" s="1447"/>
      <c r="AG231" s="1447"/>
      <c r="AH231" s="1447"/>
      <c r="AI231" s="1447"/>
      <c r="AJ231" s="1447"/>
      <c r="AK231" s="1447"/>
      <c r="AL231" s="1447"/>
      <c r="AM231" s="1447"/>
      <c r="AN231" s="1447"/>
      <c r="AO231" s="1447"/>
      <c r="AP231" s="1447"/>
      <c r="AQ231" s="1447"/>
      <c r="AR231" s="1447"/>
      <c r="AS231" s="1447"/>
      <c r="AT231" s="1447"/>
      <c r="AU231" s="1447"/>
      <c r="AV231" s="1447"/>
      <c r="AW231" s="1447"/>
      <c r="AX231" s="1447"/>
      <c r="AY231" s="1447"/>
      <c r="AZ231" s="1447"/>
    </row>
    <row r="232" spans="1:52" s="291" customFormat="1" ht="18" customHeight="1">
      <c r="A232" s="298"/>
      <c r="B232" s="299"/>
      <c r="C232" s="1195" t="str">
        <f>BASE!B35</f>
        <v>Adecuado barrido de vías urbanas y áreas públicas</v>
      </c>
      <c r="D232" s="1196"/>
      <c r="E232" s="1196"/>
      <c r="F232" s="1196"/>
      <c r="G232" s="1196"/>
      <c r="H232" s="1196"/>
      <c r="I232" s="1196"/>
      <c r="J232" s="1196"/>
      <c r="K232" s="1196"/>
      <c r="L232" s="1196"/>
      <c r="M232" s="1196"/>
      <c r="N232" s="1196"/>
      <c r="O232" s="1196"/>
      <c r="P232" s="1196"/>
      <c r="Q232" s="1196"/>
      <c r="R232" s="1196"/>
      <c r="S232" s="1196"/>
      <c r="T232" s="1197"/>
      <c r="U232" s="475"/>
      <c r="V232" s="1447" t="str">
        <f>BASE!D35</f>
        <v>Adecuado equipamiento para el barrido de vías urbanas y áreas públicas</v>
      </c>
      <c r="W232" s="1447"/>
      <c r="X232" s="1447"/>
      <c r="Y232" s="1447"/>
      <c r="Z232" s="1447"/>
      <c r="AA232" s="1447"/>
      <c r="AB232" s="1447"/>
      <c r="AC232" s="1447"/>
      <c r="AD232" s="1447"/>
      <c r="AE232" s="1447"/>
      <c r="AF232" s="1447"/>
      <c r="AG232" s="1447"/>
      <c r="AH232" s="1447"/>
      <c r="AI232" s="1447"/>
      <c r="AJ232" s="1447"/>
      <c r="AK232" s="1447"/>
      <c r="AL232" s="1447"/>
      <c r="AM232" s="1447"/>
      <c r="AN232" s="1447"/>
      <c r="AO232" s="1447"/>
      <c r="AP232" s="1447"/>
      <c r="AQ232" s="1447"/>
      <c r="AR232" s="1447"/>
      <c r="AS232" s="1447"/>
      <c r="AT232" s="1447"/>
      <c r="AU232" s="1447"/>
      <c r="AV232" s="1447"/>
      <c r="AW232" s="1447"/>
      <c r="AX232" s="1447"/>
      <c r="AY232" s="1447"/>
      <c r="AZ232" s="1447"/>
    </row>
    <row r="233" spans="1:52" s="291" customFormat="1" ht="18" customHeight="1">
      <c r="A233" s="298"/>
      <c r="B233" s="1475"/>
      <c r="C233" s="1449" t="str">
        <f>BASE!B42</f>
        <v>Adecuada capacidad para la recolección y transporte</v>
      </c>
      <c r="D233" s="1450"/>
      <c r="E233" s="1450"/>
      <c r="F233" s="1450"/>
      <c r="G233" s="1450"/>
      <c r="H233" s="1450"/>
      <c r="I233" s="1450"/>
      <c r="J233" s="1450"/>
      <c r="K233" s="1450"/>
      <c r="L233" s="1450"/>
      <c r="M233" s="1450"/>
      <c r="N233" s="1450"/>
      <c r="O233" s="1450"/>
      <c r="P233" s="1450"/>
      <c r="Q233" s="1450"/>
      <c r="R233" s="1450"/>
      <c r="S233" s="1450"/>
      <c r="T233" s="1451"/>
      <c r="U233" s="475"/>
      <c r="V233" s="1447" t="str">
        <f>BASE!D42</f>
        <v>Adecuado equipamiento para la recolección y transporte</v>
      </c>
      <c r="W233" s="1447"/>
      <c r="X233" s="1447"/>
      <c r="Y233" s="1447"/>
      <c r="Z233" s="1447"/>
      <c r="AA233" s="1447"/>
      <c r="AB233" s="1447"/>
      <c r="AC233" s="1447"/>
      <c r="AD233" s="1447"/>
      <c r="AE233" s="1447"/>
      <c r="AF233" s="1447"/>
      <c r="AG233" s="1447"/>
      <c r="AH233" s="1447"/>
      <c r="AI233" s="1447"/>
      <c r="AJ233" s="1447"/>
      <c r="AK233" s="1447"/>
      <c r="AL233" s="1447"/>
      <c r="AM233" s="1447"/>
      <c r="AN233" s="1447"/>
      <c r="AO233" s="1447"/>
      <c r="AP233" s="1447"/>
      <c r="AQ233" s="1447"/>
      <c r="AR233" s="1447"/>
      <c r="AS233" s="1447"/>
      <c r="AT233" s="1447"/>
      <c r="AU233" s="1447"/>
      <c r="AV233" s="1447"/>
      <c r="AW233" s="1447"/>
      <c r="AX233" s="1447"/>
      <c r="AY233" s="1447"/>
      <c r="AZ233" s="1447"/>
    </row>
    <row r="234" spans="1:52" s="291" customFormat="1" ht="18" customHeight="1">
      <c r="A234" s="298"/>
      <c r="B234" s="1476"/>
      <c r="C234" s="1452"/>
      <c r="D234" s="1453"/>
      <c r="E234" s="1453"/>
      <c r="F234" s="1453"/>
      <c r="G234" s="1453"/>
      <c r="H234" s="1453"/>
      <c r="I234" s="1453"/>
      <c r="J234" s="1453"/>
      <c r="K234" s="1453"/>
      <c r="L234" s="1453"/>
      <c r="M234" s="1453"/>
      <c r="N234" s="1453"/>
      <c r="O234" s="1453"/>
      <c r="P234" s="1453"/>
      <c r="Q234" s="1453"/>
      <c r="R234" s="1453"/>
      <c r="S234" s="1453"/>
      <c r="T234" s="1454"/>
      <c r="U234" s="475"/>
      <c r="V234" s="1195" t="str">
        <f>BASE!D46</f>
        <v>Adecuados vehículos para la recolección y transporte de residuos sólidos NO aprovechables</v>
      </c>
      <c r="W234" s="1196"/>
      <c r="X234" s="1196"/>
      <c r="Y234" s="1196"/>
      <c r="Z234" s="1196"/>
      <c r="AA234" s="1196"/>
      <c r="AB234" s="1196"/>
      <c r="AC234" s="1196"/>
      <c r="AD234" s="1196"/>
      <c r="AE234" s="1196"/>
      <c r="AF234" s="1196"/>
      <c r="AG234" s="1196"/>
      <c r="AH234" s="1196"/>
      <c r="AI234" s="1196"/>
      <c r="AJ234" s="1196"/>
      <c r="AK234" s="1196"/>
      <c r="AL234" s="1196"/>
      <c r="AM234" s="1196"/>
      <c r="AN234" s="1196"/>
      <c r="AO234" s="1196"/>
      <c r="AP234" s="1196"/>
      <c r="AQ234" s="1196"/>
      <c r="AR234" s="1196"/>
      <c r="AS234" s="1196"/>
      <c r="AT234" s="1196"/>
      <c r="AU234" s="1196"/>
      <c r="AV234" s="1196"/>
      <c r="AW234" s="1196"/>
      <c r="AX234" s="1196"/>
      <c r="AY234" s="1196"/>
      <c r="AZ234" s="1197"/>
    </row>
    <row r="235" spans="1:52" s="291" customFormat="1" ht="18" customHeight="1">
      <c r="A235" s="298"/>
      <c r="B235" s="1477"/>
      <c r="C235" s="1455"/>
      <c r="D235" s="1456"/>
      <c r="E235" s="1456"/>
      <c r="F235" s="1456"/>
      <c r="G235" s="1456"/>
      <c r="H235" s="1456"/>
      <c r="I235" s="1456"/>
      <c r="J235" s="1456"/>
      <c r="K235" s="1456"/>
      <c r="L235" s="1456"/>
      <c r="M235" s="1456"/>
      <c r="N235" s="1456"/>
      <c r="O235" s="1456"/>
      <c r="P235" s="1456"/>
      <c r="Q235" s="1456"/>
      <c r="R235" s="1456"/>
      <c r="S235" s="1456"/>
      <c r="T235" s="1457"/>
      <c r="U235" s="475"/>
      <c r="V235" s="1195" t="str">
        <f>BASE!D50</f>
        <v>Adecuados vehículos para la recolección y transporte de residuos sólidos aprovechables</v>
      </c>
      <c r="W235" s="1196"/>
      <c r="X235" s="1196"/>
      <c r="Y235" s="1196"/>
      <c r="Z235" s="1196"/>
      <c r="AA235" s="1196"/>
      <c r="AB235" s="1196"/>
      <c r="AC235" s="1196"/>
      <c r="AD235" s="1196"/>
      <c r="AE235" s="1196"/>
      <c r="AF235" s="1196"/>
      <c r="AG235" s="1196"/>
      <c r="AH235" s="1196"/>
      <c r="AI235" s="1196"/>
      <c r="AJ235" s="1196"/>
      <c r="AK235" s="1196"/>
      <c r="AL235" s="1196"/>
      <c r="AM235" s="1196"/>
      <c r="AN235" s="1196"/>
      <c r="AO235" s="1196"/>
      <c r="AP235" s="1196"/>
      <c r="AQ235" s="1196"/>
      <c r="AR235" s="1196"/>
      <c r="AS235" s="1196"/>
      <c r="AT235" s="1196"/>
      <c r="AU235" s="1196"/>
      <c r="AV235" s="1196"/>
      <c r="AW235" s="1196"/>
      <c r="AX235" s="1196"/>
      <c r="AY235" s="1196"/>
      <c r="AZ235" s="1197"/>
    </row>
    <row r="236" spans="1:52" s="291" customFormat="1" ht="18" customHeight="1">
      <c r="A236" s="298"/>
      <c r="B236" s="1480"/>
      <c r="C236" s="1449" t="str">
        <f>BASE!B54</f>
        <v>Adecuada valorización de los residuos sólidos</v>
      </c>
      <c r="D236" s="1450"/>
      <c r="E236" s="1450"/>
      <c r="F236" s="1450"/>
      <c r="G236" s="1450"/>
      <c r="H236" s="1450"/>
      <c r="I236" s="1450"/>
      <c r="J236" s="1450"/>
      <c r="K236" s="1450"/>
      <c r="L236" s="1450"/>
      <c r="M236" s="1450"/>
      <c r="N236" s="1450"/>
      <c r="O236" s="1450"/>
      <c r="P236" s="1450"/>
      <c r="Q236" s="1450"/>
      <c r="R236" s="1450"/>
      <c r="S236" s="1450"/>
      <c r="T236" s="1451"/>
      <c r="U236" s="475"/>
      <c r="V236" s="1195" t="str">
        <f>BASE!D54</f>
        <v>Adecuada infraestructura para la valorización de residuos sólidos ORGÁNICOS</v>
      </c>
      <c r="W236" s="1196"/>
      <c r="X236" s="1196"/>
      <c r="Y236" s="1196"/>
      <c r="Z236" s="1196"/>
      <c r="AA236" s="1196"/>
      <c r="AB236" s="1196"/>
      <c r="AC236" s="1196"/>
      <c r="AD236" s="1196"/>
      <c r="AE236" s="1196"/>
      <c r="AF236" s="1196"/>
      <c r="AG236" s="1196"/>
      <c r="AH236" s="1196"/>
      <c r="AI236" s="1196"/>
      <c r="AJ236" s="1196"/>
      <c r="AK236" s="1196"/>
      <c r="AL236" s="1196"/>
      <c r="AM236" s="1196"/>
      <c r="AN236" s="1196"/>
      <c r="AO236" s="1196"/>
      <c r="AP236" s="1196"/>
      <c r="AQ236" s="1196"/>
      <c r="AR236" s="1196"/>
      <c r="AS236" s="1196"/>
      <c r="AT236" s="1196"/>
      <c r="AU236" s="1196"/>
      <c r="AV236" s="1196"/>
      <c r="AW236" s="1196"/>
      <c r="AX236" s="1196"/>
      <c r="AY236" s="1196"/>
      <c r="AZ236" s="1197"/>
    </row>
    <row r="237" spans="1:52" s="291" customFormat="1" ht="18" customHeight="1">
      <c r="A237" s="298"/>
      <c r="B237" s="1481"/>
      <c r="C237" s="1452"/>
      <c r="D237" s="1453"/>
      <c r="E237" s="1453"/>
      <c r="F237" s="1453"/>
      <c r="G237" s="1453"/>
      <c r="H237" s="1453"/>
      <c r="I237" s="1453"/>
      <c r="J237" s="1453"/>
      <c r="K237" s="1453"/>
      <c r="L237" s="1453"/>
      <c r="M237" s="1453"/>
      <c r="N237" s="1453"/>
      <c r="O237" s="1453"/>
      <c r="P237" s="1453"/>
      <c r="Q237" s="1453"/>
      <c r="R237" s="1453"/>
      <c r="S237" s="1453"/>
      <c r="T237" s="1454"/>
      <c r="U237" s="475"/>
      <c r="V237" s="1195" t="str">
        <f>BASE!D56</f>
        <v>Adecuado equipamiento para la valorización de residuos solidos ORGÁNICOS</v>
      </c>
      <c r="W237" s="1196"/>
      <c r="X237" s="1196"/>
      <c r="Y237" s="1196"/>
      <c r="Z237" s="1196"/>
      <c r="AA237" s="1196"/>
      <c r="AB237" s="1196"/>
      <c r="AC237" s="1196"/>
      <c r="AD237" s="1196"/>
      <c r="AE237" s="1196"/>
      <c r="AF237" s="1196"/>
      <c r="AG237" s="1196"/>
      <c r="AH237" s="1196"/>
      <c r="AI237" s="1196"/>
      <c r="AJ237" s="1196"/>
      <c r="AK237" s="1196"/>
      <c r="AL237" s="1196"/>
      <c r="AM237" s="1196"/>
      <c r="AN237" s="1196"/>
      <c r="AO237" s="1196"/>
      <c r="AP237" s="1196"/>
      <c r="AQ237" s="1196"/>
      <c r="AR237" s="1196"/>
      <c r="AS237" s="1196"/>
      <c r="AT237" s="1196"/>
      <c r="AU237" s="1196"/>
      <c r="AV237" s="1196"/>
      <c r="AW237" s="1196"/>
      <c r="AX237" s="1196"/>
      <c r="AY237" s="1196"/>
      <c r="AZ237" s="1197"/>
    </row>
    <row r="238" spans="1:52" s="291" customFormat="1" ht="18" customHeight="1">
      <c r="A238" s="298"/>
      <c r="B238" s="1481"/>
      <c r="C238" s="1452"/>
      <c r="D238" s="1453"/>
      <c r="E238" s="1453"/>
      <c r="F238" s="1453"/>
      <c r="G238" s="1453"/>
      <c r="H238" s="1453"/>
      <c r="I238" s="1453"/>
      <c r="J238" s="1453"/>
      <c r="K238" s="1453"/>
      <c r="L238" s="1453"/>
      <c r="M238" s="1453"/>
      <c r="N238" s="1453"/>
      <c r="O238" s="1453"/>
      <c r="P238" s="1453"/>
      <c r="Q238" s="1453"/>
      <c r="R238" s="1453"/>
      <c r="S238" s="1453"/>
      <c r="T238" s="1454"/>
      <c r="U238" s="475"/>
      <c r="V238" s="1195" t="str">
        <f>BASE!D64</f>
        <v>Adecuada infraestructura para aprovechamiento de residuos sólidos INORGÁNICOS</v>
      </c>
      <c r="W238" s="1196"/>
      <c r="X238" s="1196"/>
      <c r="Y238" s="1196"/>
      <c r="Z238" s="1196"/>
      <c r="AA238" s="1196"/>
      <c r="AB238" s="1196"/>
      <c r="AC238" s="1196"/>
      <c r="AD238" s="1196"/>
      <c r="AE238" s="1196"/>
      <c r="AF238" s="1196"/>
      <c r="AG238" s="1196"/>
      <c r="AH238" s="1196"/>
      <c r="AI238" s="1196"/>
      <c r="AJ238" s="1196"/>
      <c r="AK238" s="1196"/>
      <c r="AL238" s="1196"/>
      <c r="AM238" s="1196"/>
      <c r="AN238" s="1196"/>
      <c r="AO238" s="1196"/>
      <c r="AP238" s="1196"/>
      <c r="AQ238" s="1196"/>
      <c r="AR238" s="1196"/>
      <c r="AS238" s="1196"/>
      <c r="AT238" s="1196"/>
      <c r="AU238" s="1196"/>
      <c r="AV238" s="1196"/>
      <c r="AW238" s="1196"/>
      <c r="AX238" s="1196"/>
      <c r="AY238" s="1196"/>
      <c r="AZ238" s="1197"/>
    </row>
    <row r="239" spans="1:52" s="291" customFormat="1" ht="18" customHeight="1">
      <c r="A239" s="298"/>
      <c r="B239" s="1482"/>
      <c r="C239" s="1455"/>
      <c r="D239" s="1456"/>
      <c r="E239" s="1456"/>
      <c r="F239" s="1456"/>
      <c r="G239" s="1456"/>
      <c r="H239" s="1456"/>
      <c r="I239" s="1456"/>
      <c r="J239" s="1456"/>
      <c r="K239" s="1456"/>
      <c r="L239" s="1456"/>
      <c r="M239" s="1456"/>
      <c r="N239" s="1456"/>
      <c r="O239" s="1456"/>
      <c r="P239" s="1456"/>
      <c r="Q239" s="1456"/>
      <c r="R239" s="1456"/>
      <c r="S239" s="1456"/>
      <c r="T239" s="1457"/>
      <c r="U239" s="475"/>
      <c r="V239" s="1195" t="str">
        <f>BASE!D66</f>
        <v>Adecuado equipamiento para el aprovechamiento de residuos sólidos INORGÁNICOS</v>
      </c>
      <c r="W239" s="1196"/>
      <c r="X239" s="1196"/>
      <c r="Y239" s="1196"/>
      <c r="Z239" s="1196"/>
      <c r="AA239" s="1196"/>
      <c r="AB239" s="1196"/>
      <c r="AC239" s="1196"/>
      <c r="AD239" s="1196"/>
      <c r="AE239" s="1196"/>
      <c r="AF239" s="1196"/>
      <c r="AG239" s="1196"/>
      <c r="AH239" s="1196"/>
      <c r="AI239" s="1196"/>
      <c r="AJ239" s="1196"/>
      <c r="AK239" s="1196"/>
      <c r="AL239" s="1196"/>
      <c r="AM239" s="1196"/>
      <c r="AN239" s="1196"/>
      <c r="AO239" s="1196"/>
      <c r="AP239" s="1196"/>
      <c r="AQ239" s="1196"/>
      <c r="AR239" s="1196"/>
      <c r="AS239" s="1196"/>
      <c r="AT239" s="1196"/>
      <c r="AU239" s="1196"/>
      <c r="AV239" s="1196"/>
      <c r="AW239" s="1196"/>
      <c r="AX239" s="1196"/>
      <c r="AY239" s="1196"/>
      <c r="AZ239" s="1197"/>
    </row>
    <row r="240" spans="1:52" s="291" customFormat="1" ht="18" customHeight="1">
      <c r="A240" s="298"/>
      <c r="B240" s="1480"/>
      <c r="C240" s="1449" t="str">
        <f>BASE!B74</f>
        <v>Adecuada disposición final de los residuos sólidos</v>
      </c>
      <c r="D240" s="1450"/>
      <c r="E240" s="1450"/>
      <c r="F240" s="1450"/>
      <c r="G240" s="1450"/>
      <c r="H240" s="1450"/>
      <c r="I240" s="1450"/>
      <c r="J240" s="1450"/>
      <c r="K240" s="1450"/>
      <c r="L240" s="1450"/>
      <c r="M240" s="1450"/>
      <c r="N240" s="1450"/>
      <c r="O240" s="1450"/>
      <c r="P240" s="1450"/>
      <c r="Q240" s="1450"/>
      <c r="R240" s="1450"/>
      <c r="S240" s="1450"/>
      <c r="T240" s="1451"/>
      <c r="U240" s="475"/>
      <c r="V240" s="1195" t="str">
        <f>BASE!D74</f>
        <v>Adecuada infraestructura para la disposición final de residuos sólidos</v>
      </c>
      <c r="W240" s="1196"/>
      <c r="X240" s="1196"/>
      <c r="Y240" s="1196"/>
      <c r="Z240" s="1196"/>
      <c r="AA240" s="1196"/>
      <c r="AB240" s="1196"/>
      <c r="AC240" s="1196"/>
      <c r="AD240" s="1196"/>
      <c r="AE240" s="1196"/>
      <c r="AF240" s="1196"/>
      <c r="AG240" s="1196"/>
      <c r="AH240" s="1196"/>
      <c r="AI240" s="1196"/>
      <c r="AJ240" s="1196"/>
      <c r="AK240" s="1196"/>
      <c r="AL240" s="1196"/>
      <c r="AM240" s="1196"/>
      <c r="AN240" s="1196"/>
      <c r="AO240" s="1196"/>
      <c r="AP240" s="1196"/>
      <c r="AQ240" s="1196"/>
      <c r="AR240" s="1196"/>
      <c r="AS240" s="1196"/>
      <c r="AT240" s="1196"/>
      <c r="AU240" s="1196"/>
      <c r="AV240" s="1196"/>
      <c r="AW240" s="1196"/>
      <c r="AX240" s="1196"/>
      <c r="AY240" s="1196"/>
      <c r="AZ240" s="1197"/>
    </row>
    <row r="241" spans="1:53" s="291" customFormat="1" ht="18" customHeight="1">
      <c r="A241" s="298"/>
      <c r="B241" s="1482"/>
      <c r="C241" s="1455"/>
      <c r="D241" s="1456"/>
      <c r="E241" s="1456"/>
      <c r="F241" s="1456"/>
      <c r="G241" s="1456"/>
      <c r="H241" s="1456"/>
      <c r="I241" s="1456"/>
      <c r="J241" s="1456"/>
      <c r="K241" s="1456"/>
      <c r="L241" s="1456"/>
      <c r="M241" s="1456"/>
      <c r="N241" s="1456"/>
      <c r="O241" s="1456"/>
      <c r="P241" s="1456"/>
      <c r="Q241" s="1456"/>
      <c r="R241" s="1456"/>
      <c r="S241" s="1456"/>
      <c r="T241" s="1457"/>
      <c r="U241" s="475"/>
      <c r="V241" s="1195" t="str">
        <f>BASE!D76</f>
        <v xml:space="preserve">Adecuado equipamiento para la disposición final de residuos sólidos </v>
      </c>
      <c r="W241" s="1196"/>
      <c r="X241" s="1196"/>
      <c r="Y241" s="1196"/>
      <c r="Z241" s="1196"/>
      <c r="AA241" s="1196"/>
      <c r="AB241" s="1196"/>
      <c r="AC241" s="1196"/>
      <c r="AD241" s="1196"/>
      <c r="AE241" s="1196"/>
      <c r="AF241" s="1196"/>
      <c r="AG241" s="1196"/>
      <c r="AH241" s="1196"/>
      <c r="AI241" s="1196"/>
      <c r="AJ241" s="1196"/>
      <c r="AK241" s="1196"/>
      <c r="AL241" s="1196"/>
      <c r="AM241" s="1196"/>
      <c r="AN241" s="1196"/>
      <c r="AO241" s="1196"/>
      <c r="AP241" s="1196"/>
      <c r="AQ241" s="1196"/>
      <c r="AR241" s="1196"/>
      <c r="AS241" s="1196"/>
      <c r="AT241" s="1196"/>
      <c r="AU241" s="1196"/>
      <c r="AV241" s="1196"/>
      <c r="AW241" s="1196"/>
      <c r="AX241" s="1196"/>
      <c r="AY241" s="1196"/>
      <c r="AZ241" s="1197"/>
    </row>
    <row r="242" spans="1:53" s="291" customFormat="1" ht="18" customHeight="1">
      <c r="A242" s="298"/>
      <c r="B242" s="1480"/>
      <c r="C242" s="1449" t="str">
        <f>BASE!B86</f>
        <v>Eficiente gestión técnica, administrativa, económica y financiera del servicio de limpieza pública</v>
      </c>
      <c r="D242" s="1450"/>
      <c r="E242" s="1450"/>
      <c r="F242" s="1450"/>
      <c r="G242" s="1450"/>
      <c r="H242" s="1450"/>
      <c r="I242" s="1450"/>
      <c r="J242" s="1450"/>
      <c r="K242" s="1450"/>
      <c r="L242" s="1450"/>
      <c r="M242" s="1450"/>
      <c r="N242" s="1450"/>
      <c r="O242" s="1450"/>
      <c r="P242" s="1450"/>
      <c r="Q242" s="1450"/>
      <c r="R242" s="1450"/>
      <c r="S242" s="1450"/>
      <c r="T242" s="1451"/>
      <c r="U242" s="475"/>
      <c r="V242" s="1195" t="str">
        <f>BASE!D86</f>
        <v>Suficientes capacidades del área encargada para brindar el Servicio de Limpieza Pública</v>
      </c>
      <c r="W242" s="1196"/>
      <c r="X242" s="1196"/>
      <c r="Y242" s="1196"/>
      <c r="Z242" s="1196"/>
      <c r="AA242" s="1196"/>
      <c r="AB242" s="1196"/>
      <c r="AC242" s="1196"/>
      <c r="AD242" s="1196"/>
      <c r="AE242" s="1196"/>
      <c r="AF242" s="1196"/>
      <c r="AG242" s="1196"/>
      <c r="AH242" s="1196"/>
      <c r="AI242" s="1196"/>
      <c r="AJ242" s="1196"/>
      <c r="AK242" s="1196"/>
      <c r="AL242" s="1196"/>
      <c r="AM242" s="1196"/>
      <c r="AN242" s="1196"/>
      <c r="AO242" s="1196"/>
      <c r="AP242" s="1196"/>
      <c r="AQ242" s="1196"/>
      <c r="AR242" s="1196"/>
      <c r="AS242" s="1196"/>
      <c r="AT242" s="1196"/>
      <c r="AU242" s="1196"/>
      <c r="AV242" s="1196"/>
      <c r="AW242" s="1196"/>
      <c r="AX242" s="1196"/>
      <c r="AY242" s="1196"/>
      <c r="AZ242" s="1197"/>
    </row>
    <row r="243" spans="1:53" s="291" customFormat="1" ht="18" customHeight="1">
      <c r="A243" s="298"/>
      <c r="B243" s="1482"/>
      <c r="C243" s="1455"/>
      <c r="D243" s="1456"/>
      <c r="E243" s="1456"/>
      <c r="F243" s="1456"/>
      <c r="G243" s="1456"/>
      <c r="H243" s="1456"/>
      <c r="I243" s="1456"/>
      <c r="J243" s="1456"/>
      <c r="K243" s="1456"/>
      <c r="L243" s="1456"/>
      <c r="M243" s="1456"/>
      <c r="N243" s="1456"/>
      <c r="O243" s="1456"/>
      <c r="P243" s="1456"/>
      <c r="Q243" s="1456"/>
      <c r="R243" s="1456"/>
      <c r="S243" s="1456"/>
      <c r="T243" s="1457"/>
      <c r="U243" s="475"/>
      <c r="V243" s="1195" t="str">
        <f>BASE!D94</f>
        <v>Adecuada supervisión del Servicio de Limpieza Pública</v>
      </c>
      <c r="W243" s="1196"/>
      <c r="X243" s="1196"/>
      <c r="Y243" s="1196"/>
      <c r="Z243" s="1196"/>
      <c r="AA243" s="1196"/>
      <c r="AB243" s="1196"/>
      <c r="AC243" s="1196"/>
      <c r="AD243" s="1196"/>
      <c r="AE243" s="1196"/>
      <c r="AF243" s="1196"/>
      <c r="AG243" s="1196"/>
      <c r="AH243" s="1196"/>
      <c r="AI243" s="1196"/>
      <c r="AJ243" s="1196"/>
      <c r="AK243" s="1196"/>
      <c r="AL243" s="1196"/>
      <c r="AM243" s="1196"/>
      <c r="AN243" s="1196"/>
      <c r="AO243" s="1196"/>
      <c r="AP243" s="1196"/>
      <c r="AQ243" s="1196"/>
      <c r="AR243" s="1196"/>
      <c r="AS243" s="1196"/>
      <c r="AT243" s="1196"/>
      <c r="AU243" s="1196"/>
      <c r="AV243" s="1196"/>
      <c r="AW243" s="1196"/>
      <c r="AX243" s="1196"/>
      <c r="AY243" s="1196"/>
      <c r="AZ243" s="1197"/>
    </row>
    <row r="244" spans="1:53" s="291" customFormat="1" ht="18" customHeight="1">
      <c r="A244" s="298"/>
      <c r="B244" s="1480"/>
      <c r="C244" s="1449" t="str">
        <f>BASE!B102</f>
        <v>Adecuada educación y cultura ambiental de la población</v>
      </c>
      <c r="D244" s="1450"/>
      <c r="E244" s="1450"/>
      <c r="F244" s="1450"/>
      <c r="G244" s="1450"/>
      <c r="H244" s="1450"/>
      <c r="I244" s="1450"/>
      <c r="J244" s="1450"/>
      <c r="K244" s="1450"/>
      <c r="L244" s="1450"/>
      <c r="M244" s="1450"/>
      <c r="N244" s="1450"/>
      <c r="O244" s="1450"/>
      <c r="P244" s="1450"/>
      <c r="Q244" s="1450"/>
      <c r="R244" s="1450"/>
      <c r="S244" s="1450"/>
      <c r="T244" s="1451"/>
      <c r="U244" s="475"/>
      <c r="V244" s="1195" t="str">
        <f>BASE!D102</f>
        <v>Adecuada difusión y sensibilización sobre temas ambientales y sanitarios.</v>
      </c>
      <c r="W244" s="1196"/>
      <c r="X244" s="1196"/>
      <c r="Y244" s="1196"/>
      <c r="Z244" s="1196"/>
      <c r="AA244" s="1196"/>
      <c r="AB244" s="1196"/>
      <c r="AC244" s="1196"/>
      <c r="AD244" s="1196"/>
      <c r="AE244" s="1196"/>
      <c r="AF244" s="1196"/>
      <c r="AG244" s="1196"/>
      <c r="AH244" s="1196"/>
      <c r="AI244" s="1196"/>
      <c r="AJ244" s="1196"/>
      <c r="AK244" s="1196"/>
      <c r="AL244" s="1196"/>
      <c r="AM244" s="1196"/>
      <c r="AN244" s="1196"/>
      <c r="AO244" s="1196"/>
      <c r="AP244" s="1196"/>
      <c r="AQ244" s="1196"/>
      <c r="AR244" s="1196"/>
      <c r="AS244" s="1196"/>
      <c r="AT244" s="1196"/>
      <c r="AU244" s="1196"/>
      <c r="AV244" s="1196"/>
      <c r="AW244" s="1196"/>
      <c r="AX244" s="1196"/>
      <c r="AY244" s="1196"/>
      <c r="AZ244" s="1197"/>
    </row>
    <row r="245" spans="1:53" s="291" customFormat="1" ht="18" customHeight="1">
      <c r="A245" s="298"/>
      <c r="B245" s="1482"/>
      <c r="C245" s="1455"/>
      <c r="D245" s="1456"/>
      <c r="E245" s="1456"/>
      <c r="F245" s="1456"/>
      <c r="G245" s="1456"/>
      <c r="H245" s="1456"/>
      <c r="I245" s="1456"/>
      <c r="J245" s="1456"/>
      <c r="K245" s="1456"/>
      <c r="L245" s="1456"/>
      <c r="M245" s="1456"/>
      <c r="N245" s="1456"/>
      <c r="O245" s="1456"/>
      <c r="P245" s="1456"/>
      <c r="Q245" s="1456"/>
      <c r="R245" s="1456"/>
      <c r="S245" s="1456"/>
      <c r="T245" s="1457"/>
      <c r="U245" s="475"/>
      <c r="V245" s="1195" t="str">
        <f>BASE!D104</f>
        <v>Adecuada participación de la ciudadana para el manejo de residuos sólidos</v>
      </c>
      <c r="W245" s="1196"/>
      <c r="X245" s="1196"/>
      <c r="Y245" s="1196"/>
      <c r="Z245" s="1196"/>
      <c r="AA245" s="1196"/>
      <c r="AB245" s="1196"/>
      <c r="AC245" s="1196"/>
      <c r="AD245" s="1196"/>
      <c r="AE245" s="1196"/>
      <c r="AF245" s="1196"/>
      <c r="AG245" s="1196"/>
      <c r="AH245" s="1196"/>
      <c r="AI245" s="1196"/>
      <c r="AJ245" s="1196"/>
      <c r="AK245" s="1196"/>
      <c r="AL245" s="1196"/>
      <c r="AM245" s="1196"/>
      <c r="AN245" s="1196"/>
      <c r="AO245" s="1196"/>
      <c r="AP245" s="1196"/>
      <c r="AQ245" s="1196"/>
      <c r="AR245" s="1196"/>
      <c r="AS245" s="1196"/>
      <c r="AT245" s="1196"/>
      <c r="AU245" s="1196"/>
      <c r="AV245" s="1196"/>
      <c r="AW245" s="1196"/>
      <c r="AX245" s="1196"/>
      <c r="AY245" s="1196"/>
      <c r="AZ245" s="1197"/>
    </row>
    <row r="246" spans="1:53" s="291" customFormat="1" ht="11.25" customHeight="1">
      <c r="A246" s="297"/>
      <c r="B246" s="308"/>
      <c r="C246" s="308"/>
      <c r="D246" s="308"/>
      <c r="E246" s="289"/>
      <c r="F246" s="289"/>
      <c r="G246" s="289"/>
      <c r="H246" s="289"/>
      <c r="I246" s="289"/>
      <c r="J246" s="289"/>
      <c r="K246" s="308"/>
      <c r="L246" s="308"/>
      <c r="M246" s="308"/>
      <c r="N246" s="308"/>
      <c r="O246" s="308"/>
      <c r="P246" s="308"/>
      <c r="Q246" s="309"/>
      <c r="R246" s="309"/>
      <c r="S246" s="308"/>
      <c r="T246" s="308"/>
      <c r="U246" s="289"/>
      <c r="V246" s="289"/>
      <c r="W246" s="289"/>
      <c r="X246" s="289"/>
      <c r="Y246" s="308"/>
      <c r="Z246" s="308"/>
      <c r="AA246" s="308"/>
      <c r="AB246" s="289"/>
      <c r="AC246" s="289"/>
      <c r="AD246" s="289"/>
      <c r="AE246" s="289"/>
      <c r="AF246" s="289"/>
      <c r="AG246" s="289"/>
      <c r="AH246" s="289"/>
      <c r="AI246" s="289"/>
      <c r="AJ246" s="289"/>
      <c r="AK246" s="289"/>
      <c r="AL246" s="289"/>
      <c r="AM246" s="289"/>
      <c r="AN246" s="289"/>
      <c r="AO246" s="289"/>
      <c r="AP246" s="289"/>
      <c r="AQ246" s="289"/>
      <c r="AR246" s="289"/>
      <c r="AS246" s="289"/>
      <c r="AT246" s="289"/>
      <c r="AU246" s="289"/>
      <c r="AV246" s="289"/>
      <c r="AW246" s="289"/>
      <c r="AX246" s="289"/>
      <c r="AY246" s="289"/>
      <c r="AZ246" s="289"/>
    </row>
    <row r="247" spans="1:53">
      <c r="A247" s="28" t="s">
        <v>505</v>
      </c>
      <c r="B247" s="29" t="s">
        <v>506</v>
      </c>
      <c r="C247" s="24"/>
      <c r="D247" s="24"/>
      <c r="E247" s="27"/>
      <c r="F247" s="27"/>
      <c r="G247" s="27"/>
      <c r="H247" s="27"/>
      <c r="I247" s="27"/>
      <c r="J247" s="27"/>
      <c r="K247" s="24"/>
      <c r="L247" s="24"/>
      <c r="M247" s="24"/>
      <c r="N247" s="24"/>
      <c r="O247" s="24"/>
      <c r="P247" s="24"/>
      <c r="Q247" s="270"/>
      <c r="R247" s="270"/>
      <c r="S247" s="24"/>
      <c r="T247" s="25"/>
      <c r="U247" s="26"/>
      <c r="V247" s="26"/>
      <c r="W247" s="26"/>
      <c r="X247" s="26"/>
      <c r="Y247" s="25"/>
      <c r="Z247" s="25"/>
      <c r="AA247" s="25"/>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row>
    <row r="248" spans="1:53" s="291" customFormat="1" ht="7.5" customHeight="1">
      <c r="A248" s="304"/>
      <c r="B248" s="287"/>
      <c r="C248" s="287"/>
      <c r="D248" s="287"/>
      <c r="E248" s="288"/>
      <c r="F248" s="288"/>
      <c r="G248" s="288"/>
      <c r="H248" s="288"/>
      <c r="I248" s="288"/>
      <c r="J248" s="288"/>
      <c r="K248" s="287"/>
      <c r="L248" s="287"/>
      <c r="M248" s="287"/>
      <c r="N248" s="287"/>
      <c r="O248" s="287"/>
      <c r="P248" s="287"/>
      <c r="Q248" s="488"/>
      <c r="R248" s="488"/>
      <c r="S248" s="287"/>
      <c r="T248" s="308"/>
      <c r="U248" s="289"/>
      <c r="V248" s="289"/>
      <c r="W248" s="289"/>
      <c r="X248" s="289"/>
      <c r="Y248" s="308"/>
      <c r="Z248" s="308"/>
      <c r="AA248" s="308"/>
      <c r="AB248" s="289"/>
      <c r="AC248" s="289"/>
      <c r="AD248" s="289"/>
      <c r="AE248" s="289"/>
      <c r="AF248" s="289"/>
      <c r="AG248" s="289"/>
      <c r="AH248" s="289"/>
      <c r="AI248" s="289"/>
      <c r="AJ248" s="289"/>
      <c r="AK248" s="289"/>
      <c r="AL248" s="289"/>
      <c r="AM248" s="289"/>
      <c r="AN248" s="289"/>
      <c r="AO248" s="289"/>
      <c r="AP248" s="289"/>
      <c r="AQ248" s="289"/>
      <c r="AR248" s="289"/>
      <c r="AS248" s="289"/>
      <c r="AT248" s="289"/>
      <c r="AU248" s="289"/>
      <c r="AV248" s="289"/>
      <c r="AW248" s="289"/>
      <c r="AX248" s="289"/>
      <c r="AY248" s="289"/>
      <c r="AZ248" s="289"/>
    </row>
    <row r="249" spans="1:53" s="291" customFormat="1" ht="18" customHeight="1">
      <c r="A249" s="297"/>
      <c r="B249" s="1221" t="s">
        <v>507</v>
      </c>
      <c r="C249" s="1221"/>
      <c r="D249" s="1221"/>
      <c r="E249" s="1221"/>
      <c r="F249" s="1221"/>
      <c r="G249" s="1221"/>
      <c r="H249" s="1221"/>
      <c r="I249" s="1221"/>
      <c r="J249" s="1221"/>
      <c r="K249" s="1221"/>
      <c r="L249" s="1221"/>
      <c r="M249" s="1221"/>
      <c r="N249" s="1221"/>
      <c r="O249" s="1221"/>
      <c r="P249" s="1221"/>
      <c r="Q249" s="1221"/>
      <c r="R249" s="1221"/>
      <c r="S249" s="1221"/>
      <c r="T249" s="1221"/>
      <c r="U249" s="1221"/>
      <c r="V249" s="1221"/>
      <c r="W249" s="1221"/>
      <c r="X249" s="1221"/>
      <c r="Y249" s="1221"/>
      <c r="Z249" s="1221"/>
      <c r="AA249" s="1221"/>
      <c r="AB249" s="1221"/>
      <c r="AC249" s="1221"/>
      <c r="AD249" s="1221"/>
      <c r="AE249" s="1221"/>
      <c r="AF249" s="1221"/>
      <c r="AG249" s="1221"/>
      <c r="AH249" s="1221"/>
      <c r="AI249" s="1221"/>
      <c r="AJ249" s="1221"/>
      <c r="AK249" s="1221"/>
      <c r="AL249" s="1221"/>
      <c r="AM249" s="1221"/>
      <c r="AN249" s="1221"/>
      <c r="AO249" s="1221"/>
      <c r="AP249" s="1221"/>
      <c r="AQ249" s="1221"/>
      <c r="AR249" s="1221"/>
      <c r="AS249" s="1221"/>
      <c r="AT249" s="1221"/>
      <c r="AU249" s="1221"/>
      <c r="AV249" s="1221"/>
      <c r="AW249" s="1221"/>
      <c r="AX249" s="1221"/>
      <c r="AY249" s="1221"/>
      <c r="AZ249" s="1221"/>
    </row>
    <row r="250" spans="1:53" s="291" customFormat="1" ht="18" customHeight="1">
      <c r="A250" s="297"/>
      <c r="B250" s="1483" t="s">
        <v>508</v>
      </c>
      <c r="C250" s="1483"/>
      <c r="D250" s="1483"/>
      <c r="E250" s="1483"/>
      <c r="F250" s="1483"/>
      <c r="G250" s="1483"/>
      <c r="H250" s="1483"/>
      <c r="I250" s="1483"/>
      <c r="J250" s="1483"/>
      <c r="K250" s="1484" t="s">
        <v>509</v>
      </c>
      <c r="L250" s="1485"/>
      <c r="M250" s="1485"/>
      <c r="N250" s="1485"/>
      <c r="O250" s="1485"/>
      <c r="P250" s="1485"/>
      <c r="Q250" s="1485"/>
      <c r="R250" s="1485"/>
      <c r="S250" s="1485"/>
      <c r="T250" s="1485"/>
      <c r="U250" s="1485"/>
      <c r="V250" s="1485"/>
      <c r="W250" s="1485"/>
      <c r="X250" s="1485"/>
      <c r="Y250" s="1485"/>
      <c r="Z250" s="1485"/>
      <c r="AA250" s="1486"/>
      <c r="AB250" s="1483" t="s">
        <v>405</v>
      </c>
      <c r="AC250" s="1483"/>
      <c r="AD250" s="1483"/>
      <c r="AE250" s="1483"/>
      <c r="AF250" s="1483"/>
      <c r="AG250" s="1483"/>
      <c r="AH250" s="1483"/>
      <c r="AI250" s="1483"/>
      <c r="AJ250" s="1483"/>
      <c r="AK250" s="1483"/>
      <c r="AL250" s="1483"/>
      <c r="AM250" s="1483"/>
      <c r="AN250" s="1483"/>
      <c r="AO250" s="1483"/>
      <c r="AP250" s="1483"/>
      <c r="AQ250" s="1483"/>
      <c r="AR250" s="1483"/>
      <c r="AS250" s="1483"/>
      <c r="AT250" s="1483"/>
      <c r="AU250" s="1483"/>
      <c r="AV250" s="1483"/>
      <c r="AW250" s="1483"/>
      <c r="AX250" s="1483"/>
      <c r="AY250" s="1483"/>
      <c r="AZ250" s="1483"/>
    </row>
    <row r="251" spans="1:53" s="291" customFormat="1" ht="31.5" customHeight="1">
      <c r="A251" s="297"/>
      <c r="B251" s="1341" t="str">
        <f>$C$231</f>
        <v>Adecuado almacenamiento en vías urbanas y áreas públicas</v>
      </c>
      <c r="C251" s="1341"/>
      <c r="D251" s="1341"/>
      <c r="E251" s="1341"/>
      <c r="F251" s="1341"/>
      <c r="G251" s="1341"/>
      <c r="H251" s="1341"/>
      <c r="I251" s="1341"/>
      <c r="J251" s="1341"/>
      <c r="K251" s="1321" t="str">
        <f>$V$231</f>
        <v>Adecuado equipamiento para el almacenamiento en vías urbanas y áreas publicas</v>
      </c>
      <c r="L251" s="1295"/>
      <c r="M251" s="1295"/>
      <c r="N251" s="1295"/>
      <c r="O251" s="1295"/>
      <c r="P251" s="1295"/>
      <c r="Q251" s="1295"/>
      <c r="R251" s="1295"/>
      <c r="S251" s="1295"/>
      <c r="T251" s="1295"/>
      <c r="U251" s="1295"/>
      <c r="V251" s="1295"/>
      <c r="W251" s="1295"/>
      <c r="X251" s="1295"/>
      <c r="Y251" s="1295"/>
      <c r="Z251" s="1295"/>
      <c r="AA251" s="1296"/>
      <c r="AB251" s="310"/>
      <c r="AC251" s="1195" t="str">
        <f>BASE!F34</f>
        <v>Adquisición de recipientes para el almacenamiento en vías urbanas y espacios públicos</v>
      </c>
      <c r="AD251" s="1196"/>
      <c r="AE251" s="1196"/>
      <c r="AF251" s="1196"/>
      <c r="AG251" s="1196"/>
      <c r="AH251" s="1196"/>
      <c r="AI251" s="1196"/>
      <c r="AJ251" s="1196"/>
      <c r="AK251" s="1196"/>
      <c r="AL251" s="1196"/>
      <c r="AM251" s="1196"/>
      <c r="AN251" s="1196"/>
      <c r="AO251" s="1196"/>
      <c r="AP251" s="1196"/>
      <c r="AQ251" s="1196"/>
      <c r="AR251" s="1196"/>
      <c r="AS251" s="1196"/>
      <c r="AT251" s="1196"/>
      <c r="AU251" s="1196"/>
      <c r="AV251" s="1196"/>
      <c r="AW251" s="1197"/>
      <c r="AX251" s="1321"/>
      <c r="AY251" s="1295"/>
      <c r="AZ251" s="1296"/>
    </row>
    <row r="252" spans="1:53" s="291" customFormat="1" ht="18" customHeight="1">
      <c r="A252" s="297"/>
      <c r="B252" s="1198" t="str">
        <f>$C$232</f>
        <v>Adecuado barrido de vías urbanas y áreas públicas</v>
      </c>
      <c r="C252" s="1199"/>
      <c r="D252" s="1199"/>
      <c r="E252" s="1199"/>
      <c r="F252" s="1199"/>
      <c r="G252" s="1199"/>
      <c r="H252" s="1199"/>
      <c r="I252" s="1199"/>
      <c r="J252" s="1200"/>
      <c r="K252" s="1198" t="str">
        <f>$V$232</f>
        <v>Adecuado equipamiento para el barrido de vías urbanas y áreas públicas</v>
      </c>
      <c r="L252" s="1199"/>
      <c r="M252" s="1199"/>
      <c r="N252" s="1199"/>
      <c r="O252" s="1199"/>
      <c r="P252" s="1199"/>
      <c r="Q252" s="1199"/>
      <c r="R252" s="1199"/>
      <c r="S252" s="1199"/>
      <c r="T252" s="1199"/>
      <c r="U252" s="1199"/>
      <c r="V252" s="1199"/>
      <c r="W252" s="1199"/>
      <c r="X252" s="1199"/>
      <c r="Y252" s="1199"/>
      <c r="Z252" s="1199"/>
      <c r="AA252" s="1200"/>
      <c r="AB252" s="581"/>
      <c r="AC252" s="1192" t="s">
        <v>2636</v>
      </c>
      <c r="AD252" s="1193"/>
      <c r="AE252" s="1193"/>
      <c r="AF252" s="1193"/>
      <c r="AG252" s="1193"/>
      <c r="AH252" s="1193"/>
      <c r="AI252" s="1193"/>
      <c r="AJ252" s="1193"/>
      <c r="AK252" s="1193"/>
      <c r="AL252" s="1193"/>
      <c r="AM252" s="1193"/>
      <c r="AN252" s="1193"/>
      <c r="AO252" s="1193"/>
      <c r="AP252" s="1193"/>
      <c r="AQ252" s="1193"/>
      <c r="AR252" s="1193"/>
      <c r="AS252" s="1193"/>
      <c r="AT252" s="1193"/>
      <c r="AU252" s="1193"/>
      <c r="AV252" s="1193"/>
      <c r="AW252" s="1194"/>
      <c r="AX252" s="1198"/>
      <c r="AY252" s="1199"/>
      <c r="AZ252" s="1200"/>
    </row>
    <row r="253" spans="1:53" s="291" customFormat="1" ht="18" customHeight="1">
      <c r="A253" s="297"/>
      <c r="B253" s="1222"/>
      <c r="C253" s="1223"/>
      <c r="D253" s="1223"/>
      <c r="E253" s="1223"/>
      <c r="F253" s="1223"/>
      <c r="G253" s="1223"/>
      <c r="H253" s="1223"/>
      <c r="I253" s="1223"/>
      <c r="J253" s="1224"/>
      <c r="K253" s="1222"/>
      <c r="L253" s="1223"/>
      <c r="M253" s="1223"/>
      <c r="N253" s="1223"/>
      <c r="O253" s="1223"/>
      <c r="P253" s="1223"/>
      <c r="Q253" s="1223"/>
      <c r="R253" s="1223"/>
      <c r="S253" s="1223"/>
      <c r="T253" s="1223"/>
      <c r="U253" s="1223"/>
      <c r="V253" s="1223"/>
      <c r="W253" s="1223"/>
      <c r="X253" s="1223"/>
      <c r="Y253" s="1223"/>
      <c r="Z253" s="1223"/>
      <c r="AA253" s="1224"/>
      <c r="AB253" s="310"/>
      <c r="AC253" s="1195" t="str">
        <f>BASE!F39</f>
        <v>Adquisición de herramientas e insumos para el barrido</v>
      </c>
      <c r="AD253" s="1196"/>
      <c r="AE253" s="1196"/>
      <c r="AF253" s="1196"/>
      <c r="AG253" s="1196"/>
      <c r="AH253" s="1196"/>
      <c r="AI253" s="1196"/>
      <c r="AJ253" s="1196"/>
      <c r="AK253" s="1196"/>
      <c r="AL253" s="1196"/>
      <c r="AM253" s="1196"/>
      <c r="AN253" s="1196"/>
      <c r="AO253" s="1196"/>
      <c r="AP253" s="1196"/>
      <c r="AQ253" s="1196"/>
      <c r="AR253" s="1196"/>
      <c r="AS253" s="1196"/>
      <c r="AT253" s="1196"/>
      <c r="AU253" s="1196"/>
      <c r="AV253" s="1196"/>
      <c r="AW253" s="1197"/>
      <c r="AX253" s="1222"/>
      <c r="AY253" s="1223"/>
      <c r="AZ253" s="1224"/>
    </row>
    <row r="254" spans="1:53" s="291" customFormat="1" ht="18" customHeight="1">
      <c r="A254" s="297"/>
      <c r="B254" s="1201"/>
      <c r="C254" s="1202"/>
      <c r="D254" s="1202"/>
      <c r="E254" s="1202"/>
      <c r="F254" s="1202"/>
      <c r="G254" s="1202"/>
      <c r="H254" s="1202"/>
      <c r="I254" s="1202"/>
      <c r="J254" s="1203"/>
      <c r="K254" s="1201"/>
      <c r="L254" s="1202"/>
      <c r="M254" s="1202"/>
      <c r="N254" s="1202"/>
      <c r="O254" s="1202"/>
      <c r="P254" s="1202"/>
      <c r="Q254" s="1202"/>
      <c r="R254" s="1202"/>
      <c r="S254" s="1202"/>
      <c r="T254" s="1202"/>
      <c r="U254" s="1202"/>
      <c r="V254" s="1202"/>
      <c r="W254" s="1202"/>
      <c r="X254" s="1202"/>
      <c r="Y254" s="1202"/>
      <c r="Z254" s="1202"/>
      <c r="AA254" s="1203"/>
      <c r="AB254" s="310"/>
      <c r="AC254" s="1195" t="str">
        <f>BASE!F41</f>
        <v>Adquisición de equipos de protección del personal de barrido</v>
      </c>
      <c r="AD254" s="1196"/>
      <c r="AE254" s="1196"/>
      <c r="AF254" s="1196"/>
      <c r="AG254" s="1196"/>
      <c r="AH254" s="1196"/>
      <c r="AI254" s="1196"/>
      <c r="AJ254" s="1196"/>
      <c r="AK254" s="1196"/>
      <c r="AL254" s="1196"/>
      <c r="AM254" s="1196"/>
      <c r="AN254" s="1196"/>
      <c r="AO254" s="1196"/>
      <c r="AP254" s="1196"/>
      <c r="AQ254" s="1196"/>
      <c r="AR254" s="1196"/>
      <c r="AS254" s="1196"/>
      <c r="AT254" s="1196"/>
      <c r="AU254" s="1196"/>
      <c r="AV254" s="1196"/>
      <c r="AW254" s="1197"/>
      <c r="AX254" s="1201"/>
      <c r="AY254" s="1202"/>
      <c r="AZ254" s="1203"/>
    </row>
    <row r="255" spans="1:53" s="291" customFormat="1" ht="18" customHeight="1">
      <c r="A255" s="297"/>
      <c r="B255" s="1198" t="str">
        <f>$C$233</f>
        <v>Adecuada capacidad para la recolección y transporte</v>
      </c>
      <c r="C255" s="1199"/>
      <c r="D255" s="1199"/>
      <c r="E255" s="1199"/>
      <c r="F255" s="1199"/>
      <c r="G255" s="1199"/>
      <c r="H255" s="1199"/>
      <c r="I255" s="1199"/>
      <c r="J255" s="1200"/>
      <c r="K255" s="1198" t="str">
        <f>$V$233</f>
        <v>Adecuado equipamiento para la recolección y transporte</v>
      </c>
      <c r="L255" s="1199"/>
      <c r="M255" s="1199"/>
      <c r="N255" s="1199"/>
      <c r="O255" s="1199"/>
      <c r="P255" s="1199"/>
      <c r="Q255" s="1199"/>
      <c r="R255" s="1199"/>
      <c r="S255" s="1199"/>
      <c r="T255" s="1199"/>
      <c r="U255" s="1199"/>
      <c r="V255" s="1199"/>
      <c r="W255" s="1199"/>
      <c r="X255" s="1199"/>
      <c r="Y255" s="1199"/>
      <c r="Z255" s="1199"/>
      <c r="AA255" s="1200"/>
      <c r="AB255" s="844"/>
      <c r="AC255" s="1192" t="str">
        <f>BASE!F43</f>
        <v>Adquisición de herramientas para la recolección y transporte</v>
      </c>
      <c r="AD255" s="1193"/>
      <c r="AE255" s="1193"/>
      <c r="AF255" s="1193"/>
      <c r="AG255" s="1193"/>
      <c r="AH255" s="1193"/>
      <c r="AI255" s="1193"/>
      <c r="AJ255" s="1193"/>
      <c r="AK255" s="1193"/>
      <c r="AL255" s="1193"/>
      <c r="AM255" s="1193"/>
      <c r="AN255" s="1193"/>
      <c r="AO255" s="1193"/>
      <c r="AP255" s="1193"/>
      <c r="AQ255" s="1193"/>
      <c r="AR255" s="1193"/>
      <c r="AS255" s="1193"/>
      <c r="AT255" s="1193"/>
      <c r="AU255" s="1193"/>
      <c r="AV255" s="1193"/>
      <c r="AW255" s="1194"/>
      <c r="AX255" s="1234"/>
      <c r="AY255" s="1235"/>
      <c r="AZ255" s="1236"/>
      <c r="BA255" s="1661"/>
    </row>
    <row r="256" spans="1:53" s="291" customFormat="1" ht="18" customHeight="1">
      <c r="A256" s="297"/>
      <c r="B256" s="1222"/>
      <c r="C256" s="1223"/>
      <c r="D256" s="1223"/>
      <c r="E256" s="1223"/>
      <c r="F256" s="1223"/>
      <c r="G256" s="1223"/>
      <c r="H256" s="1223"/>
      <c r="I256" s="1223"/>
      <c r="J256" s="1224"/>
      <c r="K256" s="1201"/>
      <c r="L256" s="1202"/>
      <c r="M256" s="1202"/>
      <c r="N256" s="1202"/>
      <c r="O256" s="1202"/>
      <c r="P256" s="1202"/>
      <c r="Q256" s="1202"/>
      <c r="R256" s="1202"/>
      <c r="S256" s="1202"/>
      <c r="T256" s="1202"/>
      <c r="U256" s="1202"/>
      <c r="V256" s="1202"/>
      <c r="W256" s="1202"/>
      <c r="X256" s="1202"/>
      <c r="Y256" s="1202"/>
      <c r="Z256" s="1202"/>
      <c r="AA256" s="1203"/>
      <c r="AB256" s="844"/>
      <c r="AC256" s="1192" t="str">
        <f>BASE!F45</f>
        <v>Adquisición de equipos de protección del personal de recolección</v>
      </c>
      <c r="AD256" s="1193"/>
      <c r="AE256" s="1193"/>
      <c r="AF256" s="1193"/>
      <c r="AG256" s="1193"/>
      <c r="AH256" s="1193"/>
      <c r="AI256" s="1193"/>
      <c r="AJ256" s="1193"/>
      <c r="AK256" s="1193"/>
      <c r="AL256" s="1193"/>
      <c r="AM256" s="1193"/>
      <c r="AN256" s="1193"/>
      <c r="AO256" s="1193"/>
      <c r="AP256" s="1193"/>
      <c r="AQ256" s="1193"/>
      <c r="AR256" s="1193"/>
      <c r="AS256" s="1193"/>
      <c r="AT256" s="1193"/>
      <c r="AU256" s="1193"/>
      <c r="AV256" s="1193"/>
      <c r="AW256" s="1194"/>
      <c r="AX256" s="1237"/>
      <c r="AY256" s="1238"/>
      <c r="AZ256" s="1239"/>
      <c r="BA256" s="1661"/>
    </row>
    <row r="257" spans="1:53" s="291" customFormat="1" ht="36" customHeight="1">
      <c r="A257" s="297"/>
      <c r="B257" s="1222"/>
      <c r="C257" s="1223"/>
      <c r="D257" s="1223"/>
      <c r="E257" s="1223"/>
      <c r="F257" s="1223"/>
      <c r="G257" s="1223"/>
      <c r="H257" s="1223"/>
      <c r="I257" s="1223"/>
      <c r="J257" s="1224"/>
      <c r="K257" s="1198" t="str">
        <f>$V$234</f>
        <v>Adecuados vehículos para la recolección y transporte de residuos sólidos NO aprovechables</v>
      </c>
      <c r="L257" s="1199"/>
      <c r="M257" s="1199"/>
      <c r="N257" s="1199"/>
      <c r="O257" s="1199"/>
      <c r="P257" s="1199"/>
      <c r="Q257" s="1199"/>
      <c r="R257" s="1199"/>
      <c r="S257" s="1199"/>
      <c r="T257" s="1199"/>
      <c r="U257" s="1199"/>
      <c r="V257" s="1199"/>
      <c r="W257" s="1199"/>
      <c r="X257" s="1199"/>
      <c r="Y257" s="1199"/>
      <c r="Z257" s="1199"/>
      <c r="AA257" s="1200"/>
      <c r="AB257" s="844"/>
      <c r="AC257" s="1192" t="str">
        <f>BASE!F47</f>
        <v>Adquisición de vehículos CONVENCIONALES para la recolección y transporte de residuos sólidos NO aprovechables</v>
      </c>
      <c r="AD257" s="1193"/>
      <c r="AE257" s="1193"/>
      <c r="AF257" s="1193"/>
      <c r="AG257" s="1193"/>
      <c r="AH257" s="1193"/>
      <c r="AI257" s="1193"/>
      <c r="AJ257" s="1193"/>
      <c r="AK257" s="1193"/>
      <c r="AL257" s="1193"/>
      <c r="AM257" s="1193"/>
      <c r="AN257" s="1193"/>
      <c r="AO257" s="1193"/>
      <c r="AP257" s="1193"/>
      <c r="AQ257" s="1193"/>
      <c r="AR257" s="1193"/>
      <c r="AS257" s="1193"/>
      <c r="AT257" s="1193"/>
      <c r="AU257" s="1193"/>
      <c r="AV257" s="1193"/>
      <c r="AW257" s="1194"/>
      <c r="AX257" s="1237"/>
      <c r="AY257" s="1238"/>
      <c r="AZ257" s="1239"/>
      <c r="BA257" s="1661"/>
    </row>
    <row r="258" spans="1:53" s="291" customFormat="1" ht="36" customHeight="1">
      <c r="A258" s="297"/>
      <c r="B258" s="1222"/>
      <c r="C258" s="1223"/>
      <c r="D258" s="1223"/>
      <c r="E258" s="1223"/>
      <c r="F258" s="1223"/>
      <c r="G258" s="1223"/>
      <c r="H258" s="1223"/>
      <c r="I258" s="1223"/>
      <c r="J258" s="1224"/>
      <c r="K258" s="1201"/>
      <c r="L258" s="1202"/>
      <c r="M258" s="1202"/>
      <c r="N258" s="1202"/>
      <c r="O258" s="1202"/>
      <c r="P258" s="1202"/>
      <c r="Q258" s="1202"/>
      <c r="R258" s="1202"/>
      <c r="S258" s="1202"/>
      <c r="T258" s="1202"/>
      <c r="U258" s="1202"/>
      <c r="V258" s="1202"/>
      <c r="W258" s="1202"/>
      <c r="X258" s="1202"/>
      <c r="Y258" s="1202"/>
      <c r="Z258" s="1202"/>
      <c r="AA258" s="1203"/>
      <c r="AB258" s="844"/>
      <c r="AC258" s="1192" t="str">
        <f>BASE!F49</f>
        <v>Adquisición de vehículos NO CONVENCIONALES para la recolección y transporte de residuos sólidos  NO aprovechables</v>
      </c>
      <c r="AD258" s="1193"/>
      <c r="AE258" s="1193"/>
      <c r="AF258" s="1193"/>
      <c r="AG258" s="1193"/>
      <c r="AH258" s="1193"/>
      <c r="AI258" s="1193"/>
      <c r="AJ258" s="1193"/>
      <c r="AK258" s="1193"/>
      <c r="AL258" s="1193"/>
      <c r="AM258" s="1193"/>
      <c r="AN258" s="1193"/>
      <c r="AO258" s="1193"/>
      <c r="AP258" s="1193"/>
      <c r="AQ258" s="1193"/>
      <c r="AR258" s="1193"/>
      <c r="AS258" s="1193"/>
      <c r="AT258" s="1193"/>
      <c r="AU258" s="1193"/>
      <c r="AV258" s="1193"/>
      <c r="AW258" s="1194"/>
      <c r="AX258" s="1237"/>
      <c r="AY258" s="1238"/>
      <c r="AZ258" s="1239"/>
      <c r="BA258" s="524"/>
    </row>
    <row r="259" spans="1:53" s="291" customFormat="1" ht="36" customHeight="1">
      <c r="A259" s="297"/>
      <c r="B259" s="1222"/>
      <c r="C259" s="1223"/>
      <c r="D259" s="1223"/>
      <c r="E259" s="1223"/>
      <c r="F259" s="1223"/>
      <c r="G259" s="1223"/>
      <c r="H259" s="1223"/>
      <c r="I259" s="1223"/>
      <c r="J259" s="1224"/>
      <c r="K259" s="1198" t="str">
        <f>$V$235</f>
        <v>Adecuados vehículos para la recolección y transporte de residuos sólidos aprovechables</v>
      </c>
      <c r="L259" s="1199"/>
      <c r="M259" s="1199"/>
      <c r="N259" s="1199"/>
      <c r="O259" s="1199"/>
      <c r="P259" s="1199"/>
      <c r="Q259" s="1199"/>
      <c r="R259" s="1199"/>
      <c r="S259" s="1199"/>
      <c r="T259" s="1199"/>
      <c r="U259" s="1199"/>
      <c r="V259" s="1199"/>
      <c r="W259" s="1199"/>
      <c r="X259" s="1199"/>
      <c r="Y259" s="1199"/>
      <c r="Z259" s="1199"/>
      <c r="AA259" s="1200"/>
      <c r="AB259" s="844"/>
      <c r="AC259" s="1192" t="str">
        <f>BASE!F51</f>
        <v>Adquisición de vehículos CONVENCIONALES para la recolección y transporte de residuos sólidos aprovechables</v>
      </c>
      <c r="AD259" s="1193"/>
      <c r="AE259" s="1193"/>
      <c r="AF259" s="1193"/>
      <c r="AG259" s="1193"/>
      <c r="AH259" s="1193"/>
      <c r="AI259" s="1193"/>
      <c r="AJ259" s="1193"/>
      <c r="AK259" s="1193"/>
      <c r="AL259" s="1193"/>
      <c r="AM259" s="1193"/>
      <c r="AN259" s="1193"/>
      <c r="AO259" s="1193"/>
      <c r="AP259" s="1193"/>
      <c r="AQ259" s="1193"/>
      <c r="AR259" s="1193"/>
      <c r="AS259" s="1193"/>
      <c r="AT259" s="1193"/>
      <c r="AU259" s="1193"/>
      <c r="AV259" s="1193"/>
      <c r="AW259" s="1194"/>
      <c r="AX259" s="1237"/>
      <c r="AY259" s="1238"/>
      <c r="AZ259" s="1239"/>
      <c r="BA259" s="524"/>
    </row>
    <row r="260" spans="1:53" s="291" customFormat="1" ht="36" customHeight="1">
      <c r="A260" s="297"/>
      <c r="B260" s="1201"/>
      <c r="C260" s="1202"/>
      <c r="D260" s="1202"/>
      <c r="E260" s="1202"/>
      <c r="F260" s="1202"/>
      <c r="G260" s="1202"/>
      <c r="H260" s="1202"/>
      <c r="I260" s="1202"/>
      <c r="J260" s="1203"/>
      <c r="K260" s="1201"/>
      <c r="L260" s="1202"/>
      <c r="M260" s="1202"/>
      <c r="N260" s="1202"/>
      <c r="O260" s="1202"/>
      <c r="P260" s="1202"/>
      <c r="Q260" s="1202"/>
      <c r="R260" s="1202"/>
      <c r="S260" s="1202"/>
      <c r="T260" s="1202"/>
      <c r="U260" s="1202"/>
      <c r="V260" s="1202"/>
      <c r="W260" s="1202"/>
      <c r="X260" s="1202"/>
      <c r="Y260" s="1202"/>
      <c r="Z260" s="1202"/>
      <c r="AA260" s="1203"/>
      <c r="AB260" s="844"/>
      <c r="AC260" s="1192" t="str">
        <f>BASE!F53</f>
        <v>Adquisición de vehículos NO CONVENCIONALES para la recolección y transporte de residuos sólidos  aprovechables</v>
      </c>
      <c r="AD260" s="1193"/>
      <c r="AE260" s="1193"/>
      <c r="AF260" s="1193"/>
      <c r="AG260" s="1193"/>
      <c r="AH260" s="1193"/>
      <c r="AI260" s="1193"/>
      <c r="AJ260" s="1193"/>
      <c r="AK260" s="1193"/>
      <c r="AL260" s="1193"/>
      <c r="AM260" s="1193"/>
      <c r="AN260" s="1193"/>
      <c r="AO260" s="1193"/>
      <c r="AP260" s="1193"/>
      <c r="AQ260" s="1193"/>
      <c r="AR260" s="1193"/>
      <c r="AS260" s="1193"/>
      <c r="AT260" s="1193"/>
      <c r="AU260" s="1193"/>
      <c r="AV260" s="1193"/>
      <c r="AW260" s="1194"/>
      <c r="AX260" s="1240"/>
      <c r="AY260" s="1241"/>
      <c r="AZ260" s="1242"/>
      <c r="BA260" s="524"/>
    </row>
    <row r="261" spans="1:53" s="291" customFormat="1" ht="18" customHeight="1">
      <c r="A261" s="297"/>
      <c r="B261" s="1341" t="str">
        <f>$C$236</f>
        <v>Adecuada valorización de los residuos sólidos</v>
      </c>
      <c r="C261" s="1341"/>
      <c r="D261" s="1341"/>
      <c r="E261" s="1341"/>
      <c r="F261" s="1341"/>
      <c r="G261" s="1341"/>
      <c r="H261" s="1341"/>
      <c r="I261" s="1341"/>
      <c r="J261" s="1341"/>
      <c r="K261" s="1198" t="str">
        <f>$V$236</f>
        <v>Adecuada infraestructura para la valorización de residuos sólidos ORGÁNICOS</v>
      </c>
      <c r="L261" s="1199"/>
      <c r="M261" s="1199"/>
      <c r="N261" s="1199"/>
      <c r="O261" s="1199"/>
      <c r="P261" s="1199"/>
      <c r="Q261" s="1199"/>
      <c r="R261" s="1199"/>
      <c r="S261" s="1199"/>
      <c r="T261" s="1199"/>
      <c r="U261" s="1199"/>
      <c r="V261" s="1199"/>
      <c r="W261" s="1199"/>
      <c r="X261" s="1199"/>
      <c r="Y261" s="1199"/>
      <c r="Z261" s="1199"/>
      <c r="AA261" s="1200"/>
      <c r="AB261" s="310"/>
      <c r="AC261" s="1195" t="str">
        <f>BASE!F55</f>
        <v>Construcción de una infraestructura de valorización orgánica</v>
      </c>
      <c r="AD261" s="1196"/>
      <c r="AE261" s="1196"/>
      <c r="AF261" s="1196"/>
      <c r="AG261" s="1196"/>
      <c r="AH261" s="1196"/>
      <c r="AI261" s="1196"/>
      <c r="AJ261" s="1196"/>
      <c r="AK261" s="1196"/>
      <c r="AL261" s="1196"/>
      <c r="AM261" s="1196"/>
      <c r="AN261" s="1196"/>
      <c r="AO261" s="1196"/>
      <c r="AP261" s="1196"/>
      <c r="AQ261" s="1196"/>
      <c r="AR261" s="1196"/>
      <c r="AS261" s="1196"/>
      <c r="AT261" s="1196"/>
      <c r="AU261" s="1196"/>
      <c r="AV261" s="1196"/>
      <c r="AW261" s="1197"/>
      <c r="AX261" s="1198"/>
      <c r="AY261" s="1199"/>
      <c r="AZ261" s="1200"/>
    </row>
    <row r="262" spans="1:53" s="291" customFormat="1" ht="18" customHeight="1">
      <c r="A262" s="297"/>
      <c r="B262" s="1341"/>
      <c r="C262" s="1341"/>
      <c r="D262" s="1341"/>
      <c r="E262" s="1341"/>
      <c r="F262" s="1341"/>
      <c r="G262" s="1341"/>
      <c r="H262" s="1341"/>
      <c r="I262" s="1341"/>
      <c r="J262" s="1341"/>
      <c r="K262" s="1198" t="str">
        <f>$V$237</f>
        <v>Adecuado equipamiento para la valorización de residuos solidos ORGÁNICOS</v>
      </c>
      <c r="L262" s="1199"/>
      <c r="M262" s="1199"/>
      <c r="N262" s="1199"/>
      <c r="O262" s="1199"/>
      <c r="P262" s="1199"/>
      <c r="Q262" s="1199"/>
      <c r="R262" s="1199"/>
      <c r="S262" s="1199"/>
      <c r="T262" s="1199"/>
      <c r="U262" s="1199"/>
      <c r="V262" s="1199"/>
      <c r="W262" s="1199"/>
      <c r="X262" s="1199"/>
      <c r="Y262" s="1199"/>
      <c r="Z262" s="1199"/>
      <c r="AA262" s="1200"/>
      <c r="AB262" s="310"/>
      <c r="AC262" s="1195" t="str">
        <f>BASE!F57</f>
        <v xml:space="preserve">Adquisición de herramientas e insumos para la valorización de residuos orgánicos </v>
      </c>
      <c r="AD262" s="1196"/>
      <c r="AE262" s="1196"/>
      <c r="AF262" s="1196"/>
      <c r="AG262" s="1196"/>
      <c r="AH262" s="1196"/>
      <c r="AI262" s="1196"/>
      <c r="AJ262" s="1196"/>
      <c r="AK262" s="1196"/>
      <c r="AL262" s="1196"/>
      <c r="AM262" s="1196"/>
      <c r="AN262" s="1196"/>
      <c r="AO262" s="1196"/>
      <c r="AP262" s="1196"/>
      <c r="AQ262" s="1196"/>
      <c r="AR262" s="1196"/>
      <c r="AS262" s="1196"/>
      <c r="AT262" s="1196"/>
      <c r="AU262" s="1196"/>
      <c r="AV262" s="1196"/>
      <c r="AW262" s="1197"/>
      <c r="AX262" s="1222"/>
      <c r="AY262" s="1223"/>
      <c r="AZ262" s="1224"/>
    </row>
    <row r="263" spans="1:53" s="291" customFormat="1" ht="18" customHeight="1">
      <c r="A263" s="297"/>
      <c r="B263" s="1341"/>
      <c r="C263" s="1341"/>
      <c r="D263" s="1341"/>
      <c r="E263" s="1341"/>
      <c r="F263" s="1341"/>
      <c r="G263" s="1341"/>
      <c r="H263" s="1341"/>
      <c r="I263" s="1341"/>
      <c r="J263" s="1341"/>
      <c r="K263" s="1222"/>
      <c r="L263" s="1223"/>
      <c r="M263" s="1223"/>
      <c r="N263" s="1223"/>
      <c r="O263" s="1223"/>
      <c r="P263" s="1223"/>
      <c r="Q263" s="1223"/>
      <c r="R263" s="1223"/>
      <c r="S263" s="1223"/>
      <c r="T263" s="1223"/>
      <c r="U263" s="1223"/>
      <c r="V263" s="1223"/>
      <c r="W263" s="1223"/>
      <c r="X263" s="1223"/>
      <c r="Y263" s="1223"/>
      <c r="Z263" s="1223"/>
      <c r="AA263" s="1224"/>
      <c r="AB263" s="310"/>
      <c r="AC263" s="1195" t="str">
        <f>BASE!F59</f>
        <v>Adquisición de equipos para la valorización de residuos orgánicos</v>
      </c>
      <c r="AD263" s="1196"/>
      <c r="AE263" s="1196"/>
      <c r="AF263" s="1196"/>
      <c r="AG263" s="1196"/>
      <c r="AH263" s="1196"/>
      <c r="AI263" s="1196"/>
      <c r="AJ263" s="1196"/>
      <c r="AK263" s="1196"/>
      <c r="AL263" s="1196"/>
      <c r="AM263" s="1196"/>
      <c r="AN263" s="1196"/>
      <c r="AO263" s="1196"/>
      <c r="AP263" s="1196"/>
      <c r="AQ263" s="1196"/>
      <c r="AR263" s="1196"/>
      <c r="AS263" s="1196"/>
      <c r="AT263" s="1196"/>
      <c r="AU263" s="1196"/>
      <c r="AV263" s="1196"/>
      <c r="AW263" s="1197"/>
      <c r="AX263" s="1222"/>
      <c r="AY263" s="1223"/>
      <c r="AZ263" s="1224"/>
    </row>
    <row r="264" spans="1:53" s="291" customFormat="1" ht="18" customHeight="1">
      <c r="A264" s="297"/>
      <c r="B264" s="1341"/>
      <c r="C264" s="1341"/>
      <c r="D264" s="1341"/>
      <c r="E264" s="1341"/>
      <c r="F264" s="1341"/>
      <c r="G264" s="1341"/>
      <c r="H264" s="1341"/>
      <c r="I264" s="1341"/>
      <c r="J264" s="1341"/>
      <c r="K264" s="1222"/>
      <c r="L264" s="1223"/>
      <c r="M264" s="1223"/>
      <c r="N264" s="1223"/>
      <c r="O264" s="1223"/>
      <c r="P264" s="1223"/>
      <c r="Q264" s="1223"/>
      <c r="R264" s="1223"/>
      <c r="S264" s="1223"/>
      <c r="T264" s="1223"/>
      <c r="U264" s="1223"/>
      <c r="V264" s="1223"/>
      <c r="W264" s="1223"/>
      <c r="X264" s="1223"/>
      <c r="Y264" s="1223"/>
      <c r="Z264" s="1223"/>
      <c r="AA264" s="1224"/>
      <c r="AB264" s="310"/>
      <c r="AC264" s="1195" t="str">
        <f>BASE!F61</f>
        <v>Adquisición de equipos de protección para el personal de valorización de residuos orgánicos</v>
      </c>
      <c r="AD264" s="1196"/>
      <c r="AE264" s="1196"/>
      <c r="AF264" s="1196"/>
      <c r="AG264" s="1196"/>
      <c r="AH264" s="1196"/>
      <c r="AI264" s="1196"/>
      <c r="AJ264" s="1196"/>
      <c r="AK264" s="1196"/>
      <c r="AL264" s="1196"/>
      <c r="AM264" s="1196"/>
      <c r="AN264" s="1196"/>
      <c r="AO264" s="1196"/>
      <c r="AP264" s="1196"/>
      <c r="AQ264" s="1196"/>
      <c r="AR264" s="1196"/>
      <c r="AS264" s="1196"/>
      <c r="AT264" s="1196"/>
      <c r="AU264" s="1196"/>
      <c r="AV264" s="1196"/>
      <c r="AW264" s="1197"/>
      <c r="AX264" s="1222"/>
      <c r="AY264" s="1223"/>
      <c r="AZ264" s="1224"/>
    </row>
    <row r="265" spans="1:53" s="291" customFormat="1" ht="18" customHeight="1">
      <c r="A265" s="297"/>
      <c r="B265" s="1341"/>
      <c r="C265" s="1341"/>
      <c r="D265" s="1341"/>
      <c r="E265" s="1341"/>
      <c r="F265" s="1341"/>
      <c r="G265" s="1341"/>
      <c r="H265" s="1341"/>
      <c r="I265" s="1341"/>
      <c r="J265" s="1341"/>
      <c r="K265" s="1201"/>
      <c r="L265" s="1202"/>
      <c r="M265" s="1202"/>
      <c r="N265" s="1202"/>
      <c r="O265" s="1202"/>
      <c r="P265" s="1202"/>
      <c r="Q265" s="1202"/>
      <c r="R265" s="1202"/>
      <c r="S265" s="1202"/>
      <c r="T265" s="1202"/>
      <c r="U265" s="1202"/>
      <c r="V265" s="1202"/>
      <c r="W265" s="1202"/>
      <c r="X265" s="1202"/>
      <c r="Y265" s="1202"/>
      <c r="Z265" s="1202"/>
      <c r="AA265" s="1203"/>
      <c r="AB265" s="310"/>
      <c r="AC265" s="1195" t="str">
        <f>BASE!F63</f>
        <v>Adquisición de maquinaria para la valorización de residuos orgánicos</v>
      </c>
      <c r="AD265" s="1196"/>
      <c r="AE265" s="1196"/>
      <c r="AF265" s="1196"/>
      <c r="AG265" s="1196"/>
      <c r="AH265" s="1196"/>
      <c r="AI265" s="1196"/>
      <c r="AJ265" s="1196"/>
      <c r="AK265" s="1196"/>
      <c r="AL265" s="1196"/>
      <c r="AM265" s="1196"/>
      <c r="AN265" s="1196"/>
      <c r="AO265" s="1196"/>
      <c r="AP265" s="1196"/>
      <c r="AQ265" s="1196"/>
      <c r="AR265" s="1196"/>
      <c r="AS265" s="1196"/>
      <c r="AT265" s="1196"/>
      <c r="AU265" s="1196"/>
      <c r="AV265" s="1196"/>
      <c r="AW265" s="1197"/>
      <c r="AX265" s="1222"/>
      <c r="AY265" s="1223"/>
      <c r="AZ265" s="1224"/>
    </row>
    <row r="266" spans="1:53" s="291" customFormat="1" ht="15" customHeight="1">
      <c r="A266" s="297"/>
      <c r="B266" s="1341"/>
      <c r="C266" s="1341"/>
      <c r="D266" s="1341"/>
      <c r="E266" s="1341"/>
      <c r="F266" s="1341"/>
      <c r="G266" s="1341"/>
      <c r="H266" s="1341"/>
      <c r="I266" s="1341"/>
      <c r="J266" s="1341"/>
      <c r="K266" s="1198" t="str">
        <f>$V$238</f>
        <v>Adecuada infraestructura para aprovechamiento de residuos sólidos INORGÁNICOS</v>
      </c>
      <c r="L266" s="1199"/>
      <c r="M266" s="1199"/>
      <c r="N266" s="1199"/>
      <c r="O266" s="1199"/>
      <c r="P266" s="1199"/>
      <c r="Q266" s="1199"/>
      <c r="R266" s="1199"/>
      <c r="S266" s="1199"/>
      <c r="T266" s="1199"/>
      <c r="U266" s="1199"/>
      <c r="V266" s="1199"/>
      <c r="W266" s="1199"/>
      <c r="X266" s="1199"/>
      <c r="Y266" s="1199"/>
      <c r="Z266" s="1199"/>
      <c r="AA266" s="1200"/>
      <c r="AB266" s="310"/>
      <c r="AC266" s="1195" t="str">
        <f>BASE!F65</f>
        <v>Construcción de una infraestructura de valorización inorgánica</v>
      </c>
      <c r="AD266" s="1196"/>
      <c r="AE266" s="1196"/>
      <c r="AF266" s="1196"/>
      <c r="AG266" s="1196"/>
      <c r="AH266" s="1196"/>
      <c r="AI266" s="1196"/>
      <c r="AJ266" s="1196"/>
      <c r="AK266" s="1196"/>
      <c r="AL266" s="1196"/>
      <c r="AM266" s="1196"/>
      <c r="AN266" s="1196"/>
      <c r="AO266" s="1196"/>
      <c r="AP266" s="1196"/>
      <c r="AQ266" s="1196"/>
      <c r="AR266" s="1196"/>
      <c r="AS266" s="1196"/>
      <c r="AT266" s="1196"/>
      <c r="AU266" s="1196"/>
      <c r="AV266" s="1196"/>
      <c r="AW266" s="1197"/>
      <c r="AX266" s="1222"/>
      <c r="AY266" s="1223"/>
      <c r="AZ266" s="1224"/>
    </row>
    <row r="267" spans="1:53" s="291" customFormat="1" ht="16.5" customHeight="1">
      <c r="A267" s="297"/>
      <c r="B267" s="1341"/>
      <c r="C267" s="1341"/>
      <c r="D267" s="1341"/>
      <c r="E267" s="1341"/>
      <c r="F267" s="1341"/>
      <c r="G267" s="1341"/>
      <c r="H267" s="1341"/>
      <c r="I267" s="1341"/>
      <c r="J267" s="1341"/>
      <c r="K267" s="1198" t="str">
        <f>$V$239</f>
        <v>Adecuado equipamiento para el aprovechamiento de residuos sólidos INORGÁNICOS</v>
      </c>
      <c r="L267" s="1199"/>
      <c r="M267" s="1199"/>
      <c r="N267" s="1199"/>
      <c r="O267" s="1199"/>
      <c r="P267" s="1199"/>
      <c r="Q267" s="1199"/>
      <c r="R267" s="1199"/>
      <c r="S267" s="1199"/>
      <c r="T267" s="1199"/>
      <c r="U267" s="1199"/>
      <c r="V267" s="1199"/>
      <c r="W267" s="1199"/>
      <c r="X267" s="1199"/>
      <c r="Y267" s="1199"/>
      <c r="Z267" s="1199"/>
      <c r="AA267" s="1200"/>
      <c r="AB267" s="310"/>
      <c r="AC267" s="1195" t="str">
        <f>BASE!F67</f>
        <v>Adquisición de herramientas e insumos para la valorización de residuos inorgánicos</v>
      </c>
      <c r="AD267" s="1196"/>
      <c r="AE267" s="1196"/>
      <c r="AF267" s="1196"/>
      <c r="AG267" s="1196"/>
      <c r="AH267" s="1196"/>
      <c r="AI267" s="1196"/>
      <c r="AJ267" s="1196"/>
      <c r="AK267" s="1196"/>
      <c r="AL267" s="1196"/>
      <c r="AM267" s="1196"/>
      <c r="AN267" s="1196"/>
      <c r="AO267" s="1196"/>
      <c r="AP267" s="1196"/>
      <c r="AQ267" s="1196"/>
      <c r="AR267" s="1196"/>
      <c r="AS267" s="1196"/>
      <c r="AT267" s="1196"/>
      <c r="AU267" s="1196"/>
      <c r="AV267" s="1196"/>
      <c r="AW267" s="1197"/>
      <c r="AX267" s="1222"/>
      <c r="AY267" s="1223"/>
      <c r="AZ267" s="1224"/>
    </row>
    <row r="268" spans="1:53" s="291" customFormat="1" ht="16.5" customHeight="1">
      <c r="A268" s="297"/>
      <c r="B268" s="1341"/>
      <c r="C268" s="1341"/>
      <c r="D268" s="1341"/>
      <c r="E268" s="1341"/>
      <c r="F268" s="1341"/>
      <c r="G268" s="1341"/>
      <c r="H268" s="1341"/>
      <c r="I268" s="1341"/>
      <c r="J268" s="1341"/>
      <c r="K268" s="1222"/>
      <c r="L268" s="1223"/>
      <c r="M268" s="1223"/>
      <c r="N268" s="1223"/>
      <c r="O268" s="1223"/>
      <c r="P268" s="1223"/>
      <c r="Q268" s="1223"/>
      <c r="R268" s="1223"/>
      <c r="S268" s="1223"/>
      <c r="T268" s="1223"/>
      <c r="U268" s="1223"/>
      <c r="V268" s="1223"/>
      <c r="W268" s="1223"/>
      <c r="X268" s="1223"/>
      <c r="Y268" s="1223"/>
      <c r="Z268" s="1223"/>
      <c r="AA268" s="1224"/>
      <c r="AB268" s="310"/>
      <c r="AC268" s="1195" t="str">
        <f>BASE!F69</f>
        <v xml:space="preserve">Adquisición de equipos para la valorización de residuos inorgánicos </v>
      </c>
      <c r="AD268" s="1196"/>
      <c r="AE268" s="1196"/>
      <c r="AF268" s="1196"/>
      <c r="AG268" s="1196"/>
      <c r="AH268" s="1196"/>
      <c r="AI268" s="1196"/>
      <c r="AJ268" s="1196"/>
      <c r="AK268" s="1196"/>
      <c r="AL268" s="1196"/>
      <c r="AM268" s="1196"/>
      <c r="AN268" s="1196"/>
      <c r="AO268" s="1196"/>
      <c r="AP268" s="1196"/>
      <c r="AQ268" s="1196"/>
      <c r="AR268" s="1196"/>
      <c r="AS268" s="1196"/>
      <c r="AT268" s="1196"/>
      <c r="AU268" s="1196"/>
      <c r="AV268" s="1196"/>
      <c r="AW268" s="1197"/>
      <c r="AX268" s="1222"/>
      <c r="AY268" s="1223"/>
      <c r="AZ268" s="1224"/>
    </row>
    <row r="269" spans="1:53" s="291" customFormat="1" ht="16.5" customHeight="1">
      <c r="A269" s="297"/>
      <c r="B269" s="1341"/>
      <c r="C269" s="1341"/>
      <c r="D269" s="1341"/>
      <c r="E269" s="1341"/>
      <c r="F269" s="1341"/>
      <c r="G269" s="1341"/>
      <c r="H269" s="1341"/>
      <c r="I269" s="1341"/>
      <c r="J269" s="1341"/>
      <c r="K269" s="1222"/>
      <c r="L269" s="1223"/>
      <c r="M269" s="1223"/>
      <c r="N269" s="1223"/>
      <c r="O269" s="1223"/>
      <c r="P269" s="1223"/>
      <c r="Q269" s="1223"/>
      <c r="R269" s="1223"/>
      <c r="S269" s="1223"/>
      <c r="T269" s="1223"/>
      <c r="U269" s="1223"/>
      <c r="V269" s="1223"/>
      <c r="W269" s="1223"/>
      <c r="X269" s="1223"/>
      <c r="Y269" s="1223"/>
      <c r="Z269" s="1223"/>
      <c r="AA269" s="1224"/>
      <c r="AB269" s="310"/>
      <c r="AC269" s="1195" t="str">
        <f>BASE!F71</f>
        <v>Adquisición de equipos de protección del personal de valorización de residuos inorgánico</v>
      </c>
      <c r="AD269" s="1196"/>
      <c r="AE269" s="1196"/>
      <c r="AF269" s="1196"/>
      <c r="AG269" s="1196"/>
      <c r="AH269" s="1196"/>
      <c r="AI269" s="1196"/>
      <c r="AJ269" s="1196"/>
      <c r="AK269" s="1196"/>
      <c r="AL269" s="1196"/>
      <c r="AM269" s="1196"/>
      <c r="AN269" s="1196"/>
      <c r="AO269" s="1196"/>
      <c r="AP269" s="1196"/>
      <c r="AQ269" s="1196"/>
      <c r="AR269" s="1196"/>
      <c r="AS269" s="1196"/>
      <c r="AT269" s="1196"/>
      <c r="AU269" s="1196"/>
      <c r="AV269" s="1196"/>
      <c r="AW269" s="1197"/>
      <c r="AX269" s="1222"/>
      <c r="AY269" s="1223"/>
      <c r="AZ269" s="1224"/>
    </row>
    <row r="270" spans="1:53" s="291" customFormat="1" ht="16.5" customHeight="1">
      <c r="A270" s="297"/>
      <c r="B270" s="1341"/>
      <c r="C270" s="1341"/>
      <c r="D270" s="1341"/>
      <c r="E270" s="1341"/>
      <c r="F270" s="1341"/>
      <c r="G270" s="1341"/>
      <c r="H270" s="1341"/>
      <c r="I270" s="1341"/>
      <c r="J270" s="1341"/>
      <c r="K270" s="1201"/>
      <c r="L270" s="1202"/>
      <c r="M270" s="1202"/>
      <c r="N270" s="1202"/>
      <c r="O270" s="1202"/>
      <c r="P270" s="1202"/>
      <c r="Q270" s="1202"/>
      <c r="R270" s="1202"/>
      <c r="S270" s="1202"/>
      <c r="T270" s="1202"/>
      <c r="U270" s="1202"/>
      <c r="V270" s="1202"/>
      <c r="W270" s="1202"/>
      <c r="X270" s="1202"/>
      <c r="Y270" s="1202"/>
      <c r="Z270" s="1202"/>
      <c r="AA270" s="1203"/>
      <c r="AB270" s="310"/>
      <c r="AC270" s="1195" t="str">
        <f>BASE!F73</f>
        <v>Adquisición de maquinaria para la valorización  de residuos inorgánicos</v>
      </c>
      <c r="AD270" s="1196"/>
      <c r="AE270" s="1196"/>
      <c r="AF270" s="1196"/>
      <c r="AG270" s="1196"/>
      <c r="AH270" s="1196"/>
      <c r="AI270" s="1196"/>
      <c r="AJ270" s="1196"/>
      <c r="AK270" s="1196"/>
      <c r="AL270" s="1196"/>
      <c r="AM270" s="1196"/>
      <c r="AN270" s="1196"/>
      <c r="AO270" s="1196"/>
      <c r="AP270" s="1196"/>
      <c r="AQ270" s="1196"/>
      <c r="AR270" s="1196"/>
      <c r="AS270" s="1196"/>
      <c r="AT270" s="1196"/>
      <c r="AU270" s="1196"/>
      <c r="AV270" s="1196"/>
      <c r="AW270" s="1197"/>
      <c r="AX270" s="1201"/>
      <c r="AY270" s="1202"/>
      <c r="AZ270" s="1203"/>
      <c r="BA270" s="865"/>
    </row>
    <row r="271" spans="1:53" s="291" customFormat="1" ht="18" customHeight="1">
      <c r="A271" s="297"/>
      <c r="B271" s="1341" t="str">
        <f>$C$240</f>
        <v>Adecuada disposición final de los residuos sólidos</v>
      </c>
      <c r="C271" s="1341"/>
      <c r="D271" s="1341"/>
      <c r="E271" s="1341"/>
      <c r="F271" s="1341"/>
      <c r="G271" s="1341"/>
      <c r="H271" s="1341"/>
      <c r="I271" s="1341"/>
      <c r="J271" s="1341"/>
      <c r="K271" s="1198" t="str">
        <f>$V$240</f>
        <v>Adecuada infraestructura para la disposición final de residuos sólidos</v>
      </c>
      <c r="L271" s="1199"/>
      <c r="M271" s="1199"/>
      <c r="N271" s="1199"/>
      <c r="O271" s="1199"/>
      <c r="P271" s="1199"/>
      <c r="Q271" s="1199"/>
      <c r="R271" s="1199"/>
      <c r="S271" s="1199"/>
      <c r="T271" s="1199"/>
      <c r="U271" s="1199"/>
      <c r="V271" s="1199"/>
      <c r="W271" s="1199"/>
      <c r="X271" s="1199"/>
      <c r="Y271" s="1199"/>
      <c r="Z271" s="1199"/>
      <c r="AA271" s="1200"/>
      <c r="AB271" s="310"/>
      <c r="AC271" s="1195" t="str">
        <f>BASE!F75</f>
        <v>Construcción de infraestructura de disposición final</v>
      </c>
      <c r="AD271" s="1196"/>
      <c r="AE271" s="1196"/>
      <c r="AF271" s="1196"/>
      <c r="AG271" s="1196"/>
      <c r="AH271" s="1196"/>
      <c r="AI271" s="1196"/>
      <c r="AJ271" s="1196"/>
      <c r="AK271" s="1196"/>
      <c r="AL271" s="1196"/>
      <c r="AM271" s="1196"/>
      <c r="AN271" s="1196"/>
      <c r="AO271" s="1196"/>
      <c r="AP271" s="1196"/>
      <c r="AQ271" s="1196"/>
      <c r="AR271" s="1196"/>
      <c r="AS271" s="1196"/>
      <c r="AT271" s="1196"/>
      <c r="AU271" s="1196"/>
      <c r="AV271" s="1196"/>
      <c r="AW271" s="1197"/>
      <c r="AX271" s="1198"/>
      <c r="AY271" s="1199"/>
      <c r="AZ271" s="1200"/>
    </row>
    <row r="272" spans="1:53" s="291" customFormat="1" ht="18" customHeight="1">
      <c r="A272" s="297"/>
      <c r="B272" s="1341"/>
      <c r="C272" s="1341"/>
      <c r="D272" s="1341"/>
      <c r="E272" s="1341"/>
      <c r="F272" s="1341"/>
      <c r="G272" s="1341"/>
      <c r="H272" s="1341"/>
      <c r="I272" s="1341"/>
      <c r="J272" s="1341"/>
      <c r="K272" s="1198" t="str">
        <f>$V$241</f>
        <v xml:space="preserve">Adecuado equipamiento para la disposición final de residuos sólidos </v>
      </c>
      <c r="L272" s="1199"/>
      <c r="M272" s="1199"/>
      <c r="N272" s="1199"/>
      <c r="O272" s="1199"/>
      <c r="P272" s="1199"/>
      <c r="Q272" s="1199"/>
      <c r="R272" s="1199"/>
      <c r="S272" s="1199"/>
      <c r="T272" s="1199"/>
      <c r="U272" s="1199"/>
      <c r="V272" s="1199"/>
      <c r="W272" s="1199"/>
      <c r="X272" s="1199"/>
      <c r="Y272" s="1199"/>
      <c r="Z272" s="1199"/>
      <c r="AA272" s="1200"/>
      <c r="AB272" s="310"/>
      <c r="AC272" s="1195" t="str">
        <f>BASE!F77</f>
        <v xml:space="preserve">Adquisición de herramientas para el relleno sanitario </v>
      </c>
      <c r="AD272" s="1196"/>
      <c r="AE272" s="1196"/>
      <c r="AF272" s="1196"/>
      <c r="AG272" s="1196"/>
      <c r="AH272" s="1196"/>
      <c r="AI272" s="1196"/>
      <c r="AJ272" s="1196"/>
      <c r="AK272" s="1196"/>
      <c r="AL272" s="1196"/>
      <c r="AM272" s="1196"/>
      <c r="AN272" s="1196"/>
      <c r="AO272" s="1196"/>
      <c r="AP272" s="1196"/>
      <c r="AQ272" s="1196"/>
      <c r="AR272" s="1196"/>
      <c r="AS272" s="1196"/>
      <c r="AT272" s="1196"/>
      <c r="AU272" s="1196"/>
      <c r="AV272" s="1196"/>
      <c r="AW272" s="1197"/>
      <c r="AX272" s="1222"/>
      <c r="AY272" s="1223"/>
      <c r="AZ272" s="1224"/>
    </row>
    <row r="273" spans="1:54" s="291" customFormat="1" ht="18" customHeight="1">
      <c r="A273" s="297"/>
      <c r="B273" s="1341"/>
      <c r="C273" s="1341"/>
      <c r="D273" s="1341"/>
      <c r="E273" s="1341"/>
      <c r="F273" s="1341"/>
      <c r="G273" s="1341"/>
      <c r="H273" s="1341"/>
      <c r="I273" s="1341"/>
      <c r="J273" s="1341"/>
      <c r="K273" s="1222"/>
      <c r="L273" s="1223"/>
      <c r="M273" s="1223"/>
      <c r="N273" s="1223"/>
      <c r="O273" s="1223"/>
      <c r="P273" s="1223"/>
      <c r="Q273" s="1223"/>
      <c r="R273" s="1223"/>
      <c r="S273" s="1223"/>
      <c r="T273" s="1223"/>
      <c r="U273" s="1223"/>
      <c r="V273" s="1223"/>
      <c r="W273" s="1223"/>
      <c r="X273" s="1223"/>
      <c r="Y273" s="1223"/>
      <c r="Z273" s="1223"/>
      <c r="AA273" s="1224"/>
      <c r="AB273" s="310"/>
      <c r="AC273" s="1195" t="str">
        <f>BASE!F79</f>
        <v xml:space="preserve">Adquisición de equipos  para el relleno sanitario </v>
      </c>
      <c r="AD273" s="1196"/>
      <c r="AE273" s="1196"/>
      <c r="AF273" s="1196"/>
      <c r="AG273" s="1196"/>
      <c r="AH273" s="1196"/>
      <c r="AI273" s="1196"/>
      <c r="AJ273" s="1196"/>
      <c r="AK273" s="1196"/>
      <c r="AL273" s="1196"/>
      <c r="AM273" s="1196"/>
      <c r="AN273" s="1196"/>
      <c r="AO273" s="1196"/>
      <c r="AP273" s="1196"/>
      <c r="AQ273" s="1196"/>
      <c r="AR273" s="1196"/>
      <c r="AS273" s="1196"/>
      <c r="AT273" s="1196"/>
      <c r="AU273" s="1196"/>
      <c r="AV273" s="1196"/>
      <c r="AW273" s="1197"/>
      <c r="AX273" s="1222"/>
      <c r="AY273" s="1223"/>
      <c r="AZ273" s="1224"/>
    </row>
    <row r="274" spans="1:54" s="291" customFormat="1" ht="18" customHeight="1">
      <c r="A274" s="297"/>
      <c r="B274" s="1341"/>
      <c r="C274" s="1341"/>
      <c r="D274" s="1341"/>
      <c r="E274" s="1341"/>
      <c r="F274" s="1341"/>
      <c r="G274" s="1341"/>
      <c r="H274" s="1341"/>
      <c r="I274" s="1341"/>
      <c r="J274" s="1341"/>
      <c r="K274" s="1222"/>
      <c r="L274" s="1223"/>
      <c r="M274" s="1223"/>
      <c r="N274" s="1223"/>
      <c r="O274" s="1223"/>
      <c r="P274" s="1223"/>
      <c r="Q274" s="1223"/>
      <c r="R274" s="1223"/>
      <c r="S274" s="1223"/>
      <c r="T274" s="1223"/>
      <c r="U274" s="1223"/>
      <c r="V274" s="1223"/>
      <c r="W274" s="1223"/>
      <c r="X274" s="1223"/>
      <c r="Y274" s="1223"/>
      <c r="Z274" s="1223"/>
      <c r="AA274" s="1224"/>
      <c r="AB274" s="310"/>
      <c r="AC274" s="1195" t="str">
        <f>BASE!F81</f>
        <v>Adquisición de equipos de protección personal para el personal de la disposición final</v>
      </c>
      <c r="AD274" s="1196"/>
      <c r="AE274" s="1196"/>
      <c r="AF274" s="1196"/>
      <c r="AG274" s="1196"/>
      <c r="AH274" s="1196"/>
      <c r="AI274" s="1196"/>
      <c r="AJ274" s="1196"/>
      <c r="AK274" s="1196"/>
      <c r="AL274" s="1196"/>
      <c r="AM274" s="1196"/>
      <c r="AN274" s="1196"/>
      <c r="AO274" s="1196"/>
      <c r="AP274" s="1196"/>
      <c r="AQ274" s="1196"/>
      <c r="AR274" s="1196"/>
      <c r="AS274" s="1196"/>
      <c r="AT274" s="1196"/>
      <c r="AU274" s="1196"/>
      <c r="AV274" s="1196"/>
      <c r="AW274" s="1197"/>
      <c r="AX274" s="1222"/>
      <c r="AY274" s="1223"/>
      <c r="AZ274" s="1224"/>
    </row>
    <row r="275" spans="1:54" s="291" customFormat="1" ht="18" customHeight="1">
      <c r="A275" s="297"/>
      <c r="B275" s="1341"/>
      <c r="C275" s="1341"/>
      <c r="D275" s="1341"/>
      <c r="E275" s="1341"/>
      <c r="F275" s="1341"/>
      <c r="G275" s="1341"/>
      <c r="H275" s="1341"/>
      <c r="I275" s="1341"/>
      <c r="J275" s="1341"/>
      <c r="K275" s="1222"/>
      <c r="L275" s="1223"/>
      <c r="M275" s="1223"/>
      <c r="N275" s="1223"/>
      <c r="O275" s="1223"/>
      <c r="P275" s="1223"/>
      <c r="Q275" s="1223"/>
      <c r="R275" s="1223"/>
      <c r="S275" s="1223"/>
      <c r="T275" s="1223"/>
      <c r="U275" s="1223"/>
      <c r="V275" s="1223"/>
      <c r="W275" s="1223"/>
      <c r="X275" s="1223"/>
      <c r="Y275" s="1223"/>
      <c r="Z275" s="1223"/>
      <c r="AA275" s="1224"/>
      <c r="AB275" s="310"/>
      <c r="AC275" s="1195" t="str">
        <f>BASE!F83</f>
        <v xml:space="preserve">Adquisición de mobiliario </v>
      </c>
      <c r="AD275" s="1196"/>
      <c r="AE275" s="1196"/>
      <c r="AF275" s="1196"/>
      <c r="AG275" s="1196"/>
      <c r="AH275" s="1196"/>
      <c r="AI275" s="1196"/>
      <c r="AJ275" s="1196"/>
      <c r="AK275" s="1196"/>
      <c r="AL275" s="1196"/>
      <c r="AM275" s="1196"/>
      <c r="AN275" s="1196"/>
      <c r="AO275" s="1196"/>
      <c r="AP275" s="1196"/>
      <c r="AQ275" s="1196"/>
      <c r="AR275" s="1196"/>
      <c r="AS275" s="1196"/>
      <c r="AT275" s="1196"/>
      <c r="AU275" s="1196"/>
      <c r="AV275" s="1196"/>
      <c r="AW275" s="1197"/>
      <c r="AX275" s="1222"/>
      <c r="AY275" s="1223"/>
      <c r="AZ275" s="1224"/>
    </row>
    <row r="276" spans="1:54" s="291" customFormat="1" ht="18" customHeight="1">
      <c r="A276" s="297"/>
      <c r="B276" s="1341"/>
      <c r="C276" s="1341"/>
      <c r="D276" s="1341"/>
      <c r="E276" s="1341"/>
      <c r="F276" s="1341"/>
      <c r="G276" s="1341"/>
      <c r="H276" s="1341"/>
      <c r="I276" s="1341"/>
      <c r="J276" s="1341"/>
      <c r="K276" s="1201"/>
      <c r="L276" s="1202"/>
      <c r="M276" s="1202"/>
      <c r="N276" s="1202"/>
      <c r="O276" s="1202"/>
      <c r="P276" s="1202"/>
      <c r="Q276" s="1202"/>
      <c r="R276" s="1202"/>
      <c r="S276" s="1202"/>
      <c r="T276" s="1202"/>
      <c r="U276" s="1202"/>
      <c r="V276" s="1202"/>
      <c r="W276" s="1202"/>
      <c r="X276" s="1202"/>
      <c r="Y276" s="1202"/>
      <c r="Z276" s="1202"/>
      <c r="AA276" s="1203"/>
      <c r="AB276" s="310"/>
      <c r="AC276" s="1195" t="str">
        <f>BASE!F85</f>
        <v>Adquisición de maquinaria para el relleno sanitario</v>
      </c>
      <c r="AD276" s="1196"/>
      <c r="AE276" s="1196"/>
      <c r="AF276" s="1196"/>
      <c r="AG276" s="1196"/>
      <c r="AH276" s="1196"/>
      <c r="AI276" s="1196"/>
      <c r="AJ276" s="1196"/>
      <c r="AK276" s="1196"/>
      <c r="AL276" s="1196"/>
      <c r="AM276" s="1196"/>
      <c r="AN276" s="1196"/>
      <c r="AO276" s="1196"/>
      <c r="AP276" s="1196"/>
      <c r="AQ276" s="1196"/>
      <c r="AR276" s="1196"/>
      <c r="AS276" s="1196"/>
      <c r="AT276" s="1196"/>
      <c r="AU276" s="1196"/>
      <c r="AV276" s="1196"/>
      <c r="AW276" s="1197"/>
      <c r="AX276" s="1201"/>
      <c r="AY276" s="1202"/>
      <c r="AZ276" s="1203"/>
    </row>
    <row r="277" spans="1:54" s="291" customFormat="1" ht="18" customHeight="1">
      <c r="A277" s="297"/>
      <c r="B277" s="1198" t="str">
        <f>$C$242</f>
        <v>Eficiente gestión técnica, administrativa, económica y financiera del servicio de limpieza pública</v>
      </c>
      <c r="C277" s="1199"/>
      <c r="D277" s="1199"/>
      <c r="E277" s="1199"/>
      <c r="F277" s="1199"/>
      <c r="G277" s="1199"/>
      <c r="H277" s="1199"/>
      <c r="I277" s="1199"/>
      <c r="J277" s="1200"/>
      <c r="K277" s="1198" t="str">
        <f>BASE!D86</f>
        <v>Suficientes capacidades del área encargada para brindar el Servicio de Limpieza Pública</v>
      </c>
      <c r="L277" s="1199"/>
      <c r="M277" s="1199"/>
      <c r="N277" s="1199"/>
      <c r="O277" s="1199"/>
      <c r="P277" s="1199"/>
      <c r="Q277" s="1199"/>
      <c r="R277" s="1199"/>
      <c r="S277" s="1199"/>
      <c r="T277" s="1199"/>
      <c r="U277" s="1199"/>
      <c r="V277" s="1199"/>
      <c r="W277" s="1199"/>
      <c r="X277" s="1199"/>
      <c r="Y277" s="1199"/>
      <c r="Z277" s="1199"/>
      <c r="AA277" s="1200"/>
      <c r="AB277" s="310"/>
      <c r="AC277" s="1195" t="str">
        <f>BASE!F87</f>
        <v>Mejoramiento de la Gestión Institucional del servicio de limpieza pública</v>
      </c>
      <c r="AD277" s="1196"/>
      <c r="AE277" s="1196"/>
      <c r="AF277" s="1196"/>
      <c r="AG277" s="1196"/>
      <c r="AH277" s="1196"/>
      <c r="AI277" s="1196"/>
      <c r="AJ277" s="1196"/>
      <c r="AK277" s="1196"/>
      <c r="AL277" s="1196"/>
      <c r="AM277" s="1196"/>
      <c r="AN277" s="1196"/>
      <c r="AO277" s="1196"/>
      <c r="AP277" s="1196"/>
      <c r="AQ277" s="1196"/>
      <c r="AR277" s="1196"/>
      <c r="AS277" s="1196"/>
      <c r="AT277" s="1196"/>
      <c r="AU277" s="1196"/>
      <c r="AV277" s="1196"/>
      <c r="AW277" s="1197"/>
      <c r="AX277" s="1198"/>
      <c r="AY277" s="1199"/>
      <c r="AZ277" s="1200"/>
    </row>
    <row r="278" spans="1:54" s="291" customFormat="1" ht="36" customHeight="1">
      <c r="A278" s="297"/>
      <c r="B278" s="1222"/>
      <c r="C278" s="1223"/>
      <c r="D278" s="1223"/>
      <c r="E278" s="1223"/>
      <c r="F278" s="1223"/>
      <c r="G278" s="1223"/>
      <c r="H278" s="1223"/>
      <c r="I278" s="1223"/>
      <c r="J278" s="1224"/>
      <c r="K278" s="1222"/>
      <c r="L278" s="1223"/>
      <c r="M278" s="1223"/>
      <c r="N278" s="1223"/>
      <c r="O278" s="1223"/>
      <c r="P278" s="1223"/>
      <c r="Q278" s="1223"/>
      <c r="R278" s="1223"/>
      <c r="S278" s="1223"/>
      <c r="T278" s="1223"/>
      <c r="U278" s="1223"/>
      <c r="V278" s="1223"/>
      <c r="W278" s="1223"/>
      <c r="X278" s="1223"/>
      <c r="Y278" s="1223"/>
      <c r="Z278" s="1223"/>
      <c r="AA278" s="1224"/>
      <c r="AB278" s="310"/>
      <c r="AC278" s="1195" t="str">
        <f>BASE!F89</f>
        <v>Formulación e implementación de instrumentos técnicos y operativos para la prestación del Servicio de Limpieza Pública</v>
      </c>
      <c r="AD278" s="1196"/>
      <c r="AE278" s="1196"/>
      <c r="AF278" s="1196"/>
      <c r="AG278" s="1196"/>
      <c r="AH278" s="1196"/>
      <c r="AI278" s="1196"/>
      <c r="AJ278" s="1196"/>
      <c r="AK278" s="1196"/>
      <c r="AL278" s="1196"/>
      <c r="AM278" s="1196"/>
      <c r="AN278" s="1196"/>
      <c r="AO278" s="1196"/>
      <c r="AP278" s="1196"/>
      <c r="AQ278" s="1196"/>
      <c r="AR278" s="1196"/>
      <c r="AS278" s="1196"/>
      <c r="AT278" s="1196"/>
      <c r="AU278" s="1196"/>
      <c r="AV278" s="1196"/>
      <c r="AW278" s="1197"/>
      <c r="AX278" s="1222"/>
      <c r="AY278" s="1223"/>
      <c r="AZ278" s="1224"/>
    </row>
    <row r="279" spans="1:54" s="291" customFormat="1" ht="18" customHeight="1">
      <c r="A279" s="297"/>
      <c r="B279" s="1222"/>
      <c r="C279" s="1223"/>
      <c r="D279" s="1223"/>
      <c r="E279" s="1223"/>
      <c r="F279" s="1223"/>
      <c r="G279" s="1223"/>
      <c r="H279" s="1223"/>
      <c r="I279" s="1223"/>
      <c r="J279" s="1224"/>
      <c r="K279" s="1222"/>
      <c r="L279" s="1223"/>
      <c r="M279" s="1223"/>
      <c r="N279" s="1223"/>
      <c r="O279" s="1223"/>
      <c r="P279" s="1223"/>
      <c r="Q279" s="1223"/>
      <c r="R279" s="1223"/>
      <c r="S279" s="1223"/>
      <c r="T279" s="1223"/>
      <c r="U279" s="1223"/>
      <c r="V279" s="1223"/>
      <c r="W279" s="1223"/>
      <c r="X279" s="1223"/>
      <c r="Y279" s="1223"/>
      <c r="Z279" s="1223"/>
      <c r="AA279" s="1224"/>
      <c r="AB279" s="310"/>
      <c r="AC279" s="1195" t="str">
        <f>BASE!F91</f>
        <v>Desarrollo de un programa de capacitación y asistencia técnica para la prestación</v>
      </c>
      <c r="AD279" s="1196"/>
      <c r="AE279" s="1196"/>
      <c r="AF279" s="1196"/>
      <c r="AG279" s="1196"/>
      <c r="AH279" s="1196"/>
      <c r="AI279" s="1196"/>
      <c r="AJ279" s="1196"/>
      <c r="AK279" s="1196"/>
      <c r="AL279" s="1196"/>
      <c r="AM279" s="1196"/>
      <c r="AN279" s="1196"/>
      <c r="AO279" s="1196"/>
      <c r="AP279" s="1196"/>
      <c r="AQ279" s="1196"/>
      <c r="AR279" s="1196"/>
      <c r="AS279" s="1196"/>
      <c r="AT279" s="1196"/>
      <c r="AU279" s="1196"/>
      <c r="AV279" s="1196"/>
      <c r="AW279" s="1197"/>
      <c r="AX279" s="1222"/>
      <c r="AY279" s="1223"/>
      <c r="AZ279" s="1224"/>
    </row>
    <row r="280" spans="1:54" s="291" customFormat="1" ht="18" customHeight="1">
      <c r="A280" s="297"/>
      <c r="B280" s="1222"/>
      <c r="C280" s="1223"/>
      <c r="D280" s="1223"/>
      <c r="E280" s="1223"/>
      <c r="F280" s="1223"/>
      <c r="G280" s="1223"/>
      <c r="H280" s="1223"/>
      <c r="I280" s="1223"/>
      <c r="J280" s="1224"/>
      <c r="K280" s="1222"/>
      <c r="L280" s="1223"/>
      <c r="M280" s="1223"/>
      <c r="N280" s="1223"/>
      <c r="O280" s="1223"/>
      <c r="P280" s="1223"/>
      <c r="Q280" s="1223"/>
      <c r="R280" s="1223"/>
      <c r="S280" s="1223"/>
      <c r="T280" s="1223"/>
      <c r="U280" s="1223"/>
      <c r="V280" s="1223"/>
      <c r="W280" s="1223"/>
      <c r="X280" s="1223"/>
      <c r="Y280" s="1223"/>
      <c r="Z280" s="1223"/>
      <c r="AA280" s="1224"/>
      <c r="AB280" s="310"/>
      <c r="AC280" s="1195" t="str">
        <f>BASE!F93</f>
        <v>Implementación de un programa de costeo del servicio</v>
      </c>
      <c r="AD280" s="1196"/>
      <c r="AE280" s="1196"/>
      <c r="AF280" s="1196"/>
      <c r="AG280" s="1196"/>
      <c r="AH280" s="1196"/>
      <c r="AI280" s="1196"/>
      <c r="AJ280" s="1196"/>
      <c r="AK280" s="1196"/>
      <c r="AL280" s="1196"/>
      <c r="AM280" s="1196"/>
      <c r="AN280" s="1196"/>
      <c r="AO280" s="1196"/>
      <c r="AP280" s="1196"/>
      <c r="AQ280" s="1196"/>
      <c r="AR280" s="1196"/>
      <c r="AS280" s="1196"/>
      <c r="AT280" s="1196"/>
      <c r="AU280" s="1196"/>
      <c r="AV280" s="1196"/>
      <c r="AW280" s="1197"/>
      <c r="AX280" s="1222"/>
      <c r="AY280" s="1223"/>
      <c r="AZ280" s="1224"/>
    </row>
    <row r="281" spans="1:54" s="291" customFormat="1" ht="18" customHeight="1">
      <c r="A281" s="297"/>
      <c r="B281" s="1222"/>
      <c r="C281" s="1223"/>
      <c r="D281" s="1223"/>
      <c r="E281" s="1223"/>
      <c r="F281" s="1223"/>
      <c r="G281" s="1223"/>
      <c r="H281" s="1223"/>
      <c r="I281" s="1223"/>
      <c r="J281" s="1224"/>
      <c r="K281" s="1201"/>
      <c r="L281" s="1202"/>
      <c r="M281" s="1202"/>
      <c r="N281" s="1202"/>
      <c r="O281" s="1202"/>
      <c r="P281" s="1202"/>
      <c r="Q281" s="1202"/>
      <c r="R281" s="1202"/>
      <c r="S281" s="1202"/>
      <c r="T281" s="1202"/>
      <c r="U281" s="1202"/>
      <c r="V281" s="1202"/>
      <c r="W281" s="1202"/>
      <c r="X281" s="1202"/>
      <c r="Y281" s="1202"/>
      <c r="Z281" s="1202"/>
      <c r="AA281" s="1203"/>
      <c r="AB281" s="310"/>
      <c r="AC281" s="1218" t="s">
        <v>800</v>
      </c>
      <c r="AD281" s="1219"/>
      <c r="AE281" s="1219"/>
      <c r="AF281" s="1219"/>
      <c r="AG281" s="1219"/>
      <c r="AH281" s="1219"/>
      <c r="AI281" s="1219"/>
      <c r="AJ281" s="1219"/>
      <c r="AK281" s="1219"/>
      <c r="AL281" s="1219"/>
      <c r="AM281" s="1219"/>
      <c r="AN281" s="1219"/>
      <c r="AO281" s="1219"/>
      <c r="AP281" s="1219"/>
      <c r="AQ281" s="1219"/>
      <c r="AR281" s="1219"/>
      <c r="AS281" s="1219"/>
      <c r="AT281" s="1219"/>
      <c r="AU281" s="1219"/>
      <c r="AV281" s="1219"/>
      <c r="AW281" s="1220"/>
      <c r="AX281" s="1222"/>
      <c r="AY281" s="1223"/>
      <c r="AZ281" s="1224"/>
    </row>
    <row r="282" spans="1:54" s="312" customFormat="1" ht="18" customHeight="1">
      <c r="A282" s="311"/>
      <c r="B282" s="1222"/>
      <c r="C282" s="1223"/>
      <c r="D282" s="1223"/>
      <c r="E282" s="1223"/>
      <c r="F282" s="1223"/>
      <c r="G282" s="1223"/>
      <c r="H282" s="1223"/>
      <c r="I282" s="1223"/>
      <c r="J282" s="1224"/>
      <c r="K282" s="1198" t="str">
        <f>BASE!D94</f>
        <v>Adecuada supervisión del Servicio de Limpieza Pública</v>
      </c>
      <c r="L282" s="1199"/>
      <c r="M282" s="1199"/>
      <c r="N282" s="1199"/>
      <c r="O282" s="1199"/>
      <c r="P282" s="1199"/>
      <c r="Q282" s="1199"/>
      <c r="R282" s="1199"/>
      <c r="S282" s="1199"/>
      <c r="T282" s="1199"/>
      <c r="U282" s="1199"/>
      <c r="V282" s="1199"/>
      <c r="W282" s="1199"/>
      <c r="X282" s="1199"/>
      <c r="Y282" s="1199"/>
      <c r="Z282" s="1199"/>
      <c r="AA282" s="1200"/>
      <c r="AB282" s="310"/>
      <c r="AC282" s="1195" t="str">
        <f>BASE!F95</f>
        <v>Adquisición de equipos para la supervisión y monitoreo del servicio de limpieza pública</v>
      </c>
      <c r="AD282" s="1196"/>
      <c r="AE282" s="1196"/>
      <c r="AF282" s="1196"/>
      <c r="AG282" s="1196"/>
      <c r="AH282" s="1196"/>
      <c r="AI282" s="1196"/>
      <c r="AJ282" s="1196"/>
      <c r="AK282" s="1196"/>
      <c r="AL282" s="1196"/>
      <c r="AM282" s="1196"/>
      <c r="AN282" s="1196"/>
      <c r="AO282" s="1196"/>
      <c r="AP282" s="1196"/>
      <c r="AQ282" s="1196"/>
      <c r="AR282" s="1196"/>
      <c r="AS282" s="1196"/>
      <c r="AT282" s="1196"/>
      <c r="AU282" s="1196"/>
      <c r="AV282" s="1196"/>
      <c r="AW282" s="1197"/>
      <c r="AX282" s="1222"/>
      <c r="AY282" s="1223"/>
      <c r="AZ282" s="1224"/>
      <c r="BA282" s="291"/>
      <c r="BB282" s="291"/>
    </row>
    <row r="283" spans="1:54" s="312" customFormat="1" ht="18" customHeight="1">
      <c r="A283" s="311"/>
      <c r="B283" s="1222"/>
      <c r="C283" s="1223"/>
      <c r="D283" s="1223"/>
      <c r="E283" s="1223"/>
      <c r="F283" s="1223"/>
      <c r="G283" s="1223"/>
      <c r="H283" s="1223"/>
      <c r="I283" s="1223"/>
      <c r="J283" s="1224"/>
      <c r="K283" s="1222"/>
      <c r="L283" s="1223"/>
      <c r="M283" s="1223"/>
      <c r="N283" s="1223"/>
      <c r="O283" s="1223"/>
      <c r="P283" s="1223"/>
      <c r="Q283" s="1223"/>
      <c r="R283" s="1223"/>
      <c r="S283" s="1223"/>
      <c r="T283" s="1223"/>
      <c r="U283" s="1223"/>
      <c r="V283" s="1223"/>
      <c r="W283" s="1223"/>
      <c r="X283" s="1223"/>
      <c r="Y283" s="1223"/>
      <c r="Z283" s="1223"/>
      <c r="AA283" s="1224"/>
      <c r="AB283" s="310"/>
      <c r="AC283" s="1195" t="str">
        <f>BASE!F97</f>
        <v>Adquisición de vehículo para la supervisión y monitoreo del servicio de limpieza pública</v>
      </c>
      <c r="AD283" s="1196"/>
      <c r="AE283" s="1196"/>
      <c r="AF283" s="1196"/>
      <c r="AG283" s="1196"/>
      <c r="AH283" s="1196"/>
      <c r="AI283" s="1196"/>
      <c r="AJ283" s="1196"/>
      <c r="AK283" s="1196"/>
      <c r="AL283" s="1196"/>
      <c r="AM283" s="1196"/>
      <c r="AN283" s="1196"/>
      <c r="AO283" s="1196"/>
      <c r="AP283" s="1196"/>
      <c r="AQ283" s="1196"/>
      <c r="AR283" s="1196"/>
      <c r="AS283" s="1196"/>
      <c r="AT283" s="1196"/>
      <c r="AU283" s="1196"/>
      <c r="AV283" s="1196"/>
      <c r="AW283" s="1197"/>
      <c r="AX283" s="1222"/>
      <c r="AY283" s="1223"/>
      <c r="AZ283" s="1224"/>
      <c r="BA283" s="291"/>
      <c r="BB283" s="291"/>
    </row>
    <row r="284" spans="1:54" s="312" customFormat="1" ht="18" customHeight="1">
      <c r="A284" s="311"/>
      <c r="B284" s="1222"/>
      <c r="C284" s="1223"/>
      <c r="D284" s="1223"/>
      <c r="E284" s="1223"/>
      <c r="F284" s="1223"/>
      <c r="G284" s="1223"/>
      <c r="H284" s="1223"/>
      <c r="I284" s="1223"/>
      <c r="J284" s="1224"/>
      <c r="K284" s="1222"/>
      <c r="L284" s="1223"/>
      <c r="M284" s="1223"/>
      <c r="N284" s="1223"/>
      <c r="O284" s="1223"/>
      <c r="P284" s="1223"/>
      <c r="Q284" s="1223"/>
      <c r="R284" s="1223"/>
      <c r="S284" s="1223"/>
      <c r="T284" s="1223"/>
      <c r="U284" s="1223"/>
      <c r="V284" s="1223"/>
      <c r="W284" s="1223"/>
      <c r="X284" s="1223"/>
      <c r="Y284" s="1223"/>
      <c r="Z284" s="1223"/>
      <c r="AA284" s="1224"/>
      <c r="AB284" s="310"/>
      <c r="AC284" s="1195" t="str">
        <f>BASE!F99</f>
        <v xml:space="preserve">Mejoramiento del marco normativo local asociado al servicio de limpieza pública. </v>
      </c>
      <c r="AD284" s="1196"/>
      <c r="AE284" s="1196"/>
      <c r="AF284" s="1196"/>
      <c r="AG284" s="1196"/>
      <c r="AH284" s="1196"/>
      <c r="AI284" s="1196"/>
      <c r="AJ284" s="1196"/>
      <c r="AK284" s="1196"/>
      <c r="AL284" s="1196"/>
      <c r="AM284" s="1196"/>
      <c r="AN284" s="1196"/>
      <c r="AO284" s="1196"/>
      <c r="AP284" s="1196"/>
      <c r="AQ284" s="1196"/>
      <c r="AR284" s="1196"/>
      <c r="AS284" s="1196"/>
      <c r="AT284" s="1196"/>
      <c r="AU284" s="1196"/>
      <c r="AV284" s="1196"/>
      <c r="AW284" s="1197"/>
      <c r="AX284" s="1222"/>
      <c r="AY284" s="1223"/>
      <c r="AZ284" s="1224"/>
      <c r="BA284" s="291"/>
      <c r="BB284" s="291"/>
    </row>
    <row r="285" spans="1:54" s="312" customFormat="1" ht="18" customHeight="1">
      <c r="A285" s="311"/>
      <c r="B285" s="1222"/>
      <c r="C285" s="1223"/>
      <c r="D285" s="1223"/>
      <c r="E285" s="1223"/>
      <c r="F285" s="1223"/>
      <c r="G285" s="1223"/>
      <c r="H285" s="1223"/>
      <c r="I285" s="1223"/>
      <c r="J285" s="1224"/>
      <c r="K285" s="1222"/>
      <c r="L285" s="1223"/>
      <c r="M285" s="1223"/>
      <c r="N285" s="1223"/>
      <c r="O285" s="1223"/>
      <c r="P285" s="1223"/>
      <c r="Q285" s="1223"/>
      <c r="R285" s="1223"/>
      <c r="S285" s="1223"/>
      <c r="T285" s="1223"/>
      <c r="U285" s="1223"/>
      <c r="V285" s="1223"/>
      <c r="W285" s="1223"/>
      <c r="X285" s="1223"/>
      <c r="Y285" s="1223"/>
      <c r="Z285" s="1223"/>
      <c r="AA285" s="1224"/>
      <c r="AB285" s="310"/>
      <c r="AC285" s="1195" t="str">
        <f>BASE!F101</f>
        <v xml:space="preserve">Desarrollo de un programa de control y mejora del servicio de limpieza pública. </v>
      </c>
      <c r="AD285" s="1196"/>
      <c r="AE285" s="1196"/>
      <c r="AF285" s="1196"/>
      <c r="AG285" s="1196"/>
      <c r="AH285" s="1196"/>
      <c r="AI285" s="1196"/>
      <c r="AJ285" s="1196"/>
      <c r="AK285" s="1196"/>
      <c r="AL285" s="1196"/>
      <c r="AM285" s="1196"/>
      <c r="AN285" s="1196"/>
      <c r="AO285" s="1196"/>
      <c r="AP285" s="1196"/>
      <c r="AQ285" s="1196"/>
      <c r="AR285" s="1196"/>
      <c r="AS285" s="1196"/>
      <c r="AT285" s="1196"/>
      <c r="AU285" s="1196"/>
      <c r="AV285" s="1196"/>
      <c r="AW285" s="1197"/>
      <c r="AX285" s="1222"/>
      <c r="AY285" s="1223"/>
      <c r="AZ285" s="1224"/>
      <c r="BA285" s="291"/>
      <c r="BB285" s="291"/>
    </row>
    <row r="286" spans="1:54" s="312" customFormat="1" ht="18" customHeight="1">
      <c r="A286" s="311"/>
      <c r="B286" s="1201"/>
      <c r="C286" s="1202"/>
      <c r="D286" s="1202"/>
      <c r="E286" s="1202"/>
      <c r="F286" s="1202"/>
      <c r="G286" s="1202"/>
      <c r="H286" s="1202"/>
      <c r="I286" s="1202"/>
      <c r="J286" s="1203"/>
      <c r="K286" s="1201"/>
      <c r="L286" s="1202"/>
      <c r="M286" s="1202"/>
      <c r="N286" s="1202"/>
      <c r="O286" s="1202"/>
      <c r="P286" s="1202"/>
      <c r="Q286" s="1202"/>
      <c r="R286" s="1202"/>
      <c r="S286" s="1202"/>
      <c r="T286" s="1202"/>
      <c r="U286" s="1202"/>
      <c r="V286" s="1202"/>
      <c r="W286" s="1202"/>
      <c r="X286" s="1202"/>
      <c r="Y286" s="1202"/>
      <c r="Z286" s="1202"/>
      <c r="AA286" s="1203"/>
      <c r="AB286" s="310"/>
      <c r="AC286" s="1218" t="s">
        <v>800</v>
      </c>
      <c r="AD286" s="1219"/>
      <c r="AE286" s="1219"/>
      <c r="AF286" s="1219"/>
      <c r="AG286" s="1219"/>
      <c r="AH286" s="1219"/>
      <c r="AI286" s="1219"/>
      <c r="AJ286" s="1219"/>
      <c r="AK286" s="1219"/>
      <c r="AL286" s="1219"/>
      <c r="AM286" s="1219"/>
      <c r="AN286" s="1219"/>
      <c r="AO286" s="1219"/>
      <c r="AP286" s="1219"/>
      <c r="AQ286" s="1219"/>
      <c r="AR286" s="1219"/>
      <c r="AS286" s="1219"/>
      <c r="AT286" s="1219"/>
      <c r="AU286" s="1219"/>
      <c r="AV286" s="1219"/>
      <c r="AW286" s="1220"/>
      <c r="AX286" s="1201"/>
      <c r="AY286" s="1202"/>
      <c r="AZ286" s="1203"/>
      <c r="BA286" s="291"/>
      <c r="BB286" s="291"/>
    </row>
    <row r="287" spans="1:54" s="291" customFormat="1" ht="18" customHeight="1">
      <c r="A287" s="297"/>
      <c r="B287" s="1341" t="str">
        <f>$C$244</f>
        <v>Adecuada educación y cultura ambiental de la población</v>
      </c>
      <c r="C287" s="1341"/>
      <c r="D287" s="1341"/>
      <c r="E287" s="1341"/>
      <c r="F287" s="1341"/>
      <c r="G287" s="1341"/>
      <c r="H287" s="1341"/>
      <c r="I287" s="1341"/>
      <c r="J287" s="1341"/>
      <c r="K287" s="1198" t="str">
        <f>BASE!D102</f>
        <v>Adecuada difusión y sensibilización sobre temas ambientales y sanitarios.</v>
      </c>
      <c r="L287" s="1199"/>
      <c r="M287" s="1199"/>
      <c r="N287" s="1199"/>
      <c r="O287" s="1199"/>
      <c r="P287" s="1199"/>
      <c r="Q287" s="1199"/>
      <c r="R287" s="1199"/>
      <c r="S287" s="1199"/>
      <c r="T287" s="1199"/>
      <c r="U287" s="1199"/>
      <c r="V287" s="1199"/>
      <c r="W287" s="1199"/>
      <c r="X287" s="1199"/>
      <c r="Y287" s="1199"/>
      <c r="Z287" s="1199"/>
      <c r="AA287" s="1200"/>
      <c r="AB287" s="310"/>
      <c r="AC287" s="1195" t="str">
        <f>BASE!F103</f>
        <v>Desarrollo y difusión de material material informativo y educativo para la población</v>
      </c>
      <c r="AD287" s="1196"/>
      <c r="AE287" s="1196"/>
      <c r="AF287" s="1196"/>
      <c r="AG287" s="1196"/>
      <c r="AH287" s="1196"/>
      <c r="AI287" s="1196"/>
      <c r="AJ287" s="1196"/>
      <c r="AK287" s="1196"/>
      <c r="AL287" s="1196"/>
      <c r="AM287" s="1196"/>
      <c r="AN287" s="1196"/>
      <c r="AO287" s="1196"/>
      <c r="AP287" s="1196"/>
      <c r="AQ287" s="1196"/>
      <c r="AR287" s="1196"/>
      <c r="AS287" s="1196"/>
      <c r="AT287" s="1196"/>
      <c r="AU287" s="1196"/>
      <c r="AV287" s="1196"/>
      <c r="AW287" s="1197"/>
      <c r="AX287" s="1198"/>
      <c r="AY287" s="1199"/>
      <c r="AZ287" s="1200"/>
    </row>
    <row r="288" spans="1:54" s="291" customFormat="1" ht="18" customHeight="1">
      <c r="A288" s="297"/>
      <c r="B288" s="1341"/>
      <c r="C288" s="1341"/>
      <c r="D288" s="1341"/>
      <c r="E288" s="1341"/>
      <c r="F288" s="1341"/>
      <c r="G288" s="1341"/>
      <c r="H288" s="1341"/>
      <c r="I288" s="1341"/>
      <c r="J288" s="1341"/>
      <c r="K288" s="1201"/>
      <c r="L288" s="1202"/>
      <c r="M288" s="1202"/>
      <c r="N288" s="1202"/>
      <c r="O288" s="1202"/>
      <c r="P288" s="1202"/>
      <c r="Q288" s="1202"/>
      <c r="R288" s="1202"/>
      <c r="S288" s="1202"/>
      <c r="T288" s="1202"/>
      <c r="U288" s="1202"/>
      <c r="V288" s="1202"/>
      <c r="W288" s="1202"/>
      <c r="X288" s="1202"/>
      <c r="Y288" s="1202"/>
      <c r="Z288" s="1202"/>
      <c r="AA288" s="1203"/>
      <c r="AB288" s="310"/>
      <c r="AC288" s="1218" t="s">
        <v>800</v>
      </c>
      <c r="AD288" s="1219"/>
      <c r="AE288" s="1219"/>
      <c r="AF288" s="1219"/>
      <c r="AG288" s="1219"/>
      <c r="AH288" s="1219"/>
      <c r="AI288" s="1219"/>
      <c r="AJ288" s="1219"/>
      <c r="AK288" s="1219"/>
      <c r="AL288" s="1219"/>
      <c r="AM288" s="1219"/>
      <c r="AN288" s="1219"/>
      <c r="AO288" s="1219"/>
      <c r="AP288" s="1219"/>
      <c r="AQ288" s="1219"/>
      <c r="AR288" s="1219"/>
      <c r="AS288" s="1219"/>
      <c r="AT288" s="1219"/>
      <c r="AU288" s="1219"/>
      <c r="AV288" s="1219"/>
      <c r="AW288" s="1220"/>
      <c r="AX288" s="1222"/>
      <c r="AY288" s="1223"/>
      <c r="AZ288" s="1224"/>
    </row>
    <row r="289" spans="1:69" s="291" customFormat="1" ht="36" customHeight="1">
      <c r="A289" s="297"/>
      <c r="B289" s="1341"/>
      <c r="C289" s="1341"/>
      <c r="D289" s="1341"/>
      <c r="E289" s="1341"/>
      <c r="F289" s="1341"/>
      <c r="G289" s="1341"/>
      <c r="H289" s="1341"/>
      <c r="I289" s="1341"/>
      <c r="J289" s="1341"/>
      <c r="K289" s="1341" t="str">
        <f>BASE!D104</f>
        <v>Adecuada participación de la ciudadana para el manejo de residuos sólidos</v>
      </c>
      <c r="L289" s="1341"/>
      <c r="M289" s="1341"/>
      <c r="N289" s="1341"/>
      <c r="O289" s="1341"/>
      <c r="P289" s="1341"/>
      <c r="Q289" s="1341"/>
      <c r="R289" s="1341"/>
      <c r="S289" s="1341"/>
      <c r="T289" s="1341"/>
      <c r="U289" s="1341"/>
      <c r="V289" s="1341"/>
      <c r="W289" s="1341"/>
      <c r="X289" s="1341"/>
      <c r="Y289" s="1341"/>
      <c r="Z289" s="1341"/>
      <c r="AA289" s="1341"/>
      <c r="AB289" s="310"/>
      <c r="AC289" s="1195" t="str">
        <f>BASE!F105</f>
        <v>Desarrollo de un programa de participación ciudadana para la mejora del manejo de los residuos sólidos a nivel local</v>
      </c>
      <c r="AD289" s="1196"/>
      <c r="AE289" s="1196"/>
      <c r="AF289" s="1196"/>
      <c r="AG289" s="1196"/>
      <c r="AH289" s="1196"/>
      <c r="AI289" s="1196"/>
      <c r="AJ289" s="1196"/>
      <c r="AK289" s="1196"/>
      <c r="AL289" s="1196"/>
      <c r="AM289" s="1196"/>
      <c r="AN289" s="1196"/>
      <c r="AO289" s="1196"/>
      <c r="AP289" s="1196"/>
      <c r="AQ289" s="1196"/>
      <c r="AR289" s="1196"/>
      <c r="AS289" s="1196"/>
      <c r="AT289" s="1196"/>
      <c r="AU289" s="1196"/>
      <c r="AV289" s="1196"/>
      <c r="AW289" s="1197"/>
      <c r="AX289" s="1222"/>
      <c r="AY289" s="1223"/>
      <c r="AZ289" s="1224"/>
    </row>
    <row r="290" spans="1:69" s="291" customFormat="1" ht="36" customHeight="1">
      <c r="A290" s="297"/>
      <c r="B290" s="1341"/>
      <c r="C290" s="1341"/>
      <c r="D290" s="1341"/>
      <c r="E290" s="1341"/>
      <c r="F290" s="1341"/>
      <c r="G290" s="1341"/>
      <c r="H290" s="1341"/>
      <c r="I290" s="1341"/>
      <c r="J290" s="1341"/>
      <c r="K290" s="1341"/>
      <c r="L290" s="1341"/>
      <c r="M290" s="1341"/>
      <c r="N290" s="1341"/>
      <c r="O290" s="1341"/>
      <c r="P290" s="1341"/>
      <c r="Q290" s="1341"/>
      <c r="R290" s="1341"/>
      <c r="S290" s="1341"/>
      <c r="T290" s="1341"/>
      <c r="U290" s="1341"/>
      <c r="V290" s="1341"/>
      <c r="W290" s="1341"/>
      <c r="X290" s="1341"/>
      <c r="Y290" s="1341"/>
      <c r="Z290" s="1341"/>
      <c r="AA290" s="1341"/>
      <c r="AB290" s="310"/>
      <c r="AC290" s="1195" t="str">
        <f>BASE!F107</f>
        <v>Desarrollo de un programa de participación escolar para la mejora del manejo de los residuos sólidos a nivel local</v>
      </c>
      <c r="AD290" s="1196"/>
      <c r="AE290" s="1196"/>
      <c r="AF290" s="1196"/>
      <c r="AG290" s="1196"/>
      <c r="AH290" s="1196"/>
      <c r="AI290" s="1196"/>
      <c r="AJ290" s="1196"/>
      <c r="AK290" s="1196"/>
      <c r="AL290" s="1196"/>
      <c r="AM290" s="1196"/>
      <c r="AN290" s="1196"/>
      <c r="AO290" s="1196"/>
      <c r="AP290" s="1196"/>
      <c r="AQ290" s="1196"/>
      <c r="AR290" s="1196"/>
      <c r="AS290" s="1196"/>
      <c r="AT290" s="1196"/>
      <c r="AU290" s="1196"/>
      <c r="AV290" s="1196"/>
      <c r="AW290" s="1197"/>
      <c r="AX290" s="1222"/>
      <c r="AY290" s="1223"/>
      <c r="AZ290" s="1224"/>
    </row>
    <row r="291" spans="1:69" s="312" customFormat="1" ht="18" customHeight="1">
      <c r="A291" s="311"/>
      <c r="B291" s="1341"/>
      <c r="C291" s="1341"/>
      <c r="D291" s="1341"/>
      <c r="E291" s="1341"/>
      <c r="F291" s="1341"/>
      <c r="G291" s="1341"/>
      <c r="H291" s="1341"/>
      <c r="I291" s="1341"/>
      <c r="J291" s="1341"/>
      <c r="K291" s="1341"/>
      <c r="L291" s="1341"/>
      <c r="M291" s="1341"/>
      <c r="N291" s="1341"/>
      <c r="O291" s="1341"/>
      <c r="P291" s="1341"/>
      <c r="Q291" s="1341"/>
      <c r="R291" s="1341"/>
      <c r="S291" s="1341"/>
      <c r="T291" s="1341"/>
      <c r="U291" s="1341"/>
      <c r="V291" s="1341"/>
      <c r="W291" s="1341"/>
      <c r="X291" s="1341"/>
      <c r="Y291" s="1341"/>
      <c r="Z291" s="1341"/>
      <c r="AA291" s="1341"/>
      <c r="AB291" s="310"/>
      <c r="AC291" s="1218" t="s">
        <v>800</v>
      </c>
      <c r="AD291" s="1219"/>
      <c r="AE291" s="1219"/>
      <c r="AF291" s="1219"/>
      <c r="AG291" s="1219"/>
      <c r="AH291" s="1219"/>
      <c r="AI291" s="1219"/>
      <c r="AJ291" s="1219"/>
      <c r="AK291" s="1219"/>
      <c r="AL291" s="1219"/>
      <c r="AM291" s="1219"/>
      <c r="AN291" s="1219"/>
      <c r="AO291" s="1219"/>
      <c r="AP291" s="1219"/>
      <c r="AQ291" s="1219"/>
      <c r="AR291" s="1219"/>
      <c r="AS291" s="1219"/>
      <c r="AT291" s="1219"/>
      <c r="AU291" s="1219"/>
      <c r="AV291" s="1219"/>
      <c r="AW291" s="1220"/>
      <c r="AX291" s="1201"/>
      <c r="AY291" s="1202"/>
      <c r="AZ291" s="1203"/>
      <c r="BA291" s="291"/>
      <c r="BB291" s="291"/>
    </row>
    <row r="292" spans="1:69" s="291" customFormat="1" ht="18" customHeight="1">
      <c r="A292" s="297"/>
      <c r="B292" s="308"/>
      <c r="C292" s="308"/>
      <c r="D292" s="308"/>
      <c r="E292" s="289"/>
      <c r="F292" s="289"/>
      <c r="G292" s="289"/>
      <c r="H292" s="289"/>
      <c r="I292" s="289"/>
      <c r="J292" s="289"/>
      <c r="K292" s="308"/>
      <c r="L292" s="308"/>
      <c r="M292" s="308"/>
      <c r="N292" s="308"/>
      <c r="O292" s="308"/>
      <c r="P292" s="308"/>
      <c r="Q292" s="309"/>
      <c r="R292" s="309"/>
      <c r="S292" s="308"/>
      <c r="T292" s="308"/>
      <c r="U292" s="289"/>
      <c r="V292" s="289"/>
      <c r="W292" s="289"/>
      <c r="X292" s="289"/>
      <c r="Y292" s="308"/>
      <c r="Z292" s="308"/>
      <c r="AA292" s="308"/>
      <c r="AB292" s="293"/>
      <c r="AC292" s="293"/>
      <c r="AD292" s="293"/>
      <c r="AE292" s="293"/>
      <c r="AF292" s="293"/>
      <c r="AG292" s="293"/>
      <c r="AH292" s="293"/>
      <c r="AI292" s="293"/>
      <c r="AJ292" s="293"/>
      <c r="AK292" s="293"/>
      <c r="AL292" s="293"/>
      <c r="AM292" s="293"/>
      <c r="AN292" s="293"/>
      <c r="AO292" s="293"/>
      <c r="AP292" s="293"/>
      <c r="AQ292" s="293"/>
      <c r="AR292" s="293"/>
      <c r="AS292" s="293"/>
      <c r="AT292" s="293"/>
      <c r="AU292" s="293"/>
      <c r="AV292" s="293"/>
      <c r="AW292" s="293"/>
      <c r="AX292" s="293"/>
      <c r="AY292" s="293"/>
      <c r="AZ292" s="293"/>
    </row>
    <row r="293" spans="1:69" s="291" customFormat="1" ht="18" customHeight="1">
      <c r="A293" s="297"/>
      <c r="B293" s="308"/>
      <c r="C293" s="308"/>
      <c r="D293" s="308"/>
      <c r="E293" s="289"/>
      <c r="F293" s="289"/>
      <c r="G293" s="289"/>
      <c r="H293" s="289"/>
      <c r="I293" s="289"/>
      <c r="J293" s="289"/>
      <c r="K293" s="308"/>
      <c r="L293" s="308"/>
      <c r="M293" s="308"/>
      <c r="N293" s="308"/>
      <c r="O293" s="308"/>
      <c r="P293" s="308"/>
      <c r="Q293" s="309"/>
      <c r="R293" s="309"/>
      <c r="S293" s="308"/>
      <c r="T293" s="308"/>
      <c r="U293" s="289"/>
      <c r="V293" s="289"/>
      <c r="W293" s="289"/>
      <c r="X293" s="289"/>
      <c r="Y293" s="308"/>
      <c r="Z293" s="308"/>
      <c r="AA293" s="308"/>
      <c r="AB293" s="293"/>
      <c r="AC293" s="293"/>
      <c r="AD293" s="293"/>
      <c r="AE293" s="293"/>
      <c r="AF293" s="293"/>
      <c r="AG293" s="293"/>
      <c r="AH293" s="293"/>
      <c r="AI293" s="293"/>
      <c r="AJ293" s="293"/>
      <c r="AK293" s="293"/>
      <c r="AL293" s="293"/>
      <c r="AM293" s="293"/>
      <c r="AN293" s="293"/>
      <c r="AO293" s="293"/>
      <c r="AP293" s="293"/>
      <c r="AQ293" s="293"/>
      <c r="AR293" s="293"/>
      <c r="AS293" s="293"/>
      <c r="AT293" s="293"/>
      <c r="AU293" s="293"/>
      <c r="AV293" s="293"/>
      <c r="AW293" s="293"/>
      <c r="AX293" s="293"/>
      <c r="AY293" s="293"/>
      <c r="AZ293" s="293"/>
    </row>
    <row r="294" spans="1:69" s="291" customFormat="1" ht="18" customHeight="1">
      <c r="A294" s="292" t="s">
        <v>2592</v>
      </c>
      <c r="B294" s="295" t="s">
        <v>394</v>
      </c>
      <c r="C294" s="287"/>
      <c r="D294" s="287"/>
      <c r="E294" s="288"/>
      <c r="F294" s="288"/>
      <c r="G294" s="288"/>
      <c r="H294" s="288"/>
      <c r="I294" s="288"/>
      <c r="J294" s="288"/>
      <c r="K294" s="287"/>
      <c r="L294" s="287"/>
      <c r="M294" s="287"/>
      <c r="N294" s="287"/>
      <c r="O294" s="287"/>
      <c r="P294" s="287"/>
      <c r="Q294" s="488"/>
      <c r="R294" s="488"/>
      <c r="S294" s="287"/>
      <c r="T294" s="287"/>
      <c r="U294" s="288"/>
      <c r="V294" s="288"/>
      <c r="W294" s="288"/>
      <c r="X294" s="288"/>
      <c r="Y294" s="287"/>
      <c r="Z294" s="287"/>
      <c r="AA294" s="287"/>
      <c r="AB294" s="313"/>
      <c r="AC294" s="313"/>
      <c r="AD294" s="313"/>
      <c r="AE294" s="313"/>
      <c r="AF294" s="313"/>
      <c r="AG294" s="313"/>
      <c r="AH294" s="313"/>
      <c r="AI294" s="313"/>
      <c r="AJ294" s="313"/>
      <c r="AK294" s="313"/>
      <c r="AL294" s="313"/>
      <c r="AM294" s="313"/>
      <c r="AN294" s="313"/>
      <c r="AO294" s="313"/>
      <c r="AP294" s="313"/>
      <c r="AQ294" s="313"/>
      <c r="AR294" s="313"/>
      <c r="AS294" s="313"/>
      <c r="AT294" s="313"/>
      <c r="AU294" s="313"/>
      <c r="AV294" s="313"/>
      <c r="AW294" s="313"/>
      <c r="AX294" s="293"/>
      <c r="AY294" s="293"/>
      <c r="AZ294" s="293"/>
    </row>
    <row r="295" spans="1:69" s="291" customFormat="1" ht="18" customHeight="1">
      <c r="A295" s="294"/>
      <c r="B295" s="287"/>
      <c r="C295" s="287"/>
      <c r="D295" s="287"/>
      <c r="E295" s="288"/>
      <c r="F295" s="288"/>
      <c r="G295" s="288"/>
      <c r="H295" s="288"/>
      <c r="I295" s="288"/>
      <c r="J295" s="288"/>
      <c r="K295" s="287"/>
      <c r="L295" s="287"/>
      <c r="M295" s="287"/>
      <c r="N295" s="287"/>
      <c r="O295" s="287"/>
      <c r="P295" s="287"/>
      <c r="Q295" s="488"/>
      <c r="R295" s="488"/>
      <c r="S295" s="287"/>
      <c r="T295" s="287"/>
      <c r="U295" s="288"/>
      <c r="V295" s="288"/>
      <c r="W295" s="288"/>
      <c r="X295" s="288"/>
      <c r="Y295" s="287"/>
      <c r="Z295" s="287"/>
      <c r="AA295" s="287"/>
      <c r="AB295" s="313"/>
      <c r="AC295" s="313"/>
      <c r="AD295" s="313"/>
      <c r="AE295" s="313"/>
      <c r="AF295" s="313"/>
      <c r="AG295" s="313"/>
      <c r="AH295" s="313"/>
      <c r="AI295" s="313"/>
      <c r="AJ295" s="313"/>
      <c r="AK295" s="313"/>
      <c r="AL295" s="313"/>
      <c r="AM295" s="313"/>
      <c r="AN295" s="313"/>
      <c r="AO295" s="313"/>
      <c r="AP295" s="313"/>
      <c r="AQ295" s="313"/>
      <c r="AR295" s="313"/>
      <c r="AS295" s="313"/>
      <c r="AT295" s="313"/>
      <c r="AU295" s="313"/>
      <c r="AV295" s="313"/>
      <c r="AW295" s="313"/>
      <c r="AX295" s="293"/>
      <c r="AY295" s="293"/>
      <c r="AZ295" s="293"/>
    </row>
    <row r="296" spans="1:69" s="325" customFormat="1" ht="18" customHeight="1">
      <c r="A296" s="308"/>
      <c r="B296" s="1221" t="s">
        <v>514</v>
      </c>
      <c r="C296" s="1221"/>
      <c r="D296" s="1221"/>
      <c r="E296" s="1221"/>
      <c r="F296" s="1221"/>
      <c r="G296" s="1221"/>
      <c r="H296" s="1221"/>
      <c r="I296" s="1221"/>
      <c r="J296" s="1221"/>
      <c r="K296" s="1221"/>
      <c r="L296" s="1221"/>
      <c r="M296" s="1221"/>
      <c r="N296" s="1221"/>
      <c r="O296" s="1221"/>
      <c r="P296" s="1221"/>
      <c r="Q296" s="1221"/>
      <c r="R296" s="1221"/>
      <c r="S296" s="1221"/>
      <c r="T296" s="1221"/>
      <c r="U296" s="1221"/>
      <c r="V296" s="1221" t="s">
        <v>515</v>
      </c>
      <c r="W296" s="1221"/>
      <c r="X296" s="1221"/>
      <c r="Y296" s="1221"/>
      <c r="Z296" s="1221"/>
      <c r="AA296" s="1221"/>
      <c r="AB296" s="1221"/>
      <c r="AC296" s="1221"/>
      <c r="AD296" s="1221"/>
      <c r="AE296" s="1221"/>
      <c r="AF296" s="1221"/>
      <c r="AG296" s="1221"/>
      <c r="AH296" s="1221"/>
      <c r="AI296" s="1221"/>
      <c r="AJ296" s="1221"/>
      <c r="AK296" s="1221"/>
      <c r="AL296" s="1221"/>
      <c r="AM296" s="1221"/>
      <c r="AN296" s="1221"/>
      <c r="AO296" s="1221"/>
      <c r="AP296" s="1256" t="s">
        <v>780</v>
      </c>
      <c r="AQ296" s="1256"/>
      <c r="AR296" s="1256"/>
      <c r="AS296" s="1256"/>
      <c r="AT296" s="1256"/>
      <c r="AU296" s="1256"/>
      <c r="AV296" s="1256"/>
      <c r="AW296" s="1256"/>
      <c r="AX296" s="1256"/>
      <c r="AY296" s="1256"/>
      <c r="AZ296" s="1256"/>
      <c r="BA296" s="291"/>
      <c r="BB296" s="291"/>
      <c r="BC296" s="308"/>
      <c r="BD296" s="308"/>
      <c r="BE296" s="308"/>
    </row>
    <row r="297" spans="1:69" s="325" customFormat="1" ht="36" customHeight="1">
      <c r="A297" s="308"/>
      <c r="B297" s="1208" t="s">
        <v>516</v>
      </c>
      <c r="C297" s="1208"/>
      <c r="D297" s="1208"/>
      <c r="E297" s="1208"/>
      <c r="F297" s="1208"/>
      <c r="G297" s="1487" t="s">
        <v>517</v>
      </c>
      <c r="H297" s="1487"/>
      <c r="I297" s="1487"/>
      <c r="J297" s="1487"/>
      <c r="K297" s="1487"/>
      <c r="L297" s="1487"/>
      <c r="M297" s="1487"/>
      <c r="N297" s="1487"/>
      <c r="O297" s="1487"/>
      <c r="P297" s="1487"/>
      <c r="Q297" s="1487"/>
      <c r="R297" s="1487"/>
      <c r="S297" s="1487"/>
      <c r="T297" s="1487"/>
      <c r="U297" s="1165"/>
      <c r="V297" s="1257" t="str">
        <f>+IF(BF297=FALSE,"","CARGO DE INICIO DE TRÁMITE DE INSCRIPCIÓN ANTE SUNARP (COMPRA-VENTA, CESIÓN EN USO, DONACIÓN, TRANSFERENCIA U OTRO MECANISMO LEGAL)")</f>
        <v>CARGO DE INICIO DE TRÁMITE DE INSCRIPCIÓN ANTE SUNARP (COMPRA-VENTA, CESIÓN EN USO, DONACIÓN, TRANSFERENCIA U OTRO MECANISMO LEGAL)</v>
      </c>
      <c r="W297" s="1257"/>
      <c r="X297" s="1257"/>
      <c r="Y297" s="1257"/>
      <c r="Z297" s="1257"/>
      <c r="AA297" s="1257"/>
      <c r="AB297" s="1257"/>
      <c r="AC297" s="1257"/>
      <c r="AD297" s="1257"/>
      <c r="AE297" s="1257"/>
      <c r="AF297" s="1257"/>
      <c r="AG297" s="1257"/>
      <c r="AH297" s="1257"/>
      <c r="AI297" s="1257"/>
      <c r="AJ297" s="1257"/>
      <c r="AK297" s="1257"/>
      <c r="AL297" s="1257"/>
      <c r="AM297" s="1257"/>
      <c r="AN297" s="1257"/>
      <c r="AO297" s="1257"/>
      <c r="AP297" s="1225" t="str">
        <f>+IF(V297="","","TERRENO REGISTRADO EN SUNARP A FAVOR DEL MUNICIPIO")</f>
        <v>TERRENO REGISTRADO EN SUNARP A FAVOR DEL MUNICIPIO</v>
      </c>
      <c r="AQ297" s="1225"/>
      <c r="AR297" s="1225"/>
      <c r="AS297" s="1225"/>
      <c r="AT297" s="1225"/>
      <c r="AU297" s="1225"/>
      <c r="AV297" s="1225"/>
      <c r="AW297" s="1225"/>
      <c r="AX297" s="1225"/>
      <c r="AY297" s="1225"/>
      <c r="AZ297" s="1225"/>
      <c r="BA297" s="291"/>
      <c r="BB297" s="291"/>
      <c r="BC297" s="308"/>
      <c r="BD297" s="308"/>
      <c r="BE297" s="308"/>
      <c r="BF297" s="325" t="b">
        <v>1</v>
      </c>
    </row>
    <row r="298" spans="1:69" s="325" customFormat="1" ht="36" customHeight="1">
      <c r="A298" s="308"/>
      <c r="B298" s="1208"/>
      <c r="C298" s="1208"/>
      <c r="D298" s="1208"/>
      <c r="E298" s="1208"/>
      <c r="F298" s="1208"/>
      <c r="G298" s="1487" t="s">
        <v>518</v>
      </c>
      <c r="H298" s="1487"/>
      <c r="I298" s="1487"/>
      <c r="J298" s="1487"/>
      <c r="K298" s="1487"/>
      <c r="L298" s="1487"/>
      <c r="M298" s="1487"/>
      <c r="N298" s="1487"/>
      <c r="O298" s="1487"/>
      <c r="P298" s="1487"/>
      <c r="Q298" s="1487" t="str">
        <f>+IF(Q216=FALSE,"","PARTIDA REGISTRAL ACTUALIZADA Y SOLICITUD DE TRANSFERENCIA DEL TERRENO A FAVOR DE LA MUNICIPALIDAD")</f>
        <v/>
      </c>
      <c r="R298" s="1487"/>
      <c r="S298" s="1487"/>
      <c r="T298" s="1487"/>
      <c r="U298" s="1165"/>
      <c r="V298" s="1257" t="str">
        <f>+IF(BF298=FALSE,"","PARTIDA REGISTRAL ACTUALIZADA Y SOLICITUD DE TRANSFERENCIA DEL TERRENO A FAVOR DE LA MUNICIPALIDAD")</f>
        <v>PARTIDA REGISTRAL ACTUALIZADA Y SOLICITUD DE TRANSFERENCIA DEL TERRENO A FAVOR DE LA MUNICIPALIDAD</v>
      </c>
      <c r="W298" s="1257"/>
      <c r="X298" s="1257"/>
      <c r="Y298" s="1257"/>
      <c r="Z298" s="1257"/>
      <c r="AA298" s="1257"/>
      <c r="AB298" s="1257"/>
      <c r="AC298" s="1257"/>
      <c r="AD298" s="1257"/>
      <c r="AE298" s="1257"/>
      <c r="AF298" s="1257"/>
      <c r="AG298" s="1257"/>
      <c r="AH298" s="1257"/>
      <c r="AI298" s="1257"/>
      <c r="AJ298" s="1257"/>
      <c r="AK298" s="1257"/>
      <c r="AL298" s="1257"/>
      <c r="AM298" s="1257"/>
      <c r="AN298" s="1257"/>
      <c r="AO298" s="1257"/>
      <c r="AP298" s="1371" t="str">
        <f>+IF(V298="","","PARTIDA REGISTRAL ACTUALIZADA (INCLUYE TRANSFERENCIA)")</f>
        <v>PARTIDA REGISTRAL ACTUALIZADA (INCLUYE TRANSFERENCIA)</v>
      </c>
      <c r="AQ298" s="1372"/>
      <c r="AR298" s="1372"/>
      <c r="AS298" s="1372"/>
      <c r="AT298" s="1372"/>
      <c r="AU298" s="1372"/>
      <c r="AV298" s="1372"/>
      <c r="AW298" s="1372"/>
      <c r="AX298" s="1372"/>
      <c r="AY298" s="1372"/>
      <c r="AZ298" s="1373"/>
      <c r="BA298" s="291"/>
      <c r="BB298" s="291"/>
      <c r="BC298" s="308"/>
      <c r="BD298" s="308"/>
      <c r="BE298" s="308"/>
      <c r="BF298" s="325" t="b">
        <v>1</v>
      </c>
    </row>
    <row r="299" spans="1:69" s="325" customFormat="1" ht="36" customHeight="1">
      <c r="A299" s="308"/>
      <c r="B299" s="1208"/>
      <c r="C299" s="1208"/>
      <c r="D299" s="1208"/>
      <c r="E299" s="1208"/>
      <c r="F299" s="1208"/>
      <c r="G299" s="1487" t="s">
        <v>519</v>
      </c>
      <c r="H299" s="1487"/>
      <c r="I299" s="1487"/>
      <c r="J299" s="1487"/>
      <c r="K299" s="1487"/>
      <c r="L299" s="1487"/>
      <c r="M299" s="1487"/>
      <c r="N299" s="1487"/>
      <c r="O299" s="1487"/>
      <c r="P299" s="1487"/>
      <c r="Q299" s="1487" t="str">
        <f>+IF(Q217=FALSE,"","PARTIDA REGISTRAL ACTUALIZADA")</f>
        <v/>
      </c>
      <c r="R299" s="1487"/>
      <c r="S299" s="1487"/>
      <c r="T299" s="1487"/>
      <c r="U299" s="1165"/>
      <c r="V299" s="1257" t="str">
        <f>+IF(BF299=FALSE,"","PARTIDA REGISTRAL ACTUALIZADA")</f>
        <v>PARTIDA REGISTRAL ACTUALIZADA</v>
      </c>
      <c r="W299" s="1257"/>
      <c r="X299" s="1257"/>
      <c r="Y299" s="1257"/>
      <c r="Z299" s="1257"/>
      <c r="AA299" s="1257"/>
      <c r="AB299" s="1257"/>
      <c r="AC299" s="1257"/>
      <c r="AD299" s="1257"/>
      <c r="AE299" s="1257"/>
      <c r="AF299" s="1257"/>
      <c r="AG299" s="1257"/>
      <c r="AH299" s="1257"/>
      <c r="AI299" s="1257"/>
      <c r="AJ299" s="1257"/>
      <c r="AK299" s="1257"/>
      <c r="AL299" s="1257"/>
      <c r="AM299" s="1257"/>
      <c r="AN299" s="1257"/>
      <c r="AO299" s="1257"/>
      <c r="AP299" s="1225" t="str">
        <f>+IF(V299="","","PARTIDA REGISTRAL ACTUALIZADA")</f>
        <v>PARTIDA REGISTRAL ACTUALIZADA</v>
      </c>
      <c r="AQ299" s="1225"/>
      <c r="AR299" s="1225"/>
      <c r="AS299" s="1225"/>
      <c r="AT299" s="1225"/>
      <c r="AU299" s="1225"/>
      <c r="AV299" s="1225"/>
      <c r="AW299" s="1225"/>
      <c r="AX299" s="1225"/>
      <c r="AY299" s="1225"/>
      <c r="AZ299" s="1225"/>
      <c r="BA299" s="308"/>
      <c r="BB299" s="308"/>
      <c r="BC299" s="308"/>
      <c r="BD299" s="308"/>
      <c r="BE299" s="308"/>
      <c r="BF299" s="325" t="b">
        <v>1</v>
      </c>
    </row>
    <row r="300" spans="1:69" s="325" customFormat="1" ht="36" customHeight="1">
      <c r="A300" s="308"/>
      <c r="B300" s="1487" t="s">
        <v>781</v>
      </c>
      <c r="C300" s="1487"/>
      <c r="D300" s="1487"/>
      <c r="E300" s="1487"/>
      <c r="F300" s="1487"/>
      <c r="G300" s="1487"/>
      <c r="H300" s="1487"/>
      <c r="I300" s="1487"/>
      <c r="J300" s="1487"/>
      <c r="K300" s="1487"/>
      <c r="L300" s="1487"/>
      <c r="M300" s="1487"/>
      <c r="N300" s="1487"/>
      <c r="O300" s="1487"/>
      <c r="P300" s="1487"/>
      <c r="Q300" s="1487"/>
      <c r="R300" s="1487"/>
      <c r="S300" s="1487"/>
      <c r="T300" s="1487"/>
      <c r="U300" s="1165"/>
      <c r="V300" s="1257" t="str">
        <f>+IF(BF300=FALSE,"","CONVENIO DE FORMULACIÓN SUSCRITO ENTRE EL GL COMPETENTE Y GN O GR")</f>
        <v>CONVENIO DE FORMULACIÓN SUSCRITO ENTRE EL GL COMPETENTE Y GN O GR</v>
      </c>
      <c r="W300" s="1257"/>
      <c r="X300" s="1257"/>
      <c r="Y300" s="1257"/>
      <c r="Z300" s="1257"/>
      <c r="AA300" s="1257"/>
      <c r="AB300" s="1257"/>
      <c r="AC300" s="1257"/>
      <c r="AD300" s="1257"/>
      <c r="AE300" s="1257"/>
      <c r="AF300" s="1257"/>
      <c r="AG300" s="1257"/>
      <c r="AH300" s="1257"/>
      <c r="AI300" s="1257"/>
      <c r="AJ300" s="1257"/>
      <c r="AK300" s="1257"/>
      <c r="AL300" s="1257"/>
      <c r="AM300" s="1257"/>
      <c r="AN300" s="1257"/>
      <c r="AO300" s="1257"/>
      <c r="AP300" s="1225" t="str">
        <f>+IF(V300="","","CONVENIO DE EJECUCIÓN ENTRE GL COMPETENTE Y GN O GR")</f>
        <v>CONVENIO DE EJECUCIÓN ENTRE GL COMPETENTE Y GN O GR</v>
      </c>
      <c r="AQ300" s="1225"/>
      <c r="AR300" s="1225"/>
      <c r="AS300" s="1225"/>
      <c r="AT300" s="1225"/>
      <c r="AU300" s="1225"/>
      <c r="AV300" s="1225"/>
      <c r="AW300" s="1225"/>
      <c r="AX300" s="1225"/>
      <c r="AY300" s="1225"/>
      <c r="AZ300" s="1225"/>
      <c r="BA300" s="308"/>
      <c r="BB300" s="308"/>
      <c r="BC300" s="308"/>
      <c r="BD300" s="308"/>
      <c r="BE300" s="308"/>
      <c r="BF300" s="325" t="b">
        <v>1</v>
      </c>
    </row>
    <row r="301" spans="1:69" s="325" customFormat="1" ht="18" customHeight="1">
      <c r="A301" s="308"/>
      <c r="B301" s="1487" t="s">
        <v>782</v>
      </c>
      <c r="C301" s="1487"/>
      <c r="D301" s="1487"/>
      <c r="E301" s="1487"/>
      <c r="F301" s="1487"/>
      <c r="G301" s="1487"/>
      <c r="H301" s="1487"/>
      <c r="I301" s="1487"/>
      <c r="J301" s="1487"/>
      <c r="K301" s="1487"/>
      <c r="L301" s="1487"/>
      <c r="M301" s="1487"/>
      <c r="N301" s="1487"/>
      <c r="O301" s="1487"/>
      <c r="P301" s="1487"/>
      <c r="Q301" s="1487"/>
      <c r="R301" s="1487"/>
      <c r="S301" s="1487"/>
      <c r="T301" s="1487"/>
      <c r="U301" s="476"/>
      <c r="V301" s="1498"/>
      <c r="W301" s="1498"/>
      <c r="X301" s="1498"/>
      <c r="Y301" s="1498"/>
      <c r="Z301" s="1498"/>
      <c r="AA301" s="1498"/>
      <c r="AB301" s="1498"/>
      <c r="AC301" s="1498"/>
      <c r="AD301" s="1498"/>
      <c r="AE301" s="1498"/>
      <c r="AF301" s="1498"/>
      <c r="AG301" s="1498"/>
      <c r="AH301" s="1498"/>
      <c r="AI301" s="1498"/>
      <c r="AJ301" s="1498"/>
      <c r="AK301" s="1498"/>
      <c r="AL301" s="1498"/>
      <c r="AM301" s="1498"/>
      <c r="AN301" s="1498"/>
      <c r="AO301" s="1498"/>
      <c r="AP301" s="1498"/>
      <c r="AQ301" s="1498"/>
      <c r="AR301" s="1498"/>
      <c r="AS301" s="1498"/>
      <c r="AT301" s="1498"/>
      <c r="AU301" s="1498"/>
      <c r="AV301" s="1498"/>
      <c r="AW301" s="1498"/>
      <c r="AX301" s="1498"/>
      <c r="AY301" s="1498"/>
      <c r="AZ301" s="1498"/>
      <c r="BA301" s="308"/>
      <c r="BB301" s="308"/>
      <c r="BC301" s="308"/>
      <c r="BD301" s="308"/>
      <c r="BE301" s="308"/>
      <c r="BF301" s="504" t="b">
        <v>1</v>
      </c>
      <c r="BG301" s="504"/>
      <c r="BH301" s="504"/>
      <c r="BI301" s="504"/>
      <c r="BJ301" s="504"/>
      <c r="BK301" s="504"/>
      <c r="BL301" s="324"/>
      <c r="BM301" s="324"/>
      <c r="BN301" s="324"/>
      <c r="BO301" s="324"/>
      <c r="BP301" s="324"/>
      <c r="BQ301" s="324"/>
    </row>
    <row r="302" spans="1:69" s="291" customFormat="1" ht="18" customHeight="1">
      <c r="A302" s="308"/>
      <c r="B302" s="297"/>
      <c r="C302" s="314"/>
      <c r="D302" s="314"/>
      <c r="E302" s="314"/>
      <c r="F302" s="314"/>
      <c r="G302" s="314"/>
      <c r="H302" s="314"/>
      <c r="I302" s="314"/>
      <c r="J302" s="314"/>
      <c r="K302" s="314"/>
      <c r="L302" s="314"/>
      <c r="M302" s="314"/>
      <c r="N302" s="314"/>
      <c r="O302" s="314"/>
      <c r="P302" s="314"/>
      <c r="Q302" s="309"/>
      <c r="R302" s="315"/>
      <c r="S302" s="316"/>
      <c r="T302" s="316"/>
      <c r="U302" s="317"/>
      <c r="V302" s="317"/>
      <c r="W302" s="317"/>
      <c r="X302" s="317"/>
      <c r="Y302" s="316"/>
      <c r="Z302" s="316"/>
      <c r="AA302" s="316"/>
      <c r="AB302" s="317"/>
      <c r="AC302" s="317"/>
      <c r="AD302" s="317"/>
      <c r="AE302" s="317"/>
      <c r="AF302" s="317"/>
      <c r="AG302" s="317"/>
      <c r="AH302" s="317"/>
      <c r="AI302" s="317"/>
      <c r="AJ302" s="317"/>
      <c r="AK302" s="317"/>
      <c r="AL302" s="317"/>
      <c r="AM302" s="317"/>
      <c r="AN302" s="317"/>
      <c r="AO302" s="317"/>
      <c r="AP302" s="317"/>
      <c r="AQ302" s="317"/>
      <c r="AR302" s="317"/>
      <c r="AS302" s="317"/>
      <c r="AT302" s="317"/>
      <c r="AU302" s="317"/>
      <c r="AV302" s="317"/>
      <c r="AW302" s="317"/>
      <c r="AX302" s="317"/>
      <c r="AY302" s="317"/>
      <c r="AZ302" s="317"/>
    </row>
    <row r="303" spans="1:69" s="291" customFormat="1" ht="5.25" customHeight="1">
      <c r="A303" s="308"/>
      <c r="B303" s="297"/>
      <c r="C303" s="314"/>
      <c r="D303" s="314"/>
      <c r="E303" s="314"/>
      <c r="F303" s="314"/>
      <c r="G303" s="314"/>
      <c r="H303" s="314"/>
      <c r="I303" s="314"/>
      <c r="J303" s="314"/>
      <c r="K303" s="314"/>
      <c r="L303" s="314"/>
      <c r="M303" s="314"/>
      <c r="N303" s="314"/>
      <c r="O303" s="314"/>
      <c r="P303" s="314"/>
      <c r="Q303" s="843"/>
      <c r="R303" s="315"/>
      <c r="S303" s="316"/>
      <c r="T303" s="316"/>
      <c r="U303" s="317"/>
      <c r="V303" s="317"/>
      <c r="W303" s="317"/>
      <c r="X303" s="317"/>
      <c r="Y303" s="316"/>
      <c r="Z303" s="316"/>
      <c r="AA303" s="316"/>
      <c r="AB303" s="317"/>
      <c r="AC303" s="317"/>
      <c r="AD303" s="317"/>
      <c r="AE303" s="317"/>
      <c r="AF303" s="317"/>
      <c r="AG303" s="317"/>
      <c r="AH303" s="317"/>
      <c r="AI303" s="317"/>
      <c r="AJ303" s="317"/>
      <c r="AK303" s="317"/>
      <c r="AL303" s="317"/>
      <c r="AM303" s="317"/>
      <c r="AN303" s="317"/>
      <c r="AO303" s="317"/>
      <c r="AP303" s="317"/>
      <c r="AQ303" s="317"/>
      <c r="AR303" s="317"/>
      <c r="AS303" s="317"/>
      <c r="AT303" s="317"/>
      <c r="AU303" s="317"/>
      <c r="AV303" s="317"/>
      <c r="AW303" s="317"/>
      <c r="AX303" s="317"/>
      <c r="AY303" s="317"/>
      <c r="AZ303" s="317"/>
    </row>
    <row r="304" spans="1:69" s="291" customFormat="1" ht="18" customHeight="1">
      <c r="A304" s="294"/>
      <c r="B304" s="1256" t="s">
        <v>93</v>
      </c>
      <c r="C304" s="1256"/>
      <c r="D304" s="1256" t="s">
        <v>784</v>
      </c>
      <c r="E304" s="1256"/>
      <c r="F304" s="1256"/>
      <c r="G304" s="1256"/>
      <c r="H304" s="1256"/>
      <c r="I304" s="1256"/>
      <c r="J304" s="1256"/>
      <c r="K304" s="1256"/>
      <c r="L304" s="1256"/>
      <c r="M304" s="1256"/>
      <c r="N304" s="1256"/>
      <c r="O304" s="1256"/>
      <c r="P304" s="1256"/>
      <c r="Q304" s="1256"/>
      <c r="R304" s="1256"/>
      <c r="S304" s="1256"/>
      <c r="T304" s="1256"/>
      <c r="U304" s="1256"/>
      <c r="V304" s="1256"/>
      <c r="W304" s="1256"/>
      <c r="X304" s="1256"/>
      <c r="Y304" s="1256"/>
      <c r="Z304" s="1256"/>
      <c r="AA304" s="1256"/>
      <c r="AB304" s="1256"/>
      <c r="AC304" s="1256"/>
      <c r="AD304" s="1256"/>
      <c r="AE304" s="318"/>
      <c r="AF304" s="318"/>
      <c r="AG304" s="318"/>
      <c r="AH304" s="318"/>
      <c r="AI304" s="318"/>
      <c r="AJ304" s="318"/>
      <c r="AK304" s="318"/>
      <c r="AL304" s="318"/>
      <c r="AM304" s="318"/>
      <c r="AN304" s="318"/>
      <c r="AO304" s="318"/>
      <c r="AP304" s="318"/>
      <c r="AQ304" s="318"/>
      <c r="AR304" s="318"/>
      <c r="AS304" s="318"/>
      <c r="AT304" s="318"/>
      <c r="AU304" s="318"/>
      <c r="AV304" s="318"/>
      <c r="AW304" s="318"/>
      <c r="AX304" s="293"/>
      <c r="AY304" s="293"/>
      <c r="AZ304" s="293"/>
    </row>
    <row r="305" spans="1:56" s="291" customFormat="1" ht="18" customHeight="1">
      <c r="A305" s="294"/>
      <c r="B305" s="1208">
        <v>1</v>
      </c>
      <c r="C305" s="1208"/>
      <c r="D305" s="1322" t="s">
        <v>2509</v>
      </c>
      <c r="E305" s="1322"/>
      <c r="F305" s="1322"/>
      <c r="G305" s="1322"/>
      <c r="H305" s="1322"/>
      <c r="I305" s="1322"/>
      <c r="J305" s="1322"/>
      <c r="K305" s="1322"/>
      <c r="L305" s="1322"/>
      <c r="M305" s="1322"/>
      <c r="N305" s="1322"/>
      <c r="O305" s="1322"/>
      <c r="P305" s="1322"/>
      <c r="Q305" s="1322"/>
      <c r="R305" s="1322"/>
      <c r="S305" s="1322"/>
      <c r="T305" s="1322"/>
      <c r="U305" s="1322"/>
      <c r="V305" s="1322"/>
      <c r="W305" s="1322"/>
      <c r="X305" s="1322"/>
      <c r="Y305" s="319"/>
      <c r="Z305" s="1489"/>
      <c r="AA305" s="1490"/>
      <c r="AB305" s="1490"/>
      <c r="AC305" s="1490"/>
      <c r="AD305" s="1491"/>
      <c r="AE305" s="288"/>
      <c r="AF305" s="1336"/>
      <c r="AG305" s="1336"/>
      <c r="AH305" s="1336"/>
      <c r="AI305" s="1336"/>
      <c r="AJ305" s="1336"/>
      <c r="AK305" s="1336"/>
      <c r="AL305" s="1336"/>
      <c r="AM305" s="1336"/>
      <c r="AN305" s="1336"/>
      <c r="AO305" s="1336"/>
      <c r="AP305" s="1336"/>
      <c r="AQ305" s="1336"/>
      <c r="AR305" s="1336"/>
      <c r="AS305" s="1336"/>
      <c r="AT305" s="1336"/>
      <c r="AU305" s="1336"/>
      <c r="AV305" s="1336"/>
      <c r="AW305" s="1336"/>
      <c r="AX305" s="1336"/>
      <c r="AY305" s="1336"/>
      <c r="AZ305" s="1336"/>
    </row>
    <row r="306" spans="1:56" s="291" customFormat="1" ht="18" customHeight="1">
      <c r="A306" s="294"/>
      <c r="B306" s="1208">
        <v>2</v>
      </c>
      <c r="C306" s="1208"/>
      <c r="D306" s="1322" t="s">
        <v>2510</v>
      </c>
      <c r="E306" s="1322"/>
      <c r="F306" s="1322"/>
      <c r="G306" s="1322"/>
      <c r="H306" s="1322"/>
      <c r="I306" s="1322"/>
      <c r="J306" s="1322"/>
      <c r="K306" s="1322"/>
      <c r="L306" s="1322"/>
      <c r="M306" s="1322"/>
      <c r="N306" s="1322"/>
      <c r="O306" s="1322"/>
      <c r="P306" s="1322"/>
      <c r="Q306" s="1322"/>
      <c r="R306" s="1322"/>
      <c r="S306" s="1322"/>
      <c r="T306" s="1322"/>
      <c r="U306" s="1322"/>
      <c r="V306" s="1322"/>
      <c r="W306" s="1322"/>
      <c r="X306" s="1322"/>
      <c r="Y306" s="319"/>
      <c r="Z306" s="1492"/>
      <c r="AA306" s="1493"/>
      <c r="AB306" s="1493"/>
      <c r="AC306" s="1493"/>
      <c r="AD306" s="1494"/>
      <c r="AE306" s="288"/>
      <c r="AF306" s="1336"/>
      <c r="AG306" s="1336"/>
      <c r="AH306" s="1336"/>
      <c r="AI306" s="1336"/>
      <c r="AJ306" s="1336"/>
      <c r="AK306" s="1336"/>
      <c r="AL306" s="1336"/>
      <c r="AM306" s="1336"/>
      <c r="AN306" s="1336"/>
      <c r="AO306" s="1336"/>
      <c r="AP306" s="1336"/>
      <c r="AQ306" s="1336"/>
      <c r="AR306" s="1336"/>
      <c r="AS306" s="1336"/>
      <c r="AT306" s="1336"/>
      <c r="AU306" s="1336"/>
      <c r="AV306" s="1336"/>
      <c r="AW306" s="1336"/>
      <c r="AX306" s="1336"/>
      <c r="AY306" s="1336"/>
      <c r="AZ306" s="1336"/>
    </row>
    <row r="307" spans="1:56" s="291" customFormat="1" ht="18" customHeight="1">
      <c r="A307" s="294"/>
      <c r="B307" s="1208">
        <v>3</v>
      </c>
      <c r="C307" s="1208"/>
      <c r="D307" s="1322" t="s">
        <v>2511</v>
      </c>
      <c r="E307" s="1322"/>
      <c r="F307" s="1322"/>
      <c r="G307" s="1322"/>
      <c r="H307" s="1322"/>
      <c r="I307" s="1322"/>
      <c r="J307" s="1322"/>
      <c r="K307" s="1322"/>
      <c r="L307" s="1322"/>
      <c r="M307" s="1322"/>
      <c r="N307" s="1322"/>
      <c r="O307" s="1322"/>
      <c r="P307" s="1322"/>
      <c r="Q307" s="1322"/>
      <c r="R307" s="1322"/>
      <c r="S307" s="1322"/>
      <c r="T307" s="1322"/>
      <c r="U307" s="1322"/>
      <c r="V307" s="1322"/>
      <c r="W307" s="1322"/>
      <c r="X307" s="1322"/>
      <c r="Y307" s="319"/>
      <c r="Z307" s="1492"/>
      <c r="AA307" s="1493"/>
      <c r="AB307" s="1493"/>
      <c r="AC307" s="1493"/>
      <c r="AD307" s="1494"/>
      <c r="AE307" s="288"/>
      <c r="AF307" s="1336"/>
      <c r="AG307" s="1336"/>
      <c r="AH307" s="1336"/>
      <c r="AI307" s="1336"/>
      <c r="AJ307" s="1336"/>
      <c r="AK307" s="1336"/>
      <c r="AL307" s="1336"/>
      <c r="AM307" s="1336"/>
      <c r="AN307" s="1336"/>
      <c r="AO307" s="1336"/>
      <c r="AP307" s="1336"/>
      <c r="AQ307" s="1336"/>
      <c r="AR307" s="1336"/>
      <c r="AS307" s="1336"/>
      <c r="AT307" s="1336"/>
      <c r="AU307" s="1336"/>
      <c r="AV307" s="1336"/>
      <c r="AW307" s="1336"/>
      <c r="AX307" s="1336"/>
      <c r="AY307" s="1336"/>
      <c r="AZ307" s="1336"/>
    </row>
    <row r="308" spans="1:56" s="291" customFormat="1" ht="18" customHeight="1">
      <c r="A308" s="294"/>
      <c r="B308" s="1208">
        <v>4</v>
      </c>
      <c r="C308" s="1208"/>
      <c r="D308" s="1322" t="s">
        <v>2512</v>
      </c>
      <c r="E308" s="1322"/>
      <c r="F308" s="1322"/>
      <c r="G308" s="1322"/>
      <c r="H308" s="1322"/>
      <c r="I308" s="1322"/>
      <c r="J308" s="1322"/>
      <c r="K308" s="1322"/>
      <c r="L308" s="1322"/>
      <c r="M308" s="1322"/>
      <c r="N308" s="1322"/>
      <c r="O308" s="1322"/>
      <c r="P308" s="1322"/>
      <c r="Q308" s="1322"/>
      <c r="R308" s="1322"/>
      <c r="S308" s="1322"/>
      <c r="T308" s="1322"/>
      <c r="U308" s="1322"/>
      <c r="V308" s="1322"/>
      <c r="W308" s="1322"/>
      <c r="X308" s="1322"/>
      <c r="Y308" s="319"/>
      <c r="Z308" s="1492"/>
      <c r="AA308" s="1493"/>
      <c r="AB308" s="1493"/>
      <c r="AC308" s="1493"/>
      <c r="AD308" s="1494"/>
      <c r="AE308" s="288"/>
      <c r="AF308" s="1336"/>
      <c r="AG308" s="1336"/>
      <c r="AH308" s="1336"/>
      <c r="AI308" s="1336"/>
      <c r="AJ308" s="1336"/>
      <c r="AK308" s="1336"/>
      <c r="AL308" s="1336"/>
      <c r="AM308" s="1336"/>
      <c r="AN308" s="1336"/>
      <c r="AO308" s="1336"/>
      <c r="AP308" s="1336"/>
      <c r="AQ308" s="1336"/>
      <c r="AR308" s="1336"/>
      <c r="AS308" s="1336"/>
      <c r="AT308" s="1336"/>
      <c r="AU308" s="1336"/>
      <c r="AV308" s="1336"/>
      <c r="AW308" s="1336"/>
      <c r="AX308" s="1336"/>
      <c r="AY308" s="1336"/>
      <c r="AZ308" s="1336"/>
    </row>
    <row r="309" spans="1:56" s="291" customFormat="1" ht="18" customHeight="1">
      <c r="A309" s="294"/>
      <c r="B309" s="1208">
        <v>5</v>
      </c>
      <c r="C309" s="1208"/>
      <c r="D309" s="1322" t="s">
        <v>2513</v>
      </c>
      <c r="E309" s="1322"/>
      <c r="F309" s="1322"/>
      <c r="G309" s="1322"/>
      <c r="H309" s="1322"/>
      <c r="I309" s="1322"/>
      <c r="J309" s="1322"/>
      <c r="K309" s="1322"/>
      <c r="L309" s="1322"/>
      <c r="M309" s="1322"/>
      <c r="N309" s="1322"/>
      <c r="O309" s="1322"/>
      <c r="P309" s="1322"/>
      <c r="Q309" s="1322"/>
      <c r="R309" s="1322"/>
      <c r="S309" s="1322"/>
      <c r="T309" s="1322"/>
      <c r="U309" s="1322"/>
      <c r="V309" s="1322"/>
      <c r="W309" s="1322"/>
      <c r="X309" s="1322"/>
      <c r="Y309" s="319"/>
      <c r="Z309" s="1495"/>
      <c r="AA309" s="1496"/>
      <c r="AB309" s="1496"/>
      <c r="AC309" s="1496"/>
      <c r="AD309" s="1497"/>
      <c r="AE309" s="288"/>
      <c r="AF309" s="1336"/>
      <c r="AG309" s="1336"/>
      <c r="AH309" s="1336"/>
      <c r="AI309" s="1336"/>
      <c r="AJ309" s="1336"/>
      <c r="AK309" s="1336"/>
      <c r="AL309" s="1336"/>
      <c r="AM309" s="1336"/>
      <c r="AN309" s="1336"/>
      <c r="AO309" s="1336"/>
      <c r="AP309" s="1336"/>
      <c r="AQ309" s="1336"/>
      <c r="AR309" s="1336"/>
      <c r="AS309" s="1336"/>
      <c r="AT309" s="1336"/>
      <c r="AU309" s="1336"/>
      <c r="AV309" s="1336"/>
      <c r="AW309" s="1336"/>
      <c r="AX309" s="1336"/>
      <c r="AY309" s="1336"/>
      <c r="AZ309" s="1336"/>
    </row>
    <row r="310" spans="1:56" s="291" customFormat="1" ht="18" customHeight="1">
      <c r="A310" s="297"/>
      <c r="B310" s="308" t="s">
        <v>520</v>
      </c>
      <c r="C310" s="308"/>
      <c r="D310" s="308"/>
      <c r="E310" s="289"/>
      <c r="F310" s="289"/>
      <c r="G310" s="289"/>
      <c r="H310" s="289"/>
      <c r="I310" s="289"/>
      <c r="J310" s="289"/>
      <c r="K310" s="308"/>
      <c r="L310" s="308"/>
      <c r="M310" s="308"/>
      <c r="N310" s="308"/>
      <c r="O310" s="308"/>
      <c r="P310" s="308"/>
      <c r="Q310" s="309"/>
      <c r="R310" s="309"/>
      <c r="S310" s="308"/>
      <c r="T310" s="308"/>
      <c r="U310" s="289"/>
      <c r="V310" s="289"/>
      <c r="W310" s="289"/>
      <c r="X310" s="289"/>
      <c r="Y310" s="308"/>
      <c r="Z310" s="308"/>
      <c r="AA310" s="308"/>
      <c r="AB310" s="293"/>
      <c r="AC310" s="293"/>
      <c r="AD310" s="293"/>
      <c r="AE310" s="293"/>
      <c r="AF310" s="289"/>
      <c r="AG310" s="289"/>
      <c r="AH310" s="289"/>
      <c r="AI310" s="289"/>
      <c r="AJ310" s="289"/>
      <c r="AK310" s="289"/>
      <c r="AL310" s="289"/>
      <c r="AM310" s="289"/>
      <c r="AN310" s="289"/>
      <c r="AO310" s="289"/>
      <c r="AP310" s="289"/>
      <c r="AQ310" s="289"/>
      <c r="AR310" s="289"/>
      <c r="AS310" s="289"/>
      <c r="AT310" s="289"/>
      <c r="AU310" s="289"/>
      <c r="AV310" s="289"/>
      <c r="AW310" s="289"/>
      <c r="AX310" s="289"/>
      <c r="AY310" s="289"/>
      <c r="AZ310" s="289"/>
    </row>
    <row r="311" spans="1:56" s="291" customFormat="1" ht="18" customHeight="1">
      <c r="A311" s="297"/>
      <c r="B311" s="308"/>
      <c r="C311" s="308"/>
      <c r="D311" s="308"/>
      <c r="E311" s="289"/>
      <c r="F311" s="289"/>
      <c r="G311" s="289"/>
      <c r="H311" s="289"/>
      <c r="I311" s="289"/>
      <c r="J311" s="289"/>
      <c r="K311" s="308"/>
      <c r="L311" s="308"/>
      <c r="M311" s="308"/>
      <c r="N311" s="308"/>
      <c r="O311" s="308"/>
      <c r="P311" s="308"/>
      <c r="Q311" s="309"/>
      <c r="R311" s="309"/>
      <c r="S311" s="308"/>
      <c r="T311" s="308"/>
      <c r="U311" s="289"/>
      <c r="V311" s="289"/>
      <c r="W311" s="289"/>
      <c r="X311" s="289"/>
      <c r="Y311" s="308"/>
      <c r="Z311" s="308"/>
      <c r="AA311" s="308"/>
      <c r="AB311" s="293"/>
      <c r="AC311" s="293"/>
      <c r="AD311" s="293"/>
      <c r="AE311" s="293"/>
      <c r="AF311" s="289"/>
      <c r="AG311" s="289"/>
      <c r="AH311" s="289"/>
      <c r="AI311" s="289"/>
      <c r="AJ311" s="289"/>
      <c r="AK311" s="289"/>
      <c r="AL311" s="289"/>
      <c r="AM311" s="289"/>
      <c r="AN311" s="289"/>
      <c r="AO311" s="289"/>
      <c r="AP311" s="289"/>
      <c r="AQ311" s="289"/>
      <c r="AR311" s="289"/>
      <c r="AS311" s="289"/>
      <c r="AT311" s="289"/>
      <c r="AU311" s="289"/>
      <c r="AV311" s="289"/>
      <c r="AW311" s="289"/>
      <c r="AX311" s="289"/>
      <c r="AY311" s="289"/>
      <c r="AZ311" s="289"/>
    </row>
    <row r="312" spans="1:56" s="291" customFormat="1" ht="18" customHeight="1">
      <c r="A312" s="297"/>
      <c r="B312" s="1256" t="s">
        <v>93</v>
      </c>
      <c r="C312" s="1256"/>
      <c r="D312" s="1256" t="s">
        <v>2500</v>
      </c>
      <c r="E312" s="1256"/>
      <c r="F312" s="1256"/>
      <c r="G312" s="1256"/>
      <c r="H312" s="1256"/>
      <c r="I312" s="1256"/>
      <c r="J312" s="1256"/>
      <c r="K312" s="1256"/>
      <c r="L312" s="1256"/>
      <c r="M312" s="1256"/>
      <c r="N312" s="1256"/>
      <c r="O312" s="1256"/>
      <c r="P312" s="1256"/>
      <c r="Q312" s="1256"/>
      <c r="R312" s="1256"/>
      <c r="S312" s="1256"/>
      <c r="T312" s="1256"/>
      <c r="U312" s="1256"/>
      <c r="V312" s="1256"/>
      <c r="W312" s="1256"/>
      <c r="X312" s="1256"/>
      <c r="Y312" s="1256"/>
      <c r="Z312" s="1256"/>
      <c r="AA312" s="1256"/>
      <c r="AB312" s="1256"/>
      <c r="AC312" s="1256"/>
      <c r="AD312" s="1256"/>
      <c r="AE312" s="293"/>
      <c r="AF312" s="289"/>
      <c r="AG312" s="289"/>
      <c r="AH312" s="289"/>
      <c r="AI312" s="289"/>
      <c r="AJ312" s="289"/>
      <c r="AK312" s="289"/>
      <c r="AL312" s="289"/>
      <c r="AM312" s="289"/>
      <c r="AN312" s="289"/>
      <c r="AO312" s="289"/>
      <c r="AP312" s="289"/>
      <c r="AQ312" s="289"/>
      <c r="AR312" s="289"/>
      <c r="AS312" s="289"/>
      <c r="AT312" s="289"/>
      <c r="AU312" s="289"/>
      <c r="AV312" s="289"/>
      <c r="AW312" s="289"/>
      <c r="AX312" s="289"/>
      <c r="AY312" s="289"/>
      <c r="AZ312" s="289"/>
    </row>
    <row r="313" spans="1:56" s="320" customFormat="1" ht="18" customHeight="1">
      <c r="B313" s="1315">
        <v>1</v>
      </c>
      <c r="C313" s="1315"/>
      <c r="D313" s="1488" t="s">
        <v>2514</v>
      </c>
      <c r="E313" s="1488"/>
      <c r="F313" s="1488"/>
      <c r="G313" s="1488"/>
      <c r="H313" s="1488"/>
      <c r="I313" s="1488"/>
      <c r="J313" s="1488"/>
      <c r="K313" s="1488"/>
      <c r="L313" s="1488"/>
      <c r="M313" s="1488"/>
      <c r="N313" s="1488"/>
      <c r="O313" s="1488"/>
      <c r="P313" s="1488"/>
      <c r="Q313" s="1488"/>
      <c r="R313" s="1488"/>
      <c r="S313" s="1488"/>
      <c r="T313" s="1488"/>
      <c r="U313" s="1488"/>
      <c r="V313" s="1488"/>
      <c r="W313" s="1488"/>
      <c r="X313" s="1488"/>
      <c r="Y313" s="481"/>
      <c r="Z313" s="1489"/>
      <c r="AA313" s="1490"/>
      <c r="AB313" s="1490"/>
      <c r="AC313" s="1490"/>
      <c r="AD313" s="1491"/>
      <c r="AE313" s="321"/>
      <c r="AF313" s="1336"/>
      <c r="AG313" s="1336"/>
      <c r="AH313" s="1336"/>
      <c r="AI313" s="1336"/>
      <c r="AJ313" s="1336"/>
      <c r="AK313" s="1336"/>
      <c r="AL313" s="1336"/>
      <c r="AM313" s="1336"/>
      <c r="AN313" s="1336"/>
      <c r="AO313" s="1336"/>
      <c r="AP313" s="1336"/>
      <c r="AQ313" s="1336"/>
      <c r="AR313" s="1336"/>
      <c r="AS313" s="1336"/>
      <c r="AT313" s="1336"/>
      <c r="AU313" s="1336"/>
      <c r="AV313" s="1336"/>
      <c r="AW313" s="1336"/>
      <c r="AX313" s="1336"/>
      <c r="AY313" s="1336"/>
      <c r="AZ313" s="1336"/>
      <c r="BA313" s="321"/>
      <c r="BB313" s="321"/>
      <c r="BC313" s="321"/>
      <c r="BD313" s="321"/>
    </row>
    <row r="314" spans="1:56" s="320" customFormat="1" ht="18" customHeight="1">
      <c r="B314" s="1315">
        <v>2</v>
      </c>
      <c r="C314" s="1315"/>
      <c r="D314" s="1488" t="s">
        <v>2515</v>
      </c>
      <c r="E314" s="1488"/>
      <c r="F314" s="1488"/>
      <c r="G314" s="1488"/>
      <c r="H314" s="1488"/>
      <c r="I314" s="1488"/>
      <c r="J314" s="1488"/>
      <c r="K314" s="1488"/>
      <c r="L314" s="1488"/>
      <c r="M314" s="1488"/>
      <c r="N314" s="1488"/>
      <c r="O314" s="1488"/>
      <c r="P314" s="1488"/>
      <c r="Q314" s="1488"/>
      <c r="R314" s="1488"/>
      <c r="S314" s="1488"/>
      <c r="T314" s="1488"/>
      <c r="U314" s="1488"/>
      <c r="V314" s="1488"/>
      <c r="W314" s="1488"/>
      <c r="X314" s="1488"/>
      <c r="Y314" s="481"/>
      <c r="Z314" s="1492"/>
      <c r="AA314" s="1493"/>
      <c r="AB314" s="1493"/>
      <c r="AC314" s="1493"/>
      <c r="AD314" s="1494"/>
      <c r="AE314" s="321"/>
      <c r="AF314" s="1336"/>
      <c r="AG314" s="1336"/>
      <c r="AH314" s="1336"/>
      <c r="AI314" s="1336"/>
      <c r="AJ314" s="1336"/>
      <c r="AK314" s="1336"/>
      <c r="AL314" s="1336"/>
      <c r="AM314" s="1336"/>
      <c r="AN314" s="1336"/>
      <c r="AO314" s="1336"/>
      <c r="AP314" s="1336"/>
      <c r="AQ314" s="1336"/>
      <c r="AR314" s="1336"/>
      <c r="AS314" s="1336"/>
      <c r="AT314" s="1336"/>
      <c r="AU314" s="1336"/>
      <c r="AV314" s="1336"/>
      <c r="AW314" s="1336"/>
      <c r="AX314" s="1336"/>
      <c r="AY314" s="1336"/>
      <c r="AZ314" s="1336"/>
      <c r="BA314" s="321"/>
      <c r="BB314" s="321"/>
      <c r="BC314" s="321"/>
      <c r="BD314" s="321"/>
    </row>
    <row r="315" spans="1:56" s="320" customFormat="1" ht="18" customHeight="1">
      <c r="B315" s="1315">
        <v>3</v>
      </c>
      <c r="C315" s="1315"/>
      <c r="D315" s="1488" t="s">
        <v>2516</v>
      </c>
      <c r="E315" s="1488"/>
      <c r="F315" s="1488"/>
      <c r="G315" s="1488"/>
      <c r="H315" s="1488"/>
      <c r="I315" s="1488"/>
      <c r="J315" s="1488"/>
      <c r="K315" s="1488"/>
      <c r="L315" s="1488"/>
      <c r="M315" s="1488"/>
      <c r="N315" s="1488"/>
      <c r="O315" s="1488"/>
      <c r="P315" s="1488"/>
      <c r="Q315" s="1488"/>
      <c r="R315" s="1488"/>
      <c r="S315" s="1488"/>
      <c r="T315" s="1488"/>
      <c r="U315" s="1488"/>
      <c r="V315" s="1488"/>
      <c r="W315" s="1488"/>
      <c r="X315" s="1488"/>
      <c r="Y315" s="481"/>
      <c r="Z315" s="1492"/>
      <c r="AA315" s="1493"/>
      <c r="AB315" s="1493"/>
      <c r="AC315" s="1493"/>
      <c r="AD315" s="1494"/>
      <c r="AE315" s="321"/>
      <c r="AF315" s="1336"/>
      <c r="AG315" s="1336"/>
      <c r="AH315" s="1336"/>
      <c r="AI315" s="1336"/>
      <c r="AJ315" s="1336"/>
      <c r="AK315" s="1336"/>
      <c r="AL315" s="1336"/>
      <c r="AM315" s="1336"/>
      <c r="AN315" s="1336"/>
      <c r="AO315" s="1336"/>
      <c r="AP315" s="1336"/>
      <c r="AQ315" s="1336"/>
      <c r="AR315" s="1336"/>
      <c r="AS315" s="1336"/>
      <c r="AT315" s="1336"/>
      <c r="AU315" s="1336"/>
      <c r="AV315" s="1336"/>
      <c r="AW315" s="1336"/>
      <c r="AX315" s="1336"/>
      <c r="AY315" s="1336"/>
      <c r="AZ315" s="1336"/>
      <c r="BA315" s="321"/>
      <c r="BB315" s="321"/>
      <c r="BC315" s="321"/>
      <c r="BD315" s="321"/>
    </row>
    <row r="316" spans="1:56" s="320" customFormat="1" ht="18" customHeight="1">
      <c r="B316" s="1315">
        <v>4</v>
      </c>
      <c r="C316" s="1315"/>
      <c r="D316" s="1488" t="s">
        <v>516</v>
      </c>
      <c r="E316" s="1488"/>
      <c r="F316" s="1488"/>
      <c r="G316" s="1488"/>
      <c r="H316" s="1488"/>
      <c r="I316" s="1488"/>
      <c r="J316" s="1488"/>
      <c r="K316" s="1488"/>
      <c r="L316" s="1488"/>
      <c r="M316" s="1488"/>
      <c r="N316" s="1488"/>
      <c r="O316" s="1488"/>
      <c r="P316" s="1488"/>
      <c r="Q316" s="1488"/>
      <c r="R316" s="1488"/>
      <c r="S316" s="1488"/>
      <c r="T316" s="1488"/>
      <c r="U316" s="1488"/>
      <c r="V316" s="1488"/>
      <c r="W316" s="1488"/>
      <c r="X316" s="1488"/>
      <c r="Y316" s="481"/>
      <c r="Z316" s="1492"/>
      <c r="AA316" s="1493"/>
      <c r="AB316" s="1493"/>
      <c r="AC316" s="1493"/>
      <c r="AD316" s="1494"/>
      <c r="AE316" s="321"/>
      <c r="AF316" s="1336"/>
      <c r="AG316" s="1336"/>
      <c r="AH316" s="1336"/>
      <c r="AI316" s="1336"/>
      <c r="AJ316" s="1336"/>
      <c r="AK316" s="1336"/>
      <c r="AL316" s="1336"/>
      <c r="AM316" s="1336"/>
      <c r="AN316" s="1336"/>
      <c r="AO316" s="1336"/>
      <c r="AP316" s="1336"/>
      <c r="AQ316" s="1336"/>
      <c r="AR316" s="1336"/>
      <c r="AS316" s="1336"/>
      <c r="AT316" s="1336"/>
      <c r="AU316" s="1336"/>
      <c r="AV316" s="1336"/>
      <c r="AW316" s="1336"/>
      <c r="AX316" s="1336"/>
      <c r="AY316" s="1336"/>
      <c r="AZ316" s="1336"/>
      <c r="BA316" s="321"/>
      <c r="BB316" s="321"/>
      <c r="BC316" s="321"/>
      <c r="BD316" s="321"/>
    </row>
    <row r="317" spans="1:56" s="320" customFormat="1" ht="18" customHeight="1">
      <c r="B317" s="1315">
        <v>6</v>
      </c>
      <c r="C317" s="1315"/>
      <c r="D317" s="1488" t="s">
        <v>2517</v>
      </c>
      <c r="E317" s="1488"/>
      <c r="F317" s="1488"/>
      <c r="G317" s="1488"/>
      <c r="H317" s="1488"/>
      <c r="I317" s="1488"/>
      <c r="J317" s="1488"/>
      <c r="K317" s="1488"/>
      <c r="L317" s="1488"/>
      <c r="M317" s="1488"/>
      <c r="N317" s="1488"/>
      <c r="O317" s="1488"/>
      <c r="P317" s="1488"/>
      <c r="Q317" s="1488"/>
      <c r="R317" s="1488"/>
      <c r="S317" s="1488"/>
      <c r="T317" s="1488"/>
      <c r="U317" s="1488"/>
      <c r="V317" s="1488"/>
      <c r="W317" s="1488"/>
      <c r="X317" s="1488"/>
      <c r="Y317" s="481"/>
      <c r="Z317" s="1492"/>
      <c r="AA317" s="1493"/>
      <c r="AB317" s="1493"/>
      <c r="AC317" s="1493"/>
      <c r="AD317" s="1494"/>
      <c r="AE317" s="321"/>
      <c r="AF317" s="1336"/>
      <c r="AG317" s="1336"/>
      <c r="AH317" s="1336"/>
      <c r="AI317" s="1336"/>
      <c r="AJ317" s="1336"/>
      <c r="AK317" s="1336"/>
      <c r="AL317" s="1336"/>
      <c r="AM317" s="1336"/>
      <c r="AN317" s="1336"/>
      <c r="AO317" s="1336"/>
      <c r="AP317" s="1336"/>
      <c r="AQ317" s="1336"/>
      <c r="AR317" s="1336"/>
      <c r="AS317" s="1336"/>
      <c r="AT317" s="1336"/>
      <c r="AU317" s="1336"/>
      <c r="AV317" s="1336"/>
      <c r="AW317" s="1336"/>
      <c r="AX317" s="1336"/>
      <c r="AY317" s="1336"/>
      <c r="AZ317" s="1336"/>
      <c r="BA317" s="321"/>
      <c r="BB317" s="321"/>
      <c r="BC317" s="321"/>
      <c r="BD317" s="321"/>
    </row>
    <row r="318" spans="1:56" s="320" customFormat="1" ht="18" customHeight="1">
      <c r="B318" s="1315">
        <v>7</v>
      </c>
      <c r="C318" s="1315"/>
      <c r="D318" s="1488" t="s">
        <v>2518</v>
      </c>
      <c r="E318" s="1488"/>
      <c r="F318" s="1488"/>
      <c r="G318" s="1488"/>
      <c r="H318" s="1488"/>
      <c r="I318" s="1488"/>
      <c r="J318" s="1488"/>
      <c r="K318" s="1488"/>
      <c r="L318" s="1488"/>
      <c r="M318" s="1488"/>
      <c r="N318" s="1488"/>
      <c r="O318" s="1488"/>
      <c r="P318" s="1488"/>
      <c r="Q318" s="1488"/>
      <c r="R318" s="1488"/>
      <c r="S318" s="1488"/>
      <c r="T318" s="1488"/>
      <c r="U318" s="1488"/>
      <c r="V318" s="1488"/>
      <c r="W318" s="1488"/>
      <c r="X318" s="1488"/>
      <c r="Y318" s="481"/>
      <c r="Z318" s="1492"/>
      <c r="AA318" s="1493"/>
      <c r="AB318" s="1493"/>
      <c r="AC318" s="1493"/>
      <c r="AD318" s="1494"/>
      <c r="AE318" s="321"/>
      <c r="AF318" s="1336"/>
      <c r="AG318" s="1336"/>
      <c r="AH318" s="1336"/>
      <c r="AI318" s="1336"/>
      <c r="AJ318" s="1336"/>
      <c r="AK318" s="1336"/>
      <c r="AL318" s="1336"/>
      <c r="AM318" s="1336"/>
      <c r="AN318" s="1336"/>
      <c r="AO318" s="1336"/>
      <c r="AP318" s="1336"/>
      <c r="AQ318" s="1336"/>
      <c r="AR318" s="1336"/>
      <c r="AS318" s="1336"/>
      <c r="AT318" s="1336"/>
      <c r="AU318" s="1336"/>
      <c r="AV318" s="1336"/>
      <c r="AW318" s="1336"/>
      <c r="AX318" s="1336"/>
      <c r="AY318" s="1336"/>
      <c r="AZ318" s="1336"/>
      <c r="BA318" s="321"/>
      <c r="BB318" s="321"/>
      <c r="BC318" s="321"/>
      <c r="BD318" s="321"/>
    </row>
    <row r="319" spans="1:56" s="320" customFormat="1" ht="36" customHeight="1">
      <c r="B319" s="1315">
        <v>8</v>
      </c>
      <c r="C319" s="1315"/>
      <c r="D319" s="1488" t="s">
        <v>2519</v>
      </c>
      <c r="E319" s="1488"/>
      <c r="F319" s="1488"/>
      <c r="G319" s="1488"/>
      <c r="H319" s="1488"/>
      <c r="I319" s="1488"/>
      <c r="J319" s="1488"/>
      <c r="K319" s="1488"/>
      <c r="L319" s="1488"/>
      <c r="M319" s="1488"/>
      <c r="N319" s="1488"/>
      <c r="O319" s="1488"/>
      <c r="P319" s="1488"/>
      <c r="Q319" s="1488"/>
      <c r="R319" s="1488"/>
      <c r="S319" s="1488"/>
      <c r="T319" s="1488"/>
      <c r="U319" s="1488"/>
      <c r="V319" s="1488"/>
      <c r="W319" s="1488"/>
      <c r="X319" s="1488"/>
      <c r="Y319" s="481"/>
      <c r="Z319" s="1492"/>
      <c r="AA319" s="1493"/>
      <c r="AB319" s="1493"/>
      <c r="AC319" s="1493"/>
      <c r="AD319" s="1494"/>
      <c r="AE319" s="321"/>
      <c r="AF319" s="1336"/>
      <c r="AG319" s="1336"/>
      <c r="AH319" s="1336"/>
      <c r="AI319" s="1336"/>
      <c r="AJ319" s="1336"/>
      <c r="AK319" s="1336"/>
      <c r="AL319" s="1336"/>
      <c r="AM319" s="1336"/>
      <c r="AN319" s="1336"/>
      <c r="AO319" s="1336"/>
      <c r="AP319" s="1336"/>
      <c r="AQ319" s="1336"/>
      <c r="AR319" s="1336"/>
      <c r="AS319" s="1336"/>
      <c r="AT319" s="1336"/>
      <c r="AU319" s="1336"/>
      <c r="AV319" s="1336"/>
      <c r="AW319" s="1336"/>
      <c r="AX319" s="1336"/>
      <c r="AY319" s="1336"/>
      <c r="AZ319" s="1336"/>
      <c r="BA319" s="321"/>
      <c r="BB319" s="321"/>
      <c r="BC319" s="321"/>
      <c r="BD319" s="321"/>
    </row>
    <row r="320" spans="1:56" s="320" customFormat="1" ht="36" customHeight="1">
      <c r="B320" s="1315">
        <v>12</v>
      </c>
      <c r="C320" s="1315"/>
      <c r="D320" s="1488" t="s">
        <v>2520</v>
      </c>
      <c r="E320" s="1488"/>
      <c r="F320" s="1488"/>
      <c r="G320" s="1488"/>
      <c r="H320" s="1488"/>
      <c r="I320" s="1488"/>
      <c r="J320" s="1488"/>
      <c r="K320" s="1488"/>
      <c r="L320" s="1488"/>
      <c r="M320" s="1488"/>
      <c r="N320" s="1488"/>
      <c r="O320" s="1488"/>
      <c r="P320" s="1488"/>
      <c r="Q320" s="1488"/>
      <c r="R320" s="1488"/>
      <c r="S320" s="1488"/>
      <c r="T320" s="1488"/>
      <c r="U320" s="1488"/>
      <c r="V320" s="1488"/>
      <c r="W320" s="1488"/>
      <c r="X320" s="1488"/>
      <c r="Y320" s="481"/>
      <c r="Z320" s="1495"/>
      <c r="AA320" s="1496"/>
      <c r="AB320" s="1496"/>
      <c r="AC320" s="1496"/>
      <c r="AD320" s="1497"/>
      <c r="AE320" s="321"/>
      <c r="AF320" s="1336"/>
      <c r="AG320" s="1336"/>
      <c r="AH320" s="1336"/>
      <c r="AI320" s="1336"/>
      <c r="AJ320" s="1336"/>
      <c r="AK320" s="1336"/>
      <c r="AL320" s="1336"/>
      <c r="AM320" s="1336"/>
      <c r="AN320" s="1336"/>
      <c r="AO320" s="1336"/>
      <c r="AP320" s="1336"/>
      <c r="AQ320" s="1336"/>
      <c r="AR320" s="1336"/>
      <c r="AS320" s="1336"/>
      <c r="AT320" s="1336"/>
      <c r="AU320" s="1336"/>
      <c r="AV320" s="1336"/>
      <c r="AW320" s="1336"/>
      <c r="AX320" s="1336"/>
      <c r="AY320" s="1336"/>
      <c r="AZ320" s="1336"/>
      <c r="BA320" s="321"/>
      <c r="BB320" s="321"/>
      <c r="BC320" s="321"/>
      <c r="BD320" s="321"/>
    </row>
    <row r="321" spans="1:54" s="321" customFormat="1" ht="18" customHeight="1">
      <c r="B321" s="484"/>
      <c r="C321" s="484"/>
      <c r="D321" s="322"/>
    </row>
    <row r="322" spans="1:54" s="291" customFormat="1" ht="18" customHeight="1">
      <c r="A322" s="292" t="s">
        <v>521</v>
      </c>
      <c r="B322" s="326" t="s">
        <v>2809</v>
      </c>
      <c r="C322" s="287"/>
      <c r="D322" s="287"/>
      <c r="E322" s="287"/>
      <c r="F322" s="287"/>
      <c r="G322" s="287"/>
      <c r="H322" s="287"/>
      <c r="I322" s="287"/>
      <c r="J322" s="287"/>
      <c r="K322" s="287"/>
      <c r="L322" s="287"/>
      <c r="M322" s="287"/>
      <c r="N322" s="287"/>
      <c r="O322" s="287"/>
      <c r="P322" s="287"/>
      <c r="Q322" s="327"/>
      <c r="R322" s="327"/>
      <c r="S322" s="328"/>
      <c r="T322" s="328"/>
      <c r="U322" s="313"/>
      <c r="V322" s="313"/>
      <c r="W322" s="313"/>
      <c r="X322" s="313"/>
      <c r="Y322" s="328"/>
      <c r="Z322" s="328"/>
      <c r="AA322" s="328"/>
      <c r="AB322" s="313"/>
      <c r="AC322" s="313"/>
      <c r="AD322" s="313"/>
      <c r="AE322" s="313"/>
      <c r="AF322" s="313"/>
      <c r="AG322" s="313"/>
      <c r="AH322" s="313"/>
      <c r="AI322" s="313"/>
      <c r="AJ322" s="313"/>
      <c r="AK322" s="313"/>
      <c r="AL322" s="313"/>
      <c r="AM322" s="313"/>
      <c r="AN322" s="313"/>
      <c r="AO322" s="313"/>
      <c r="AP322" s="313"/>
      <c r="AQ322" s="313"/>
      <c r="AR322" s="313"/>
      <c r="AS322" s="313"/>
      <c r="AT322" s="313"/>
      <c r="AU322" s="313"/>
      <c r="AV322" s="313"/>
      <c r="AW322" s="313"/>
      <c r="AX322" s="313"/>
      <c r="AY322" s="313"/>
      <c r="AZ322" s="313"/>
    </row>
    <row r="323" spans="1:54" s="291" customFormat="1" ht="18" customHeight="1">
      <c r="A323" s="294"/>
      <c r="B323" s="287"/>
      <c r="C323" s="287"/>
      <c r="D323" s="287"/>
      <c r="E323" s="288"/>
      <c r="F323" s="288"/>
      <c r="G323" s="288"/>
      <c r="H323" s="288"/>
      <c r="I323" s="288"/>
      <c r="J323" s="288"/>
      <c r="K323" s="287"/>
      <c r="L323" s="287"/>
      <c r="M323" s="287"/>
      <c r="N323" s="287"/>
      <c r="O323" s="287"/>
      <c r="P323" s="287"/>
      <c r="Q323" s="488"/>
      <c r="R323" s="488"/>
      <c r="S323" s="287"/>
      <c r="T323" s="287"/>
      <c r="U323" s="288"/>
      <c r="V323" s="288"/>
      <c r="W323" s="288"/>
      <c r="X323" s="288"/>
      <c r="Y323" s="287"/>
      <c r="Z323" s="287"/>
      <c r="AA323" s="287"/>
      <c r="AB323" s="288"/>
      <c r="AC323" s="288"/>
      <c r="AD323" s="288"/>
      <c r="AE323" s="288"/>
      <c r="AF323" s="288"/>
      <c r="AG323" s="288"/>
      <c r="AH323" s="288"/>
      <c r="AI323" s="288"/>
      <c r="AJ323" s="288"/>
      <c r="AK323" s="288"/>
      <c r="AL323" s="288"/>
      <c r="AM323" s="288"/>
      <c r="AN323" s="288"/>
      <c r="AO323" s="288"/>
      <c r="AP323" s="288"/>
      <c r="AQ323" s="288"/>
      <c r="AR323" s="288"/>
      <c r="AS323" s="288"/>
      <c r="AT323" s="288"/>
      <c r="AU323" s="288"/>
      <c r="AV323" s="288"/>
      <c r="AW323" s="288"/>
      <c r="AX323" s="288"/>
      <c r="AY323" s="288"/>
      <c r="AZ323" s="288"/>
    </row>
    <row r="324" spans="1:54" s="291" customFormat="1" ht="18" customHeight="1">
      <c r="A324" s="292" t="s">
        <v>522</v>
      </c>
      <c r="B324" s="295" t="s">
        <v>523</v>
      </c>
      <c r="C324" s="295"/>
      <c r="D324" s="287"/>
      <c r="E324" s="287"/>
      <c r="F324" s="287"/>
      <c r="G324" s="287"/>
      <c r="H324" s="287"/>
      <c r="I324" s="287"/>
      <c r="J324" s="287"/>
      <c r="K324" s="287"/>
      <c r="L324" s="287"/>
      <c r="M324" s="287"/>
      <c r="N324" s="287"/>
      <c r="O324" s="287"/>
      <c r="P324" s="287"/>
      <c r="Q324" s="488"/>
      <c r="R324" s="488"/>
      <c r="S324" s="287"/>
      <c r="T324" s="287"/>
      <c r="U324" s="288"/>
      <c r="V324" s="288"/>
      <c r="W324" s="288"/>
      <c r="X324" s="288"/>
      <c r="Y324" s="287"/>
      <c r="Z324" s="287"/>
      <c r="AA324" s="287"/>
      <c r="AB324" s="288"/>
      <c r="AC324" s="288"/>
      <c r="AD324" s="288"/>
      <c r="AE324" s="288"/>
      <c r="AF324" s="288"/>
      <c r="AG324" s="288"/>
      <c r="AH324" s="288"/>
      <c r="AI324" s="288"/>
      <c r="AJ324" s="288"/>
      <c r="AK324" s="288"/>
      <c r="AL324" s="288"/>
      <c r="AM324" s="288"/>
      <c r="AN324" s="288"/>
      <c r="AO324" s="288"/>
      <c r="AP324" s="288"/>
      <c r="AQ324" s="288"/>
      <c r="AR324" s="288"/>
      <c r="AS324" s="288"/>
      <c r="AT324" s="288"/>
      <c r="AU324" s="288"/>
      <c r="AV324" s="288"/>
      <c r="AW324" s="288"/>
      <c r="AX324" s="288"/>
      <c r="AY324" s="288"/>
      <c r="AZ324" s="288"/>
      <c r="BA324" s="329"/>
    </row>
    <row r="325" spans="1:54" s="291" customFormat="1" ht="11.25" customHeight="1">
      <c r="A325" s="294"/>
      <c r="B325" s="287"/>
      <c r="C325" s="287"/>
      <c r="D325" s="287"/>
      <c r="E325" s="287"/>
      <c r="F325" s="287"/>
      <c r="G325" s="330"/>
      <c r="H325" s="330"/>
      <c r="I325" s="1499"/>
      <c r="J325" s="1499"/>
      <c r="K325" s="1499"/>
      <c r="L325" s="1499"/>
      <c r="M325" s="288"/>
      <c r="N325" s="288"/>
      <c r="O325" s="288"/>
      <c r="P325" s="287"/>
      <c r="Q325" s="488"/>
      <c r="R325" s="488"/>
      <c r="S325" s="287"/>
      <c r="T325" s="287"/>
      <c r="U325" s="288"/>
      <c r="V325" s="288"/>
      <c r="W325" s="288"/>
      <c r="X325" s="288"/>
      <c r="Y325" s="287"/>
      <c r="Z325" s="1499"/>
      <c r="AA325" s="1499"/>
      <c r="AB325" s="1499"/>
      <c r="AC325" s="1499"/>
      <c r="AD325" s="288"/>
      <c r="AE325" s="288"/>
      <c r="AF325" s="288"/>
      <c r="AG325" s="288"/>
      <c r="AH325" s="288"/>
      <c r="AI325" s="288"/>
      <c r="AJ325" s="288"/>
      <c r="AK325" s="288"/>
      <c r="AL325" s="288"/>
      <c r="AM325" s="288"/>
      <c r="AN325" s="288"/>
      <c r="AO325" s="1499"/>
      <c r="AP325" s="1499"/>
      <c r="AQ325" s="1499"/>
      <c r="AR325" s="1499"/>
      <c r="AS325" s="288"/>
      <c r="AT325" s="288"/>
      <c r="AU325" s="288"/>
      <c r="AV325" s="288"/>
      <c r="AW325" s="288"/>
      <c r="AX325" s="288"/>
      <c r="AY325" s="288"/>
      <c r="AZ325" s="288"/>
      <c r="BA325" s="329"/>
    </row>
    <row r="326" spans="1:54" s="325" customFormat="1" ht="26.25" customHeight="1">
      <c r="A326" s="308"/>
      <c r="B326" s="308" t="s">
        <v>2810</v>
      </c>
      <c r="C326" s="308"/>
      <c r="D326" s="308"/>
      <c r="E326" s="308"/>
      <c r="F326" s="308"/>
      <c r="G326" s="308"/>
      <c r="H326" s="1211"/>
      <c r="I326" s="1212"/>
      <c r="J326" s="1212"/>
      <c r="K326" s="1213"/>
      <c r="L326" s="287"/>
      <c r="M326" s="308"/>
      <c r="N326" s="308"/>
      <c r="O326" s="287" t="s">
        <v>2811</v>
      </c>
      <c r="P326" s="287"/>
      <c r="Q326" s="1158"/>
      <c r="R326" s="1158"/>
      <c r="S326" s="1158"/>
      <c r="T326" s="1158"/>
      <c r="U326" s="1155"/>
      <c r="V326" s="1502">
        <v>10</v>
      </c>
      <c r="W326" s="1503"/>
      <c r="X326" s="1503"/>
      <c r="Y326" s="1504"/>
      <c r="Z326" s="308"/>
      <c r="AA326" s="308"/>
      <c r="AB326" s="1505" t="s">
        <v>783</v>
      </c>
      <c r="AC326" s="1505"/>
      <c r="AD326" s="1505"/>
      <c r="AE326" s="1505"/>
      <c r="AF326" s="1505"/>
      <c r="AG326" s="1505"/>
      <c r="AH326" s="1505"/>
      <c r="AI326" s="1506"/>
      <c r="AJ326" s="1670" t="str">
        <f>IF(MOD(H326,12)=0,""&amp;INT(H326/12)+V326&amp;" AÑOS",""&amp;INT(H326/12)+V326&amp;" AÑOS + "&amp;MOD(H326,12)&amp;" MESES")</f>
        <v>10 AÑOS</v>
      </c>
      <c r="AK326" s="1670"/>
      <c r="AL326" s="1670"/>
      <c r="AM326" s="1670"/>
      <c r="AN326" s="1670"/>
      <c r="AO326" s="1670"/>
      <c r="AP326" s="1233"/>
      <c r="AQ326" s="1233"/>
      <c r="AR326" s="1233"/>
      <c r="AS326" s="1233"/>
      <c r="AT326" s="1233"/>
      <c r="AU326" s="1233"/>
      <c r="AV326" s="1233"/>
      <c r="AW326" s="1233"/>
      <c r="AX326" s="1233"/>
      <c r="AY326" s="1233"/>
      <c r="AZ326" s="487"/>
      <c r="BA326" s="309"/>
      <c r="BB326" s="324"/>
    </row>
    <row r="327" spans="1:54" s="291" customFormat="1" ht="4.5" customHeight="1">
      <c r="A327" s="308"/>
      <c r="B327" s="308"/>
      <c r="C327" s="308"/>
      <c r="D327" s="308"/>
      <c r="E327" s="308"/>
      <c r="F327" s="308"/>
      <c r="G327" s="308"/>
      <c r="H327" s="308"/>
      <c r="I327" s="287"/>
      <c r="J327" s="287"/>
      <c r="K327" s="287"/>
      <c r="L327" s="287"/>
      <c r="M327" s="287"/>
      <c r="N327" s="287"/>
      <c r="O327" s="287"/>
      <c r="P327" s="287"/>
      <c r="Q327" s="488"/>
      <c r="R327" s="488"/>
      <c r="S327" s="287"/>
      <c r="T327" s="287"/>
      <c r="U327" s="288"/>
      <c r="V327" s="288"/>
      <c r="W327" s="288"/>
      <c r="X327" s="288"/>
      <c r="Y327" s="287"/>
      <c r="Z327" s="287"/>
      <c r="AA327" s="287"/>
      <c r="AB327" s="288"/>
      <c r="AC327" s="288"/>
      <c r="AD327" s="288"/>
      <c r="AE327" s="288"/>
      <c r="AF327" s="288"/>
      <c r="AG327" s="288"/>
      <c r="AH327" s="288"/>
      <c r="AI327" s="288"/>
      <c r="AJ327" s="288"/>
      <c r="AK327" s="288"/>
      <c r="AL327" s="288"/>
      <c r="AM327" s="288"/>
      <c r="AN327" s="288"/>
      <c r="AO327" s="288"/>
      <c r="AP327" s="288"/>
      <c r="AQ327" s="288"/>
      <c r="AR327" s="293"/>
      <c r="AS327" s="487"/>
      <c r="AT327" s="487"/>
      <c r="AU327" s="487"/>
      <c r="AV327" s="487"/>
      <c r="AW327" s="487"/>
      <c r="AX327" s="487"/>
      <c r="AY327" s="487"/>
      <c r="AZ327" s="487"/>
    </row>
    <row r="328" spans="1:54" s="291" customFormat="1" ht="14.25" customHeight="1">
      <c r="A328" s="308"/>
      <c r="B328" s="308"/>
      <c r="C328" s="308"/>
      <c r="D328" s="308"/>
      <c r="E328" s="308"/>
      <c r="F328" s="308"/>
      <c r="G328" s="308"/>
      <c r="H328" s="308"/>
      <c r="I328" s="287"/>
      <c r="J328" s="287"/>
      <c r="K328" s="287"/>
      <c r="L328" s="287"/>
      <c r="M328" s="287"/>
      <c r="N328" s="287"/>
      <c r="O328" s="287"/>
      <c r="P328" s="287"/>
      <c r="Q328" s="488"/>
      <c r="R328" s="488"/>
      <c r="S328" s="287"/>
      <c r="T328" s="287"/>
      <c r="U328" s="288"/>
      <c r="V328" s="288"/>
      <c r="W328" s="288"/>
      <c r="X328" s="288"/>
      <c r="Y328" s="287"/>
      <c r="Z328" s="287"/>
      <c r="AA328" s="287"/>
      <c r="AB328" s="288"/>
      <c r="AC328" s="288"/>
      <c r="AD328" s="288"/>
      <c r="AE328" s="288"/>
      <c r="AF328" s="288"/>
      <c r="AG328" s="288"/>
      <c r="AH328" s="288"/>
      <c r="AI328" s="288"/>
      <c r="AJ328" s="288"/>
      <c r="AK328" s="288"/>
      <c r="AL328" s="288"/>
      <c r="AM328" s="288"/>
      <c r="AN328" s="288"/>
      <c r="AO328" s="288"/>
      <c r="AP328" s="288"/>
      <c r="AQ328" s="288"/>
      <c r="AR328" s="293"/>
      <c r="AS328" s="487"/>
      <c r="AT328" s="487"/>
      <c r="AU328" s="487"/>
      <c r="AV328" s="487"/>
      <c r="AW328" s="487"/>
      <c r="AX328" s="487"/>
      <c r="AY328" s="487"/>
      <c r="AZ328" s="487"/>
    </row>
    <row r="329" spans="1:54" s="291" customFormat="1" ht="18" customHeight="1">
      <c r="A329" s="292" t="s">
        <v>524</v>
      </c>
      <c r="B329" s="295" t="s">
        <v>395</v>
      </c>
      <c r="C329" s="295"/>
      <c r="D329" s="295"/>
      <c r="E329" s="287"/>
      <c r="F329" s="287"/>
      <c r="G329" s="287"/>
      <c r="H329" s="287"/>
      <c r="I329" s="287"/>
      <c r="J329" s="287"/>
      <c r="K329" s="287"/>
      <c r="L329" s="287"/>
      <c r="M329" s="287"/>
      <c r="N329" s="287"/>
      <c r="P329" s="287"/>
      <c r="Q329" s="488"/>
      <c r="R329" s="488"/>
      <c r="S329" s="287"/>
      <c r="T329" s="287"/>
      <c r="U329" s="288"/>
      <c r="V329" s="288"/>
      <c r="W329" s="1314"/>
      <c r="X329" s="1314"/>
      <c r="Y329" s="1314"/>
      <c r="Z329" s="1314"/>
      <c r="AA329" s="1314"/>
      <c r="AB329" s="288"/>
      <c r="AC329" s="288"/>
      <c r="AD329" s="288"/>
      <c r="AE329" s="288"/>
      <c r="AF329" s="288"/>
      <c r="AG329" s="288"/>
      <c r="AH329" s="288"/>
      <c r="AI329" s="288"/>
      <c r="AJ329" s="288"/>
      <c r="AK329" s="288"/>
      <c r="AL329" s="288"/>
      <c r="AM329" s="288"/>
      <c r="AN329" s="288"/>
      <c r="AO329" s="288"/>
      <c r="AP329" s="288"/>
      <c r="AQ329" s="288"/>
      <c r="AR329" s="288"/>
      <c r="AS329" s="288"/>
      <c r="AT329" s="288"/>
      <c r="AU329" s="288"/>
      <c r="AV329" s="288"/>
      <c r="AW329" s="288"/>
      <c r="AX329" s="288"/>
      <c r="AY329" s="288"/>
      <c r="AZ329" s="288"/>
    </row>
    <row r="330" spans="1:54" s="291" customFormat="1" ht="18" customHeight="1">
      <c r="A330" s="294"/>
      <c r="B330" s="305"/>
      <c r="C330" s="478"/>
      <c r="D330" s="478"/>
      <c r="E330" s="478"/>
      <c r="F330" s="478"/>
      <c r="G330" s="478"/>
      <c r="H330" s="478"/>
      <c r="I330" s="287"/>
      <c r="J330" s="287"/>
      <c r="K330" s="287"/>
      <c r="L330" s="330"/>
      <c r="M330" s="330"/>
      <c r="N330" s="330"/>
      <c r="O330" s="330"/>
      <c r="P330" s="330"/>
      <c r="Q330" s="488"/>
      <c r="R330" s="488"/>
      <c r="S330" s="287"/>
      <c r="T330" s="287"/>
      <c r="U330" s="288"/>
      <c r="V330" s="288"/>
      <c r="W330" s="288"/>
      <c r="X330" s="288"/>
      <c r="Y330" s="287"/>
      <c r="Z330" s="287"/>
      <c r="AA330" s="287"/>
      <c r="AB330" s="288"/>
      <c r="AC330" s="288"/>
      <c r="AD330" s="288"/>
      <c r="AE330" s="288"/>
      <c r="AF330" s="288"/>
      <c r="AG330" s="288"/>
      <c r="AH330" s="288"/>
      <c r="AI330" s="288"/>
      <c r="AJ330" s="288"/>
      <c r="AK330" s="288"/>
      <c r="AL330" s="288"/>
      <c r="AM330" s="288"/>
      <c r="AN330" s="288"/>
      <c r="AO330" s="288"/>
      <c r="AP330" s="288"/>
      <c r="AQ330" s="288"/>
      <c r="AR330" s="288"/>
      <c r="AS330" s="288"/>
      <c r="AT330" s="288"/>
      <c r="AU330" s="288"/>
      <c r="AV330" s="288"/>
      <c r="AW330" s="288"/>
      <c r="AX330" s="288"/>
      <c r="AY330" s="288"/>
      <c r="AZ330" s="288"/>
    </row>
    <row r="331" spans="1:54" s="291" customFormat="1" ht="18" customHeight="1">
      <c r="A331" s="294"/>
      <c r="B331" s="295" t="s">
        <v>525</v>
      </c>
      <c r="C331" s="287"/>
      <c r="D331" s="287"/>
      <c r="E331" s="287"/>
      <c r="F331" s="287"/>
      <c r="G331" s="287"/>
      <c r="H331" s="287"/>
      <c r="I331" s="287"/>
      <c r="J331" s="330"/>
      <c r="K331" s="287"/>
      <c r="L331" s="288"/>
      <c r="M331" s="288"/>
      <c r="N331" s="288"/>
      <c r="O331" s="288"/>
      <c r="P331" s="288"/>
      <c r="Q331" s="488"/>
      <c r="R331" s="488"/>
      <c r="S331" s="287"/>
      <c r="T331" s="287"/>
      <c r="U331" s="288"/>
      <c r="V331" s="288"/>
      <c r="W331" s="288"/>
      <c r="X331" s="288"/>
      <c r="Y331" s="287"/>
      <c r="Z331" s="287"/>
      <c r="AA331" s="287"/>
      <c r="AB331" s="288"/>
      <c r="AC331" s="288"/>
      <c r="AD331" s="288"/>
      <c r="AE331" s="288"/>
      <c r="AF331" s="288"/>
      <c r="AG331" s="288"/>
      <c r="AH331" s="288"/>
      <c r="AI331" s="288"/>
      <c r="AJ331" s="288"/>
      <c r="AK331" s="288"/>
      <c r="AL331" s="288"/>
      <c r="AM331" s="288"/>
      <c r="AN331" s="288"/>
      <c r="AO331" s="288"/>
      <c r="AP331" s="288"/>
      <c r="AQ331" s="288"/>
      <c r="AR331" s="288"/>
      <c r="AS331" s="288"/>
      <c r="AT331" s="288"/>
      <c r="AU331" s="288"/>
      <c r="AV331" s="288"/>
      <c r="AW331" s="288"/>
      <c r="AX331" s="288"/>
      <c r="AY331" s="288"/>
      <c r="AZ331" s="288"/>
    </row>
    <row r="332" spans="1:54" s="291" customFormat="1" ht="18" customHeight="1">
      <c r="A332" s="294"/>
      <c r="B332" s="295"/>
      <c r="C332" s="287"/>
      <c r="D332" s="287"/>
      <c r="E332" s="287"/>
      <c r="F332" s="287"/>
      <c r="G332" s="287"/>
      <c r="H332" s="287"/>
      <c r="I332" s="287"/>
      <c r="J332" s="330"/>
      <c r="K332" s="287"/>
      <c r="L332" s="288"/>
      <c r="M332" s="288"/>
      <c r="N332" s="288"/>
      <c r="O332" s="288"/>
      <c r="P332" s="288"/>
      <c r="Q332" s="488"/>
      <c r="R332" s="488"/>
      <c r="S332" s="287"/>
      <c r="T332" s="287"/>
      <c r="U332" s="288"/>
      <c r="V332" s="288"/>
      <c r="W332" s="288"/>
      <c r="X332" s="288"/>
      <c r="Y332" s="287"/>
      <c r="Z332" s="287"/>
      <c r="AA332" s="287"/>
      <c r="AB332" s="288"/>
      <c r="AC332" s="288"/>
      <c r="AD332" s="288"/>
      <c r="AE332" s="288"/>
      <c r="AF332" s="288"/>
      <c r="AG332" s="288"/>
      <c r="AH332" s="288"/>
      <c r="AI332" s="288"/>
      <c r="AJ332" s="288"/>
      <c r="AK332" s="288"/>
      <c r="AL332" s="288"/>
      <c r="AM332" s="288"/>
      <c r="AN332" s="288"/>
      <c r="AO332" s="288"/>
      <c r="AP332" s="288"/>
      <c r="AQ332" s="288"/>
      <c r="AR332" s="288"/>
      <c r="AS332" s="288"/>
      <c r="AT332" s="288"/>
      <c r="AU332" s="288"/>
      <c r="AV332" s="288"/>
      <c r="AW332" s="288"/>
      <c r="AX332" s="288"/>
      <c r="AY332" s="288"/>
      <c r="AZ332" s="288"/>
    </row>
    <row r="333" spans="1:54" s="291" customFormat="1" ht="18" customHeight="1">
      <c r="A333" s="294"/>
      <c r="B333" s="1305" t="s">
        <v>2812</v>
      </c>
      <c r="C333" s="1306"/>
      <c r="D333" s="1306"/>
      <c r="E333" s="1306"/>
      <c r="F333" s="1306"/>
      <c r="G333" s="1306"/>
      <c r="H333" s="1306"/>
      <c r="I333" s="1306"/>
      <c r="J333" s="1306"/>
      <c r="K333" s="1306"/>
      <c r="L333" s="1306"/>
      <c r="M333" s="1306"/>
      <c r="N333" s="1306"/>
      <c r="O333" s="1306"/>
      <c r="P333" s="331"/>
      <c r="Q333" s="332"/>
      <c r="R333" s="333"/>
      <c r="S333" s="1253" t="s">
        <v>397</v>
      </c>
      <c r="T333" s="1254"/>
      <c r="U333" s="1254"/>
      <c r="V333" s="1254"/>
      <c r="W333" s="1255"/>
      <c r="X333" s="1253" t="s">
        <v>458</v>
      </c>
      <c r="Y333" s="1254"/>
      <c r="Z333" s="1254"/>
      <c r="AA333" s="1254"/>
      <c r="AB333" s="1255"/>
      <c r="AC333" s="1253" t="s">
        <v>47</v>
      </c>
      <c r="AD333" s="1254"/>
      <c r="AE333" s="1254"/>
      <c r="AF333" s="1254"/>
      <c r="AG333" s="1255"/>
      <c r="AH333" s="1253" t="s">
        <v>56</v>
      </c>
      <c r="AI333" s="1254"/>
      <c r="AJ333" s="1254"/>
      <c r="AK333" s="1254"/>
      <c r="AL333" s="1255"/>
      <c r="AM333" s="313"/>
      <c r="AN333" s="288"/>
      <c r="AO333" s="288"/>
      <c r="AP333" s="288"/>
      <c r="AQ333" s="288"/>
      <c r="AR333" s="288"/>
      <c r="AS333" s="288"/>
      <c r="AT333" s="288"/>
      <c r="AU333" s="288"/>
      <c r="AV333" s="288"/>
      <c r="AW333" s="288"/>
      <c r="AX333" s="288"/>
      <c r="AY333" s="288"/>
      <c r="AZ333" s="288"/>
    </row>
    <row r="334" spans="1:54" s="291" customFormat="1" ht="18" customHeight="1">
      <c r="A334" s="294"/>
      <c r="B334" s="1169" t="s">
        <v>526</v>
      </c>
      <c r="C334" s="1170"/>
      <c r="D334" s="1170"/>
      <c r="E334" s="1170"/>
      <c r="F334" s="1170"/>
      <c r="G334" s="1170"/>
      <c r="H334" s="1170"/>
      <c r="I334" s="1170"/>
      <c r="J334" s="1170"/>
      <c r="K334" s="1170"/>
      <c r="L334" s="1170"/>
      <c r="M334" s="1170"/>
      <c r="N334" s="1170"/>
      <c r="O334" s="1170"/>
      <c r="P334" s="1231"/>
      <c r="Q334" s="1231"/>
      <c r="R334" s="1232"/>
      <c r="S334" s="1228" t="s">
        <v>129</v>
      </c>
      <c r="T334" s="1229"/>
      <c r="U334" s="1229"/>
      <c r="V334" s="1229"/>
      <c r="W334" s="1230"/>
      <c r="X334" s="1507">
        <f>'Demanda Oferta'!C14</f>
        <v>0</v>
      </c>
      <c r="Y334" s="1229"/>
      <c r="Z334" s="1229"/>
      <c r="AA334" s="1229"/>
      <c r="AB334" s="1230"/>
      <c r="AC334" s="1437">
        <f>'Demanda Oferta'!C16</f>
        <v>0</v>
      </c>
      <c r="AD334" s="1188"/>
      <c r="AE334" s="1188"/>
      <c r="AF334" s="1188"/>
      <c r="AG334" s="1210"/>
      <c r="AH334" s="1437">
        <f>'Demanda Oferta'!C25</f>
        <v>0</v>
      </c>
      <c r="AI334" s="1188"/>
      <c r="AJ334" s="1188"/>
      <c r="AK334" s="1188"/>
      <c r="AL334" s="1210"/>
      <c r="AM334" s="313"/>
      <c r="AN334" s="288"/>
      <c r="AO334" s="288"/>
      <c r="AP334" s="288"/>
      <c r="AQ334" s="288"/>
      <c r="AR334" s="288"/>
      <c r="AS334" s="288"/>
      <c r="AT334" s="288"/>
      <c r="AU334" s="288"/>
      <c r="AV334" s="288"/>
      <c r="AW334" s="288"/>
      <c r="AX334" s="288"/>
      <c r="AY334" s="288"/>
      <c r="AZ334" s="288"/>
    </row>
    <row r="335" spans="1:54" s="291" customFormat="1" ht="18" customHeight="1">
      <c r="A335" s="294"/>
      <c r="B335" s="1169" t="s">
        <v>386</v>
      </c>
      <c r="C335" s="1170"/>
      <c r="D335" s="1170"/>
      <c r="E335" s="1170"/>
      <c r="F335" s="1170"/>
      <c r="G335" s="1170"/>
      <c r="H335" s="1170"/>
      <c r="I335" s="1170"/>
      <c r="J335" s="1170"/>
      <c r="K335" s="1170"/>
      <c r="L335" s="1170"/>
      <c r="M335" s="1170"/>
      <c r="N335" s="1170"/>
      <c r="O335" s="1170"/>
      <c r="P335" s="1231"/>
      <c r="Q335" s="1231"/>
      <c r="R335" s="1232"/>
      <c r="S335" s="1228" t="s">
        <v>527</v>
      </c>
      <c r="T335" s="1229"/>
      <c r="U335" s="1229"/>
      <c r="V335" s="1229"/>
      <c r="W335" s="1230"/>
      <c r="X335" s="1262">
        <f>'Demanda Oferta'!D14</f>
        <v>0</v>
      </c>
      <c r="Y335" s="1263"/>
      <c r="Z335" s="1263"/>
      <c r="AA335" s="1263"/>
      <c r="AB335" s="1264"/>
      <c r="AC335" s="1265">
        <f>'Demanda Oferta'!D16</f>
        <v>0</v>
      </c>
      <c r="AD335" s="1266"/>
      <c r="AE335" s="1266"/>
      <c r="AF335" s="1266"/>
      <c r="AG335" s="1267"/>
      <c r="AH335" s="1265">
        <f>'Demanda Oferta'!D25</f>
        <v>0</v>
      </c>
      <c r="AI335" s="1266"/>
      <c r="AJ335" s="1266"/>
      <c r="AK335" s="1266"/>
      <c r="AL335" s="1267"/>
      <c r="AM335" s="313"/>
      <c r="AN335" s="288"/>
      <c r="AO335" s="288"/>
      <c r="AP335" s="288"/>
      <c r="AQ335" s="288"/>
      <c r="AR335" s="288"/>
      <c r="AS335" s="288"/>
      <c r="AT335" s="288"/>
      <c r="AU335" s="288"/>
      <c r="AV335" s="288"/>
      <c r="AW335" s="288"/>
      <c r="AX335" s="288"/>
      <c r="AY335" s="288"/>
      <c r="AZ335" s="288"/>
    </row>
    <row r="336" spans="1:54" s="291" customFormat="1" ht="18" customHeight="1">
      <c r="A336" s="294"/>
      <c r="B336" s="1169" t="s">
        <v>384</v>
      </c>
      <c r="C336" s="1170"/>
      <c r="D336" s="1170"/>
      <c r="E336" s="1170"/>
      <c r="F336" s="1170"/>
      <c r="G336" s="1170"/>
      <c r="H336" s="1170"/>
      <c r="I336" s="1170"/>
      <c r="J336" s="1170"/>
      <c r="K336" s="1170"/>
      <c r="L336" s="1170"/>
      <c r="M336" s="1170"/>
      <c r="N336" s="1170"/>
      <c r="O336" s="1170"/>
      <c r="P336" s="1231"/>
      <c r="Q336" s="1231"/>
      <c r="R336" s="1232"/>
      <c r="S336" s="1228" t="s">
        <v>5</v>
      </c>
      <c r="T336" s="1229"/>
      <c r="U336" s="1229"/>
      <c r="V336" s="1229"/>
      <c r="W336" s="1230"/>
      <c r="X336" s="1258">
        <f>DATOS!Q18</f>
        <v>0</v>
      </c>
      <c r="Y336" s="1259"/>
      <c r="Z336" s="1259"/>
      <c r="AA336" s="1259"/>
      <c r="AB336" s="1260"/>
      <c r="AC336" s="1244">
        <f>X336</f>
        <v>0</v>
      </c>
      <c r="AD336" s="1184"/>
      <c r="AE336" s="1184"/>
      <c r="AF336" s="1184"/>
      <c r="AG336" s="1245"/>
      <c r="AH336" s="1244">
        <f>AC336</f>
        <v>0</v>
      </c>
      <c r="AI336" s="1184"/>
      <c r="AJ336" s="1184"/>
      <c r="AK336" s="1184"/>
      <c r="AL336" s="1245"/>
      <c r="AM336" s="313"/>
      <c r="AN336" s="288"/>
      <c r="AO336" s="288"/>
      <c r="AP336" s="288"/>
      <c r="AQ336" s="288"/>
      <c r="AR336" s="288"/>
      <c r="AS336" s="288"/>
      <c r="AT336" s="288"/>
      <c r="AU336" s="288"/>
      <c r="AV336" s="288"/>
      <c r="AW336" s="288"/>
      <c r="AX336" s="288"/>
      <c r="AY336" s="288"/>
      <c r="AZ336" s="288"/>
    </row>
    <row r="337" spans="1:52" s="291" customFormat="1" ht="18" customHeight="1">
      <c r="A337" s="294"/>
      <c r="B337" s="1169" t="s">
        <v>2813</v>
      </c>
      <c r="C337" s="1170"/>
      <c r="D337" s="1170"/>
      <c r="E337" s="1170"/>
      <c r="F337" s="1170"/>
      <c r="G337" s="1170"/>
      <c r="H337" s="1170"/>
      <c r="I337" s="1170"/>
      <c r="J337" s="1170"/>
      <c r="K337" s="1170"/>
      <c r="L337" s="1170"/>
      <c r="M337" s="1170"/>
      <c r="N337" s="1170"/>
      <c r="O337" s="1170"/>
      <c r="P337" s="1231"/>
      <c r="Q337" s="1231"/>
      <c r="R337" s="1232"/>
      <c r="S337" s="1228" t="s">
        <v>5</v>
      </c>
      <c r="T337" s="1229"/>
      <c r="U337" s="1229"/>
      <c r="V337" s="1229"/>
      <c r="W337" s="1230"/>
      <c r="X337" s="1268">
        <f>DATOS!Q19</f>
        <v>0.01</v>
      </c>
      <c r="Y337" s="1269"/>
      <c r="Z337" s="1269"/>
      <c r="AA337" s="1269"/>
      <c r="AB337" s="1270"/>
      <c r="AC337" s="1271">
        <f>X337</f>
        <v>0.01</v>
      </c>
      <c r="AD337" s="1272"/>
      <c r="AE337" s="1272"/>
      <c r="AF337" s="1272"/>
      <c r="AG337" s="1273"/>
      <c r="AH337" s="1271">
        <f>AC337</f>
        <v>0.01</v>
      </c>
      <c r="AI337" s="1272"/>
      <c r="AJ337" s="1272"/>
      <c r="AK337" s="1272"/>
      <c r="AL337" s="1273"/>
      <c r="AM337" s="313"/>
      <c r="AN337" s="288"/>
      <c r="AO337" s="288"/>
      <c r="AP337" s="288"/>
      <c r="AQ337" s="288"/>
      <c r="AR337" s="288"/>
      <c r="AS337" s="288"/>
      <c r="AT337" s="288"/>
      <c r="AU337" s="288"/>
      <c r="AV337" s="288"/>
      <c r="AW337" s="288"/>
      <c r="AX337" s="288"/>
      <c r="AY337" s="288"/>
      <c r="AZ337" s="288"/>
    </row>
    <row r="338" spans="1:52" s="291" customFormat="1" ht="18" customHeight="1">
      <c r="A338" s="294"/>
      <c r="B338" s="1169" t="s">
        <v>388</v>
      </c>
      <c r="C338" s="1170"/>
      <c r="D338" s="1170"/>
      <c r="E338" s="1170"/>
      <c r="F338" s="1170"/>
      <c r="G338" s="1170"/>
      <c r="H338" s="1170"/>
      <c r="I338" s="1170"/>
      <c r="J338" s="1170"/>
      <c r="K338" s="1170"/>
      <c r="L338" s="1170"/>
      <c r="M338" s="1170"/>
      <c r="N338" s="1170"/>
      <c r="O338" s="1170"/>
      <c r="P338" s="1231"/>
      <c r="Q338" s="1231"/>
      <c r="R338" s="1232"/>
      <c r="S338" s="1228" t="s">
        <v>528</v>
      </c>
      <c r="T338" s="1229"/>
      <c r="U338" s="1229"/>
      <c r="V338" s="1229"/>
      <c r="W338" s="1230"/>
      <c r="X338" s="1500">
        <f>'Demanda Oferta'!G14</f>
        <v>0</v>
      </c>
      <c r="Y338" s="1259"/>
      <c r="Z338" s="1259"/>
      <c r="AA338" s="1259"/>
      <c r="AB338" s="1260"/>
      <c r="AC338" s="1261">
        <f>'Demanda Oferta'!G15</f>
        <v>0</v>
      </c>
      <c r="AD338" s="1184"/>
      <c r="AE338" s="1184"/>
      <c r="AF338" s="1184"/>
      <c r="AG338" s="1245"/>
      <c r="AH338" s="1261">
        <f>'Demanda Oferta'!G25</f>
        <v>0</v>
      </c>
      <c r="AI338" s="1184"/>
      <c r="AJ338" s="1184"/>
      <c r="AK338" s="1184"/>
      <c r="AL338" s="1245"/>
      <c r="AM338" s="313"/>
      <c r="AN338" s="288"/>
      <c r="AO338" s="288"/>
      <c r="AP338" s="288"/>
      <c r="AQ338" s="288"/>
      <c r="AR338" s="288"/>
      <c r="AS338" s="288"/>
      <c r="AT338" s="288"/>
      <c r="AU338" s="288"/>
      <c r="AV338" s="288"/>
      <c r="AW338" s="288"/>
      <c r="AX338" s="288"/>
      <c r="AY338" s="288"/>
      <c r="AZ338" s="288"/>
    </row>
    <row r="339" spans="1:52" s="291" customFormat="1" ht="18" customHeight="1">
      <c r="A339" s="294"/>
      <c r="B339" s="1169" t="s">
        <v>2814</v>
      </c>
      <c r="C339" s="1170"/>
      <c r="D339" s="1170"/>
      <c r="E339" s="1170"/>
      <c r="F339" s="1170"/>
      <c r="G339" s="1170">
        <v>0</v>
      </c>
      <c r="H339" s="1170"/>
      <c r="I339" s="1170"/>
      <c r="J339" s="1170"/>
      <c r="K339" s="1170"/>
      <c r="L339" s="1170"/>
      <c r="M339" s="1170"/>
      <c r="N339" s="1170"/>
      <c r="O339" s="1170"/>
      <c r="P339" s="1231"/>
      <c r="Q339" s="1231"/>
      <c r="R339" s="1232"/>
      <c r="S339" s="1228" t="s">
        <v>528</v>
      </c>
      <c r="T339" s="1229"/>
      <c r="U339" s="1229"/>
      <c r="V339" s="1229"/>
      <c r="W339" s="1230"/>
      <c r="X339" s="1243">
        <f>'Demanda Oferta'!I14</f>
        <v>0</v>
      </c>
      <c r="Y339" s="1229"/>
      <c r="Z339" s="1229"/>
      <c r="AA339" s="1229"/>
      <c r="AB339" s="1230"/>
      <c r="AC339" s="1204">
        <f>'Demanda Oferta'!I15</f>
        <v>0</v>
      </c>
      <c r="AD339" s="1188"/>
      <c r="AE339" s="1188"/>
      <c r="AF339" s="1188"/>
      <c r="AG339" s="1210"/>
      <c r="AH339" s="1204">
        <f>'Demanda Oferta'!I25</f>
        <v>0</v>
      </c>
      <c r="AI339" s="1188"/>
      <c r="AJ339" s="1188"/>
      <c r="AK339" s="1188"/>
      <c r="AL339" s="1210"/>
      <c r="AM339" s="313"/>
      <c r="AN339" s="288"/>
      <c r="AO339" s="288"/>
      <c r="AP339" s="288"/>
      <c r="AQ339" s="288"/>
      <c r="AR339" s="288"/>
      <c r="AS339" s="288"/>
      <c r="AT339" s="288"/>
      <c r="AU339" s="288"/>
      <c r="AV339" s="288"/>
      <c r="AW339" s="288"/>
      <c r="AX339" s="288"/>
      <c r="AY339" s="288"/>
      <c r="AZ339" s="288"/>
    </row>
    <row r="340" spans="1:52" s="291" customFormat="1" ht="18" customHeight="1">
      <c r="A340" s="294"/>
      <c r="B340" s="1169" t="s">
        <v>2815</v>
      </c>
      <c r="C340" s="1170"/>
      <c r="D340" s="1170"/>
      <c r="E340" s="1170"/>
      <c r="F340" s="1170"/>
      <c r="G340" s="1170"/>
      <c r="H340" s="1170"/>
      <c r="I340" s="1170"/>
      <c r="J340" s="1170"/>
      <c r="K340" s="1170"/>
      <c r="L340" s="1170"/>
      <c r="M340" s="1170"/>
      <c r="N340" s="1170"/>
      <c r="O340" s="1170"/>
      <c r="P340" s="1231"/>
      <c r="Q340" s="1231"/>
      <c r="R340" s="1232"/>
      <c r="S340" s="1228" t="s">
        <v>528</v>
      </c>
      <c r="T340" s="1229"/>
      <c r="U340" s="1229"/>
      <c r="V340" s="1229"/>
      <c r="W340" s="1230"/>
      <c r="X340" s="1243">
        <f>'Demanda Oferta'!K14</f>
        <v>0</v>
      </c>
      <c r="Y340" s="1229"/>
      <c r="Z340" s="1229"/>
      <c r="AA340" s="1229"/>
      <c r="AB340" s="1230"/>
      <c r="AC340" s="1204">
        <f>'Demanda Oferta'!K15</f>
        <v>0</v>
      </c>
      <c r="AD340" s="1188"/>
      <c r="AE340" s="1188"/>
      <c r="AF340" s="1188"/>
      <c r="AG340" s="1210"/>
      <c r="AH340" s="1204">
        <f>'Demanda Oferta'!K25</f>
        <v>0</v>
      </c>
      <c r="AI340" s="1188"/>
      <c r="AJ340" s="1188"/>
      <c r="AK340" s="1188"/>
      <c r="AL340" s="1210"/>
      <c r="AM340" s="313"/>
      <c r="AN340" s="288"/>
      <c r="AO340" s="288"/>
      <c r="AP340" s="288"/>
      <c r="AQ340" s="288"/>
      <c r="AR340" s="288"/>
      <c r="AS340" s="288"/>
      <c r="AT340" s="288"/>
      <c r="AU340" s="288"/>
      <c r="AV340" s="288"/>
      <c r="AW340" s="288"/>
      <c r="AX340" s="288"/>
      <c r="AY340" s="288"/>
      <c r="AZ340" s="288"/>
    </row>
    <row r="341" spans="1:52" s="291" customFormat="1" ht="36" customHeight="1">
      <c r="A341" s="294"/>
      <c r="B341" s="1405" t="s">
        <v>2816</v>
      </c>
      <c r="C341" s="1319"/>
      <c r="D341" s="1319"/>
      <c r="E341" s="1319"/>
      <c r="F341" s="1319"/>
      <c r="G341" s="1319"/>
      <c r="H341" s="1319"/>
      <c r="I341" s="1319"/>
      <c r="J341" s="1319"/>
      <c r="K341" s="1319"/>
      <c r="L341" s="1319"/>
      <c r="M341" s="1319"/>
      <c r="N341" s="1319"/>
      <c r="O341" s="1319"/>
      <c r="P341" s="1189"/>
      <c r="Q341" s="1189"/>
      <c r="R341" s="1190"/>
      <c r="S341" s="1228" t="s">
        <v>387</v>
      </c>
      <c r="T341" s="1229"/>
      <c r="U341" s="1229"/>
      <c r="V341" s="1229"/>
      <c r="W341" s="1230"/>
      <c r="X341" s="1501">
        <f>'Demanda Oferta'!R14</f>
        <v>0</v>
      </c>
      <c r="Y341" s="1229"/>
      <c r="Z341" s="1229"/>
      <c r="AA341" s="1229"/>
      <c r="AB341" s="1230"/>
      <c r="AC341" s="1204">
        <f>'Demanda Oferta'!R16</f>
        <v>0</v>
      </c>
      <c r="AD341" s="1205"/>
      <c r="AE341" s="1205"/>
      <c r="AF341" s="1205"/>
      <c r="AG341" s="1206"/>
      <c r="AH341" s="1204">
        <f>'Demanda Oferta'!R25</f>
        <v>0</v>
      </c>
      <c r="AI341" s="1205"/>
      <c r="AJ341" s="1205"/>
      <c r="AK341" s="1205"/>
      <c r="AL341" s="1206"/>
      <c r="AM341" s="313"/>
      <c r="AN341" s="288"/>
      <c r="AO341" s="288"/>
      <c r="AP341" s="288"/>
      <c r="AQ341" s="288"/>
      <c r="AR341" s="288"/>
      <c r="AS341" s="288"/>
      <c r="AT341" s="288"/>
      <c r="AU341" s="288"/>
      <c r="AV341" s="288"/>
      <c r="AW341" s="288"/>
      <c r="AX341" s="288"/>
      <c r="AY341" s="288"/>
      <c r="AZ341" s="288"/>
    </row>
    <row r="342" spans="1:52" s="291" customFormat="1" ht="18" customHeight="1">
      <c r="A342" s="294"/>
      <c r="B342" s="287"/>
      <c r="C342" s="488"/>
      <c r="D342" s="287"/>
      <c r="E342" s="287"/>
      <c r="F342" s="287"/>
      <c r="G342" s="287"/>
      <c r="H342" s="287"/>
      <c r="I342" s="287"/>
      <c r="J342" s="287"/>
      <c r="K342" s="287"/>
      <c r="L342" s="288"/>
      <c r="M342" s="288"/>
      <c r="N342" s="288"/>
      <c r="O342" s="288"/>
      <c r="P342" s="288"/>
      <c r="Q342" s="488"/>
      <c r="R342" s="488"/>
      <c r="S342" s="287"/>
      <c r="T342" s="287"/>
      <c r="U342" s="288"/>
      <c r="V342" s="288"/>
      <c r="W342" s="288"/>
      <c r="X342" s="288"/>
      <c r="Y342" s="287"/>
      <c r="Z342" s="287"/>
      <c r="AA342" s="287"/>
      <c r="AB342" s="288"/>
      <c r="AC342" s="288"/>
      <c r="AD342" s="288"/>
      <c r="AE342" s="288"/>
      <c r="AF342" s="288"/>
      <c r="AG342" s="288"/>
      <c r="AH342" s="288"/>
      <c r="AI342" s="288"/>
      <c r="AJ342" s="288"/>
      <c r="AK342" s="288"/>
      <c r="AL342" s="288"/>
      <c r="AM342" s="288"/>
      <c r="AN342" s="288"/>
      <c r="AO342" s="288"/>
      <c r="AP342" s="288"/>
      <c r="AQ342" s="288"/>
      <c r="AR342" s="288"/>
      <c r="AS342" s="288"/>
      <c r="AT342" s="288"/>
      <c r="AU342" s="288"/>
      <c r="AV342" s="288"/>
      <c r="AW342" s="288"/>
      <c r="AX342" s="288"/>
      <c r="AY342" s="288"/>
      <c r="AZ342" s="288"/>
    </row>
    <row r="343" spans="1:52" s="291" customFormat="1" ht="18" customHeight="1">
      <c r="A343" s="294"/>
      <c r="B343" s="295" t="s">
        <v>2574</v>
      </c>
      <c r="C343" s="287"/>
      <c r="D343" s="287"/>
      <c r="E343" s="287"/>
      <c r="F343" s="287"/>
      <c r="G343" s="287"/>
      <c r="H343" s="287"/>
      <c r="I343" s="287"/>
      <c r="J343" s="288"/>
      <c r="K343" s="288"/>
      <c r="L343" s="288"/>
      <c r="M343" s="288"/>
      <c r="N343" s="288"/>
      <c r="O343" s="288"/>
      <c r="P343" s="288"/>
      <c r="Q343" s="288"/>
      <c r="R343" s="288"/>
      <c r="S343" s="288"/>
      <c r="T343" s="288"/>
      <c r="U343" s="288"/>
      <c r="V343" s="288"/>
      <c r="W343" s="288"/>
      <c r="X343" s="288"/>
      <c r="Y343" s="288"/>
      <c r="Z343" s="1314"/>
      <c r="AA343" s="1314"/>
      <c r="AB343" s="1314"/>
      <c r="AC343" s="1314"/>
      <c r="AD343" s="1314"/>
      <c r="AE343" s="288"/>
      <c r="AF343" s="288"/>
      <c r="AG343" s="288"/>
      <c r="AH343" s="288"/>
      <c r="AI343" s="288"/>
      <c r="AJ343" s="288"/>
      <c r="AK343" s="288"/>
      <c r="AL343" s="288"/>
      <c r="AM343" s="288"/>
      <c r="AN343" s="288"/>
      <c r="AO343" s="288"/>
      <c r="AP343" s="288"/>
      <c r="AQ343" s="288"/>
      <c r="AR343" s="288"/>
      <c r="AS343" s="288"/>
      <c r="AT343" s="288"/>
      <c r="AU343" s="288"/>
      <c r="AV343" s="288"/>
      <c r="AW343" s="288"/>
      <c r="AX343" s="288"/>
      <c r="AY343" s="288"/>
      <c r="AZ343" s="288"/>
    </row>
    <row r="344" spans="1:52" s="291" customFormat="1" ht="18" customHeight="1">
      <c r="A344" s="294"/>
      <c r="B344" s="295"/>
      <c r="C344" s="287"/>
      <c r="D344" s="287"/>
      <c r="E344" s="287"/>
      <c r="F344" s="287"/>
      <c r="G344" s="287"/>
      <c r="H344" s="287"/>
      <c r="I344" s="287"/>
      <c r="J344" s="334"/>
      <c r="K344" s="334"/>
      <c r="L344" s="334"/>
      <c r="M344" s="334"/>
      <c r="N344" s="334"/>
      <c r="O344" s="334"/>
      <c r="P344" s="334"/>
      <c r="Q344" s="479"/>
      <c r="R344" s="479"/>
      <c r="S344" s="478"/>
      <c r="T344" s="478"/>
      <c r="U344" s="478"/>
      <c r="V344" s="478"/>
      <c r="W344" s="478"/>
      <c r="X344" s="478"/>
      <c r="Y344" s="478"/>
      <c r="Z344" s="478"/>
      <c r="AA344" s="478"/>
      <c r="AB344" s="478"/>
      <c r="AC344" s="288"/>
      <c r="AD344" s="288"/>
      <c r="AE344" s="288"/>
      <c r="AF344" s="288"/>
      <c r="AG344" s="288"/>
      <c r="AH344" s="288"/>
      <c r="AI344" s="288"/>
      <c r="AJ344" s="288"/>
      <c r="AK344" s="288"/>
      <c r="AL344" s="288"/>
      <c r="AM344" s="288"/>
      <c r="AN344" s="288"/>
      <c r="AO344" s="288"/>
      <c r="AP344" s="288"/>
      <c r="AQ344" s="288"/>
      <c r="AR344" s="288"/>
      <c r="AS344" s="288"/>
      <c r="AT344" s="288"/>
      <c r="AU344" s="288"/>
      <c r="AV344" s="288"/>
      <c r="AW344" s="288"/>
      <c r="AX344" s="288"/>
      <c r="AY344" s="288"/>
      <c r="AZ344" s="288"/>
    </row>
    <row r="345" spans="1:52" s="291" customFormat="1" ht="18" customHeight="1">
      <c r="A345" s="294"/>
      <c r="B345" s="1256" t="s">
        <v>1</v>
      </c>
      <c r="C345" s="1256"/>
      <c r="D345" s="1256"/>
      <c r="E345" s="1256" t="s">
        <v>529</v>
      </c>
      <c r="F345" s="1256"/>
      <c r="G345" s="1256"/>
      <c r="H345" s="1256"/>
      <c r="I345" s="1256"/>
      <c r="J345" s="1256"/>
      <c r="K345" s="1256"/>
      <c r="L345" s="1256"/>
      <c r="M345" s="1256"/>
      <c r="N345" s="1256"/>
      <c r="O345" s="1256"/>
      <c r="P345" s="1256"/>
      <c r="Q345" s="1508" t="s">
        <v>530</v>
      </c>
      <c r="R345" s="1509"/>
      <c r="S345" s="1509"/>
      <c r="T345" s="1509"/>
      <c r="U345" s="1509"/>
      <c r="V345" s="1509"/>
      <c r="W345" s="1509"/>
      <c r="X345" s="1509"/>
      <c r="Y345" s="1509"/>
      <c r="Z345" s="1509"/>
      <c r="AA345" s="1509"/>
      <c r="AB345" s="1510"/>
      <c r="AC345" s="1256" t="s">
        <v>531</v>
      </c>
      <c r="AD345" s="1256"/>
      <c r="AE345" s="1256"/>
      <c r="AF345" s="1256"/>
      <c r="AG345" s="1256"/>
      <c r="AH345" s="1256"/>
      <c r="AI345" s="1256"/>
      <c r="AJ345" s="1256"/>
      <c r="AK345" s="1256"/>
      <c r="AL345" s="1256"/>
      <c r="AM345" s="1256"/>
      <c r="AN345" s="1256"/>
      <c r="AO345" s="288"/>
      <c r="AP345" s="288"/>
      <c r="AQ345" s="288"/>
      <c r="AR345" s="288"/>
      <c r="AS345" s="288"/>
      <c r="AT345" s="288"/>
      <c r="AU345" s="288"/>
      <c r="AV345" s="288"/>
      <c r="AW345" s="288"/>
      <c r="AX345" s="288"/>
      <c r="AY345" s="288"/>
      <c r="AZ345" s="288"/>
    </row>
    <row r="346" spans="1:52" s="291" customFormat="1" ht="18" customHeight="1">
      <c r="A346" s="294"/>
      <c r="B346" s="1256"/>
      <c r="C346" s="1256"/>
      <c r="D346" s="1256"/>
      <c r="E346" s="1256"/>
      <c r="F346" s="1256"/>
      <c r="G346" s="1256"/>
      <c r="H346" s="1256"/>
      <c r="I346" s="1256"/>
      <c r="J346" s="1256"/>
      <c r="K346" s="1256"/>
      <c r="L346" s="1256"/>
      <c r="M346" s="1256"/>
      <c r="N346" s="1256"/>
      <c r="O346" s="1256"/>
      <c r="P346" s="1256"/>
      <c r="Q346" s="1511"/>
      <c r="R346" s="1512"/>
      <c r="S346" s="1512"/>
      <c r="T346" s="1512"/>
      <c r="U346" s="1512"/>
      <c r="V346" s="1512"/>
      <c r="W346" s="1512"/>
      <c r="X346" s="1512"/>
      <c r="Y346" s="1512"/>
      <c r="Z346" s="1512"/>
      <c r="AA346" s="1512"/>
      <c r="AB346" s="1513"/>
      <c r="AC346" s="1256"/>
      <c r="AD346" s="1256"/>
      <c r="AE346" s="1256"/>
      <c r="AF346" s="1256"/>
      <c r="AG346" s="1256"/>
      <c r="AH346" s="1256"/>
      <c r="AI346" s="1256"/>
      <c r="AJ346" s="1256"/>
      <c r="AK346" s="1256"/>
      <c r="AL346" s="1256"/>
      <c r="AM346" s="1256"/>
      <c r="AN346" s="1256"/>
      <c r="AO346" s="288"/>
      <c r="AP346" s="288"/>
      <c r="AQ346" s="288"/>
      <c r="AR346" s="288"/>
      <c r="AS346" s="288"/>
      <c r="AT346" s="288"/>
      <c r="AU346" s="288"/>
      <c r="AV346" s="288"/>
      <c r="AW346" s="288"/>
      <c r="AX346" s="288"/>
      <c r="AY346" s="288"/>
      <c r="AZ346" s="288"/>
    </row>
    <row r="347" spans="1:52" s="291" customFormat="1" ht="18" customHeight="1">
      <c r="A347" s="294"/>
      <c r="B347" s="1256"/>
      <c r="C347" s="1256"/>
      <c r="D347" s="1256"/>
      <c r="E347" s="1256" t="s">
        <v>532</v>
      </c>
      <c r="F347" s="1256"/>
      <c r="G347" s="1256"/>
      <c r="H347" s="1256"/>
      <c r="I347" s="1256" t="s">
        <v>533</v>
      </c>
      <c r="J347" s="1256"/>
      <c r="K347" s="1256"/>
      <c r="L347" s="1256"/>
      <c r="M347" s="1256" t="s">
        <v>534</v>
      </c>
      <c r="N347" s="1256"/>
      <c r="O347" s="1256"/>
      <c r="P347" s="1256"/>
      <c r="Q347" s="1253" t="s">
        <v>532</v>
      </c>
      <c r="R347" s="1254"/>
      <c r="S347" s="1254"/>
      <c r="T347" s="1255"/>
      <c r="U347" s="1256" t="s">
        <v>533</v>
      </c>
      <c r="V347" s="1256"/>
      <c r="W347" s="1256"/>
      <c r="X347" s="1256"/>
      <c r="Y347" s="1253" t="s">
        <v>534</v>
      </c>
      <c r="Z347" s="1254"/>
      <c r="AA347" s="1254"/>
      <c r="AB347" s="1255"/>
      <c r="AC347" s="1256" t="s">
        <v>532</v>
      </c>
      <c r="AD347" s="1256"/>
      <c r="AE347" s="1256"/>
      <c r="AF347" s="1256"/>
      <c r="AG347" s="1256" t="s">
        <v>533</v>
      </c>
      <c r="AH347" s="1256"/>
      <c r="AI347" s="1256"/>
      <c r="AJ347" s="1256"/>
      <c r="AK347" s="1256" t="s">
        <v>534</v>
      </c>
      <c r="AL347" s="1256"/>
      <c r="AM347" s="1256"/>
      <c r="AN347" s="1256"/>
      <c r="AO347" s="288"/>
      <c r="AP347" s="288"/>
      <c r="AQ347" s="288"/>
      <c r="AR347" s="288"/>
      <c r="AS347" s="288"/>
      <c r="AT347" s="288"/>
      <c r="AU347" s="288"/>
      <c r="AV347" s="288"/>
      <c r="AW347" s="288"/>
      <c r="AX347" s="288"/>
      <c r="AY347" s="288"/>
      <c r="AZ347" s="288"/>
    </row>
    <row r="348" spans="1:52" s="291" customFormat="1" ht="18" customHeight="1">
      <c r="A348" s="294"/>
      <c r="B348" s="1379">
        <v>0</v>
      </c>
      <c r="C348" s="1379"/>
      <c r="D348" s="1379"/>
      <c r="E348" s="1209">
        <f>'Demanda Oferta'!B90</f>
        <v>0</v>
      </c>
      <c r="F348" s="1208"/>
      <c r="G348" s="1208"/>
      <c r="H348" s="1208"/>
      <c r="I348" s="1209">
        <f>'Demanda Oferta'!C90</f>
        <v>0</v>
      </c>
      <c r="J348" s="1208"/>
      <c r="K348" s="1208"/>
      <c r="L348" s="1208"/>
      <c r="M348" s="1209">
        <f>'Demanda Oferta'!D90</f>
        <v>0</v>
      </c>
      <c r="N348" s="1208"/>
      <c r="O348" s="1208"/>
      <c r="P348" s="1208"/>
      <c r="Q348" s="1204">
        <f>'Demanda Oferta'!E90</f>
        <v>0</v>
      </c>
      <c r="R348" s="1205"/>
      <c r="S348" s="1205"/>
      <c r="T348" s="1206"/>
      <c r="U348" s="1209">
        <f>'Demanda Oferta'!F90</f>
        <v>0</v>
      </c>
      <c r="V348" s="1208"/>
      <c r="W348" s="1208"/>
      <c r="X348" s="1208"/>
      <c r="Y348" s="1204">
        <f>'Demanda Oferta'!G90</f>
        <v>0</v>
      </c>
      <c r="Z348" s="1188"/>
      <c r="AA348" s="1188"/>
      <c r="AB348" s="1210"/>
      <c r="AC348" s="1204">
        <f>'Demanda Oferta'!H90</f>
        <v>0</v>
      </c>
      <c r="AD348" s="1188"/>
      <c r="AE348" s="1188"/>
      <c r="AF348" s="1210"/>
      <c r="AG348" s="1204">
        <f>'Demanda Oferta'!I90</f>
        <v>0</v>
      </c>
      <c r="AH348" s="1188"/>
      <c r="AI348" s="1188"/>
      <c r="AJ348" s="1210"/>
      <c r="AK348" s="1207">
        <f>'Demanda Oferta'!J90</f>
        <v>0</v>
      </c>
      <c r="AL348" s="1208"/>
      <c r="AM348" s="1208"/>
      <c r="AN348" s="1208"/>
      <c r="AO348" s="288"/>
      <c r="AP348" s="288"/>
      <c r="AQ348" s="288"/>
      <c r="AR348" s="288"/>
      <c r="AS348" s="288"/>
      <c r="AT348" s="288"/>
      <c r="AU348" s="288"/>
      <c r="AV348" s="288"/>
      <c r="AW348" s="288"/>
      <c r="AX348" s="288"/>
      <c r="AY348" s="288"/>
      <c r="AZ348" s="288"/>
    </row>
    <row r="349" spans="1:52" s="291" customFormat="1" ht="18" customHeight="1">
      <c r="A349" s="294"/>
      <c r="B349" s="1379">
        <v>1</v>
      </c>
      <c r="C349" s="1379"/>
      <c r="D349" s="1379"/>
      <c r="E349" s="1209">
        <f>'Demanda Oferta'!B91</f>
        <v>0</v>
      </c>
      <c r="F349" s="1208"/>
      <c r="G349" s="1208"/>
      <c r="H349" s="1208"/>
      <c r="I349" s="1209">
        <f>'Demanda Oferta'!C91</f>
        <v>0</v>
      </c>
      <c r="J349" s="1208"/>
      <c r="K349" s="1208"/>
      <c r="L349" s="1208"/>
      <c r="M349" s="1209">
        <f>'Demanda Oferta'!D91</f>
        <v>0</v>
      </c>
      <c r="N349" s="1208"/>
      <c r="O349" s="1208"/>
      <c r="P349" s="1208"/>
      <c r="Q349" s="1204">
        <f>'Demanda Oferta'!E91</f>
        <v>0</v>
      </c>
      <c r="R349" s="1205"/>
      <c r="S349" s="1205"/>
      <c r="T349" s="1206"/>
      <c r="U349" s="1209">
        <f>'Demanda Oferta'!F91</f>
        <v>0</v>
      </c>
      <c r="V349" s="1208"/>
      <c r="W349" s="1208"/>
      <c r="X349" s="1208"/>
      <c r="Y349" s="1204">
        <f>'Demanda Oferta'!G91</f>
        <v>0</v>
      </c>
      <c r="Z349" s="1188"/>
      <c r="AA349" s="1188"/>
      <c r="AB349" s="1210"/>
      <c r="AC349" s="1204">
        <f>'Demanda Oferta'!H91</f>
        <v>0</v>
      </c>
      <c r="AD349" s="1188"/>
      <c r="AE349" s="1188"/>
      <c r="AF349" s="1210"/>
      <c r="AG349" s="1204">
        <f>'Demanda Oferta'!I91</f>
        <v>0</v>
      </c>
      <c r="AH349" s="1188"/>
      <c r="AI349" s="1188"/>
      <c r="AJ349" s="1210"/>
      <c r="AK349" s="1207">
        <f>'Demanda Oferta'!J91</f>
        <v>0</v>
      </c>
      <c r="AL349" s="1208"/>
      <c r="AM349" s="1208"/>
      <c r="AN349" s="1208"/>
      <c r="AO349" s="288"/>
      <c r="AP349" s="288"/>
      <c r="AQ349" s="288"/>
      <c r="AR349" s="288"/>
      <c r="AS349" s="288"/>
      <c r="AT349" s="288"/>
      <c r="AU349" s="288"/>
      <c r="AV349" s="288"/>
      <c r="AW349" s="288"/>
      <c r="AX349" s="288"/>
      <c r="AY349" s="288"/>
      <c r="AZ349" s="288"/>
    </row>
    <row r="350" spans="1:52" s="291" customFormat="1" ht="18" customHeight="1">
      <c r="A350" s="294"/>
      <c r="B350" s="1379">
        <v>2</v>
      </c>
      <c r="C350" s="1379"/>
      <c r="D350" s="1379"/>
      <c r="E350" s="1209">
        <f>'Demanda Oferta'!B92</f>
        <v>0</v>
      </c>
      <c r="F350" s="1208"/>
      <c r="G350" s="1208"/>
      <c r="H350" s="1208"/>
      <c r="I350" s="1209">
        <f>'Demanda Oferta'!C92</f>
        <v>0</v>
      </c>
      <c r="J350" s="1208"/>
      <c r="K350" s="1208"/>
      <c r="L350" s="1208"/>
      <c r="M350" s="1209">
        <f>'Demanda Oferta'!D92</f>
        <v>0</v>
      </c>
      <c r="N350" s="1208"/>
      <c r="O350" s="1208"/>
      <c r="P350" s="1208"/>
      <c r="Q350" s="1204">
        <f>'Demanda Oferta'!E92</f>
        <v>0</v>
      </c>
      <c r="R350" s="1205"/>
      <c r="S350" s="1205"/>
      <c r="T350" s="1206"/>
      <c r="U350" s="1209">
        <f>'Demanda Oferta'!F92</f>
        <v>0</v>
      </c>
      <c r="V350" s="1208"/>
      <c r="W350" s="1208"/>
      <c r="X350" s="1208"/>
      <c r="Y350" s="1204">
        <f>'Demanda Oferta'!G92</f>
        <v>0</v>
      </c>
      <c r="Z350" s="1188"/>
      <c r="AA350" s="1188"/>
      <c r="AB350" s="1210"/>
      <c r="AC350" s="1204">
        <f>'Demanda Oferta'!H92</f>
        <v>0</v>
      </c>
      <c r="AD350" s="1188"/>
      <c r="AE350" s="1188"/>
      <c r="AF350" s="1210"/>
      <c r="AG350" s="1204">
        <f>'Demanda Oferta'!I92</f>
        <v>0</v>
      </c>
      <c r="AH350" s="1188"/>
      <c r="AI350" s="1188"/>
      <c r="AJ350" s="1210"/>
      <c r="AK350" s="1207">
        <f>'Demanda Oferta'!J92</f>
        <v>0</v>
      </c>
      <c r="AL350" s="1208"/>
      <c r="AM350" s="1208"/>
      <c r="AN350" s="1208"/>
      <c r="AO350" s="288"/>
      <c r="AP350" s="288"/>
      <c r="AQ350" s="288"/>
      <c r="AR350" s="288"/>
      <c r="AS350" s="288"/>
      <c r="AT350" s="288"/>
      <c r="AU350" s="288"/>
      <c r="AV350" s="288"/>
      <c r="AW350" s="288"/>
      <c r="AX350" s="288"/>
      <c r="AY350" s="288"/>
      <c r="AZ350" s="288"/>
    </row>
    <row r="351" spans="1:52" s="291" customFormat="1" ht="18" customHeight="1">
      <c r="A351" s="294"/>
      <c r="B351" s="1379">
        <v>3</v>
      </c>
      <c r="C351" s="1379"/>
      <c r="D351" s="1379"/>
      <c r="E351" s="1209">
        <f>'Demanda Oferta'!B93</f>
        <v>0</v>
      </c>
      <c r="F351" s="1208"/>
      <c r="G351" s="1208"/>
      <c r="H351" s="1208"/>
      <c r="I351" s="1209">
        <f>'Demanda Oferta'!C93</f>
        <v>0</v>
      </c>
      <c r="J351" s="1208"/>
      <c r="K351" s="1208"/>
      <c r="L351" s="1208"/>
      <c r="M351" s="1209">
        <f>'Demanda Oferta'!D93</f>
        <v>0</v>
      </c>
      <c r="N351" s="1208"/>
      <c r="O351" s="1208"/>
      <c r="P351" s="1208"/>
      <c r="Q351" s="1204">
        <f>'Demanda Oferta'!E93</f>
        <v>0</v>
      </c>
      <c r="R351" s="1205"/>
      <c r="S351" s="1205"/>
      <c r="T351" s="1206"/>
      <c r="U351" s="1209">
        <f>'Demanda Oferta'!F93</f>
        <v>0</v>
      </c>
      <c r="V351" s="1208"/>
      <c r="W351" s="1208"/>
      <c r="X351" s="1208"/>
      <c r="Y351" s="1204">
        <f>'Demanda Oferta'!G93</f>
        <v>0</v>
      </c>
      <c r="Z351" s="1188"/>
      <c r="AA351" s="1188"/>
      <c r="AB351" s="1210"/>
      <c r="AC351" s="1204">
        <f>'Demanda Oferta'!H93</f>
        <v>0</v>
      </c>
      <c r="AD351" s="1188"/>
      <c r="AE351" s="1188"/>
      <c r="AF351" s="1210"/>
      <c r="AG351" s="1204">
        <f>'Demanda Oferta'!I93</f>
        <v>0</v>
      </c>
      <c r="AH351" s="1188"/>
      <c r="AI351" s="1188"/>
      <c r="AJ351" s="1210"/>
      <c r="AK351" s="1207">
        <f>'Demanda Oferta'!J93</f>
        <v>0</v>
      </c>
      <c r="AL351" s="1208"/>
      <c r="AM351" s="1208"/>
      <c r="AN351" s="1208"/>
      <c r="AO351" s="288"/>
      <c r="AP351" s="288"/>
      <c r="AQ351" s="288"/>
      <c r="AR351" s="288"/>
      <c r="AS351" s="288"/>
      <c r="AT351" s="288"/>
      <c r="AU351" s="288"/>
      <c r="AV351" s="288"/>
      <c r="AW351" s="288"/>
      <c r="AX351" s="288"/>
      <c r="AY351" s="288"/>
      <c r="AZ351" s="288"/>
    </row>
    <row r="352" spans="1:52" s="291" customFormat="1" ht="18" customHeight="1">
      <c r="A352" s="294"/>
      <c r="B352" s="1379">
        <v>4</v>
      </c>
      <c r="C352" s="1379"/>
      <c r="D352" s="1379"/>
      <c r="E352" s="1209">
        <f>'Demanda Oferta'!B94</f>
        <v>0</v>
      </c>
      <c r="F352" s="1208"/>
      <c r="G352" s="1208"/>
      <c r="H352" s="1208"/>
      <c r="I352" s="1209">
        <f>'Demanda Oferta'!C94</f>
        <v>0</v>
      </c>
      <c r="J352" s="1208"/>
      <c r="K352" s="1208"/>
      <c r="L352" s="1208"/>
      <c r="M352" s="1209">
        <f>'Demanda Oferta'!D94</f>
        <v>0</v>
      </c>
      <c r="N352" s="1208"/>
      <c r="O352" s="1208"/>
      <c r="P352" s="1208"/>
      <c r="Q352" s="1204">
        <f>'Demanda Oferta'!E94</f>
        <v>0</v>
      </c>
      <c r="R352" s="1205"/>
      <c r="S352" s="1205"/>
      <c r="T352" s="1206"/>
      <c r="U352" s="1209">
        <f>'Demanda Oferta'!F94</f>
        <v>0</v>
      </c>
      <c r="V352" s="1208"/>
      <c r="W352" s="1208"/>
      <c r="X352" s="1208"/>
      <c r="Y352" s="1204">
        <f>'Demanda Oferta'!G94</f>
        <v>0</v>
      </c>
      <c r="Z352" s="1188"/>
      <c r="AA352" s="1188"/>
      <c r="AB352" s="1210"/>
      <c r="AC352" s="1204">
        <f>'Demanda Oferta'!H94</f>
        <v>0</v>
      </c>
      <c r="AD352" s="1188"/>
      <c r="AE352" s="1188"/>
      <c r="AF352" s="1210"/>
      <c r="AG352" s="1204">
        <f>'Demanda Oferta'!I94</f>
        <v>0</v>
      </c>
      <c r="AH352" s="1188"/>
      <c r="AI352" s="1188"/>
      <c r="AJ352" s="1210"/>
      <c r="AK352" s="1207">
        <f>'Demanda Oferta'!J94</f>
        <v>0</v>
      </c>
      <c r="AL352" s="1208"/>
      <c r="AM352" s="1208"/>
      <c r="AN352" s="1208"/>
      <c r="AO352" s="288"/>
      <c r="AP352" s="288"/>
      <c r="AQ352" s="288"/>
      <c r="AR352" s="288"/>
      <c r="AS352" s="288"/>
      <c r="AT352" s="288"/>
      <c r="AU352" s="288"/>
      <c r="AV352" s="288"/>
      <c r="AW352" s="288"/>
      <c r="AX352" s="288"/>
      <c r="AY352" s="288"/>
      <c r="AZ352" s="288"/>
    </row>
    <row r="353" spans="1:52" s="291" customFormat="1" ht="18" customHeight="1">
      <c r="A353" s="294"/>
      <c r="B353" s="1379">
        <v>5</v>
      </c>
      <c r="C353" s="1379"/>
      <c r="D353" s="1379"/>
      <c r="E353" s="1209">
        <f>'Demanda Oferta'!B95</f>
        <v>0</v>
      </c>
      <c r="F353" s="1208"/>
      <c r="G353" s="1208"/>
      <c r="H353" s="1208"/>
      <c r="I353" s="1209">
        <f>'Demanda Oferta'!C95</f>
        <v>0</v>
      </c>
      <c r="J353" s="1208"/>
      <c r="K353" s="1208"/>
      <c r="L353" s="1208"/>
      <c r="M353" s="1209">
        <f>'Demanda Oferta'!D95</f>
        <v>0</v>
      </c>
      <c r="N353" s="1208"/>
      <c r="O353" s="1208"/>
      <c r="P353" s="1208"/>
      <c r="Q353" s="1204">
        <f>'Demanda Oferta'!E95</f>
        <v>0</v>
      </c>
      <c r="R353" s="1205"/>
      <c r="S353" s="1205"/>
      <c r="T353" s="1206"/>
      <c r="U353" s="1209">
        <f>'Demanda Oferta'!F95</f>
        <v>0</v>
      </c>
      <c r="V353" s="1208"/>
      <c r="W353" s="1208"/>
      <c r="X353" s="1208"/>
      <c r="Y353" s="1204">
        <f>'Demanda Oferta'!G95</f>
        <v>0</v>
      </c>
      <c r="Z353" s="1188"/>
      <c r="AA353" s="1188"/>
      <c r="AB353" s="1210"/>
      <c r="AC353" s="1204">
        <f>'Demanda Oferta'!H95</f>
        <v>0</v>
      </c>
      <c r="AD353" s="1188"/>
      <c r="AE353" s="1188"/>
      <c r="AF353" s="1210"/>
      <c r="AG353" s="1204">
        <f>'Demanda Oferta'!I95</f>
        <v>0</v>
      </c>
      <c r="AH353" s="1188"/>
      <c r="AI353" s="1188"/>
      <c r="AJ353" s="1210"/>
      <c r="AK353" s="1207">
        <f>'Demanda Oferta'!J95</f>
        <v>0</v>
      </c>
      <c r="AL353" s="1208"/>
      <c r="AM353" s="1208"/>
      <c r="AN353" s="1208"/>
      <c r="AO353" s="288"/>
      <c r="AP353" s="288"/>
      <c r="AQ353" s="288"/>
      <c r="AR353" s="288"/>
      <c r="AS353" s="288"/>
      <c r="AT353" s="288"/>
      <c r="AU353" s="288"/>
      <c r="AV353" s="288"/>
      <c r="AW353" s="288"/>
      <c r="AX353" s="288"/>
      <c r="AY353" s="288"/>
      <c r="AZ353" s="288"/>
    </row>
    <row r="354" spans="1:52" s="291" customFormat="1" ht="18" customHeight="1">
      <c r="A354" s="294"/>
      <c r="B354" s="1379">
        <v>6</v>
      </c>
      <c r="C354" s="1379"/>
      <c r="D354" s="1379"/>
      <c r="E354" s="1209">
        <f>'Demanda Oferta'!B96</f>
        <v>0</v>
      </c>
      <c r="F354" s="1208"/>
      <c r="G354" s="1208"/>
      <c r="H354" s="1208"/>
      <c r="I354" s="1209">
        <f>'Demanda Oferta'!C96</f>
        <v>0</v>
      </c>
      <c r="J354" s="1208"/>
      <c r="K354" s="1208"/>
      <c r="L354" s="1208"/>
      <c r="M354" s="1209">
        <f>'Demanda Oferta'!D96</f>
        <v>0</v>
      </c>
      <c r="N354" s="1208"/>
      <c r="O354" s="1208"/>
      <c r="P354" s="1208"/>
      <c r="Q354" s="1204">
        <f>'Demanda Oferta'!E96</f>
        <v>0</v>
      </c>
      <c r="R354" s="1205"/>
      <c r="S354" s="1205"/>
      <c r="T354" s="1206"/>
      <c r="U354" s="1209">
        <f>'Demanda Oferta'!F96</f>
        <v>0</v>
      </c>
      <c r="V354" s="1208"/>
      <c r="W354" s="1208"/>
      <c r="X354" s="1208"/>
      <c r="Y354" s="1204">
        <f>'Demanda Oferta'!G96</f>
        <v>0</v>
      </c>
      <c r="Z354" s="1188"/>
      <c r="AA354" s="1188"/>
      <c r="AB354" s="1210"/>
      <c r="AC354" s="1204">
        <f>'Demanda Oferta'!H96</f>
        <v>0</v>
      </c>
      <c r="AD354" s="1188"/>
      <c r="AE354" s="1188"/>
      <c r="AF354" s="1210"/>
      <c r="AG354" s="1204">
        <f>'Demanda Oferta'!I96</f>
        <v>0</v>
      </c>
      <c r="AH354" s="1188"/>
      <c r="AI354" s="1188"/>
      <c r="AJ354" s="1210"/>
      <c r="AK354" s="1207">
        <f>'Demanda Oferta'!J96</f>
        <v>0</v>
      </c>
      <c r="AL354" s="1208"/>
      <c r="AM354" s="1208"/>
      <c r="AN354" s="1208"/>
      <c r="AO354" s="288"/>
      <c r="AP354" s="288"/>
      <c r="AQ354" s="288"/>
      <c r="AR354" s="288"/>
      <c r="AS354" s="288"/>
      <c r="AT354" s="288"/>
      <c r="AU354" s="288"/>
      <c r="AV354" s="288"/>
      <c r="AW354" s="288"/>
      <c r="AX354" s="288"/>
      <c r="AY354" s="288"/>
      <c r="AZ354" s="288"/>
    </row>
    <row r="355" spans="1:52" s="291" customFormat="1" ht="18" customHeight="1">
      <c r="A355" s="294"/>
      <c r="B355" s="1379">
        <v>7</v>
      </c>
      <c r="C355" s="1379"/>
      <c r="D355" s="1379"/>
      <c r="E355" s="1209">
        <f>'Demanda Oferta'!B97</f>
        <v>0</v>
      </c>
      <c r="F355" s="1208"/>
      <c r="G355" s="1208"/>
      <c r="H355" s="1208"/>
      <c r="I355" s="1209">
        <f>'Demanda Oferta'!C97</f>
        <v>0</v>
      </c>
      <c r="J355" s="1208"/>
      <c r="K355" s="1208"/>
      <c r="L355" s="1208"/>
      <c r="M355" s="1209">
        <f>'Demanda Oferta'!D97</f>
        <v>0</v>
      </c>
      <c r="N355" s="1208"/>
      <c r="O355" s="1208"/>
      <c r="P355" s="1208"/>
      <c r="Q355" s="1204">
        <f>'Demanda Oferta'!E97</f>
        <v>0</v>
      </c>
      <c r="R355" s="1205"/>
      <c r="S355" s="1205"/>
      <c r="T355" s="1206"/>
      <c r="U355" s="1209">
        <f>'Demanda Oferta'!F97</f>
        <v>0</v>
      </c>
      <c r="V355" s="1208"/>
      <c r="W355" s="1208"/>
      <c r="X355" s="1208"/>
      <c r="Y355" s="1204">
        <f>'Demanda Oferta'!G97</f>
        <v>0</v>
      </c>
      <c r="Z355" s="1188"/>
      <c r="AA355" s="1188"/>
      <c r="AB355" s="1210"/>
      <c r="AC355" s="1204">
        <f>'Demanda Oferta'!H97</f>
        <v>0</v>
      </c>
      <c r="AD355" s="1188"/>
      <c r="AE355" s="1188"/>
      <c r="AF355" s="1210"/>
      <c r="AG355" s="1204">
        <f>'Demanda Oferta'!I97</f>
        <v>0</v>
      </c>
      <c r="AH355" s="1188"/>
      <c r="AI355" s="1188"/>
      <c r="AJ355" s="1210"/>
      <c r="AK355" s="1207">
        <f>'Demanda Oferta'!J97</f>
        <v>0</v>
      </c>
      <c r="AL355" s="1208"/>
      <c r="AM355" s="1208"/>
      <c r="AN355" s="1208"/>
      <c r="AO355" s="288"/>
      <c r="AP355" s="288"/>
      <c r="AQ355" s="288"/>
      <c r="AR355" s="288"/>
      <c r="AS355" s="288"/>
      <c r="AT355" s="288"/>
      <c r="AU355" s="288"/>
      <c r="AV355" s="288"/>
      <c r="AW355" s="288"/>
      <c r="AX355" s="288"/>
      <c r="AY355" s="288"/>
      <c r="AZ355" s="288"/>
    </row>
    <row r="356" spans="1:52" s="291" customFormat="1" ht="18" customHeight="1">
      <c r="A356" s="294"/>
      <c r="B356" s="1379">
        <v>8</v>
      </c>
      <c r="C356" s="1379"/>
      <c r="D356" s="1379"/>
      <c r="E356" s="1209">
        <f>'Demanda Oferta'!B98</f>
        <v>0</v>
      </c>
      <c r="F356" s="1208"/>
      <c r="G356" s="1208"/>
      <c r="H356" s="1208"/>
      <c r="I356" s="1209">
        <f>'Demanda Oferta'!C98</f>
        <v>0</v>
      </c>
      <c r="J356" s="1208"/>
      <c r="K356" s="1208"/>
      <c r="L356" s="1208"/>
      <c r="M356" s="1209">
        <f>'Demanda Oferta'!D98</f>
        <v>0</v>
      </c>
      <c r="N356" s="1208"/>
      <c r="O356" s="1208"/>
      <c r="P356" s="1208"/>
      <c r="Q356" s="1204">
        <f>'Demanda Oferta'!E98</f>
        <v>0</v>
      </c>
      <c r="R356" s="1205"/>
      <c r="S356" s="1205"/>
      <c r="T356" s="1206"/>
      <c r="U356" s="1209">
        <f>'Demanda Oferta'!F98</f>
        <v>0</v>
      </c>
      <c r="V356" s="1208"/>
      <c r="W356" s="1208"/>
      <c r="X356" s="1208"/>
      <c r="Y356" s="1204">
        <f>'Demanda Oferta'!G98</f>
        <v>0</v>
      </c>
      <c r="Z356" s="1188"/>
      <c r="AA356" s="1188"/>
      <c r="AB356" s="1210"/>
      <c r="AC356" s="1204">
        <f>'Demanda Oferta'!H98</f>
        <v>0</v>
      </c>
      <c r="AD356" s="1188"/>
      <c r="AE356" s="1188"/>
      <c r="AF356" s="1210"/>
      <c r="AG356" s="1204">
        <f>'Demanda Oferta'!I98</f>
        <v>0</v>
      </c>
      <c r="AH356" s="1188"/>
      <c r="AI356" s="1188"/>
      <c r="AJ356" s="1210"/>
      <c r="AK356" s="1207">
        <f>'Demanda Oferta'!J98</f>
        <v>0</v>
      </c>
      <c r="AL356" s="1208"/>
      <c r="AM356" s="1208"/>
      <c r="AN356" s="1208"/>
      <c r="AO356" s="288"/>
      <c r="AP356" s="288"/>
      <c r="AQ356" s="288"/>
      <c r="AR356" s="288"/>
      <c r="AS356" s="288"/>
      <c r="AT356" s="288"/>
      <c r="AU356" s="288"/>
      <c r="AV356" s="288"/>
      <c r="AW356" s="288"/>
      <c r="AX356" s="288"/>
      <c r="AY356" s="288"/>
      <c r="AZ356" s="288"/>
    </row>
    <row r="357" spans="1:52" s="291" customFormat="1" ht="18" customHeight="1">
      <c r="A357" s="294"/>
      <c r="B357" s="1379">
        <v>9</v>
      </c>
      <c r="C357" s="1379"/>
      <c r="D357" s="1379"/>
      <c r="E357" s="1209">
        <f>'Demanda Oferta'!B99</f>
        <v>0</v>
      </c>
      <c r="F357" s="1208"/>
      <c r="G357" s="1208"/>
      <c r="H357" s="1208"/>
      <c r="I357" s="1209">
        <f>'Demanda Oferta'!C99</f>
        <v>0</v>
      </c>
      <c r="J357" s="1208"/>
      <c r="K357" s="1208"/>
      <c r="L357" s="1208"/>
      <c r="M357" s="1209">
        <f>'Demanda Oferta'!D99</f>
        <v>0</v>
      </c>
      <c r="N357" s="1208"/>
      <c r="O357" s="1208"/>
      <c r="P357" s="1208"/>
      <c r="Q357" s="1204">
        <f>'Demanda Oferta'!E99</f>
        <v>0</v>
      </c>
      <c r="R357" s="1205"/>
      <c r="S357" s="1205"/>
      <c r="T357" s="1206"/>
      <c r="U357" s="1209">
        <f>'Demanda Oferta'!F99</f>
        <v>0</v>
      </c>
      <c r="V357" s="1208"/>
      <c r="W357" s="1208"/>
      <c r="X357" s="1208"/>
      <c r="Y357" s="1204">
        <f>'Demanda Oferta'!G99</f>
        <v>0</v>
      </c>
      <c r="Z357" s="1188"/>
      <c r="AA357" s="1188"/>
      <c r="AB357" s="1210"/>
      <c r="AC357" s="1204">
        <f>'Demanda Oferta'!H99</f>
        <v>0</v>
      </c>
      <c r="AD357" s="1188"/>
      <c r="AE357" s="1188"/>
      <c r="AF357" s="1210"/>
      <c r="AG357" s="1204">
        <f>'Demanda Oferta'!I99</f>
        <v>0</v>
      </c>
      <c r="AH357" s="1188"/>
      <c r="AI357" s="1188"/>
      <c r="AJ357" s="1210"/>
      <c r="AK357" s="1207">
        <f>'Demanda Oferta'!J99</f>
        <v>0</v>
      </c>
      <c r="AL357" s="1208"/>
      <c r="AM357" s="1208"/>
      <c r="AN357" s="1208"/>
      <c r="AO357" s="288"/>
      <c r="AP357" s="288"/>
      <c r="AQ357" s="288"/>
      <c r="AR357" s="288"/>
      <c r="AS357" s="288"/>
      <c r="AT357" s="288"/>
      <c r="AU357" s="288"/>
      <c r="AV357" s="288"/>
      <c r="AW357" s="288"/>
      <c r="AX357" s="288"/>
      <c r="AY357" s="288"/>
      <c r="AZ357" s="288"/>
    </row>
    <row r="358" spans="1:52" s="291" customFormat="1" ht="18" customHeight="1">
      <c r="A358" s="294"/>
      <c r="B358" s="1379">
        <v>10</v>
      </c>
      <c r="C358" s="1379"/>
      <c r="D358" s="1379"/>
      <c r="E358" s="1209">
        <f>'Demanda Oferta'!B100</f>
        <v>0</v>
      </c>
      <c r="F358" s="1208"/>
      <c r="G358" s="1208"/>
      <c r="H358" s="1208"/>
      <c r="I358" s="1209">
        <f>'Demanda Oferta'!C100</f>
        <v>0</v>
      </c>
      <c r="J358" s="1208"/>
      <c r="K358" s="1208"/>
      <c r="L358" s="1208"/>
      <c r="M358" s="1209">
        <f>'Demanda Oferta'!D100</f>
        <v>0</v>
      </c>
      <c r="N358" s="1208"/>
      <c r="O358" s="1208"/>
      <c r="P358" s="1208"/>
      <c r="Q358" s="1204">
        <f>'Demanda Oferta'!E100</f>
        <v>0</v>
      </c>
      <c r="R358" s="1205"/>
      <c r="S358" s="1205"/>
      <c r="T358" s="1206"/>
      <c r="U358" s="1209">
        <f>'Demanda Oferta'!F100</f>
        <v>0</v>
      </c>
      <c r="V358" s="1208"/>
      <c r="W358" s="1208"/>
      <c r="X358" s="1208"/>
      <c r="Y358" s="1204">
        <f>'Demanda Oferta'!G100</f>
        <v>0</v>
      </c>
      <c r="Z358" s="1188"/>
      <c r="AA358" s="1188"/>
      <c r="AB358" s="1210"/>
      <c r="AC358" s="1204">
        <f>'Demanda Oferta'!H100</f>
        <v>0</v>
      </c>
      <c r="AD358" s="1188"/>
      <c r="AE358" s="1188"/>
      <c r="AF358" s="1210"/>
      <c r="AG358" s="1204">
        <f>'Demanda Oferta'!I100</f>
        <v>0</v>
      </c>
      <c r="AH358" s="1188"/>
      <c r="AI358" s="1188"/>
      <c r="AJ358" s="1210"/>
      <c r="AK358" s="1207">
        <f>'Demanda Oferta'!J100</f>
        <v>0</v>
      </c>
      <c r="AL358" s="1208"/>
      <c r="AM358" s="1208"/>
      <c r="AN358" s="1208"/>
      <c r="AO358" s="288"/>
      <c r="AP358" s="288"/>
      <c r="AQ358" s="288"/>
      <c r="AR358" s="288"/>
      <c r="AS358" s="288"/>
      <c r="AT358" s="288"/>
      <c r="AU358" s="288"/>
      <c r="AV358" s="288"/>
      <c r="AW358" s="288"/>
      <c r="AX358" s="288"/>
      <c r="AY358" s="288"/>
      <c r="AZ358" s="288"/>
    </row>
    <row r="359" spans="1:52" s="291" customFormat="1" ht="18" customHeight="1">
      <c r="A359" s="294"/>
      <c r="B359" s="488"/>
      <c r="C359" s="288"/>
      <c r="D359" s="288"/>
      <c r="E359" s="478"/>
      <c r="F359" s="330"/>
      <c r="G359" s="488"/>
      <c r="H359" s="488"/>
      <c r="I359" s="488"/>
      <c r="J359" s="287"/>
      <c r="K359" s="287"/>
      <c r="L359" s="287"/>
      <c r="M359" s="287"/>
      <c r="N359" s="287"/>
      <c r="O359" s="287"/>
      <c r="P359" s="287"/>
      <c r="Q359" s="488"/>
      <c r="R359" s="488"/>
      <c r="S359" s="287"/>
      <c r="T359" s="287"/>
      <c r="U359" s="288"/>
      <c r="V359" s="288"/>
      <c r="W359" s="288"/>
      <c r="X359" s="288"/>
      <c r="Y359" s="287"/>
      <c r="Z359" s="287"/>
      <c r="AA359" s="287"/>
      <c r="AB359" s="288"/>
      <c r="AC359" s="288"/>
      <c r="AD359" s="288"/>
      <c r="AE359" s="288"/>
      <c r="AF359" s="288"/>
      <c r="AG359" s="288"/>
      <c r="AH359" s="288"/>
      <c r="AI359" s="288"/>
      <c r="AJ359" s="288"/>
      <c r="AK359" s="288"/>
      <c r="AL359" s="288"/>
      <c r="AM359" s="288"/>
      <c r="AN359" s="288"/>
      <c r="AO359" s="288"/>
      <c r="AP359" s="288"/>
      <c r="AQ359" s="288"/>
      <c r="AR359" s="288"/>
      <c r="AS359" s="288"/>
      <c r="AT359" s="288"/>
      <c r="AU359" s="288"/>
      <c r="AV359" s="288"/>
      <c r="AW359" s="288"/>
      <c r="AX359" s="288"/>
      <c r="AY359" s="288"/>
      <c r="AZ359" s="288"/>
    </row>
    <row r="360" spans="1:52" s="291" customFormat="1" ht="18" customHeight="1">
      <c r="A360" s="335" t="s">
        <v>535</v>
      </c>
      <c r="B360" s="1246" t="s">
        <v>2817</v>
      </c>
      <c r="C360" s="1246"/>
      <c r="D360" s="1246"/>
      <c r="E360" s="1246"/>
      <c r="F360" s="1246"/>
      <c r="G360" s="1246"/>
      <c r="H360" s="1246"/>
      <c r="I360" s="1246"/>
      <c r="J360" s="1246"/>
      <c r="K360" s="1246"/>
      <c r="L360" s="1246"/>
      <c r="M360" s="1246"/>
      <c r="N360" s="1246"/>
      <c r="O360" s="1246"/>
      <c r="P360" s="1246"/>
      <c r="Q360" s="1246"/>
      <c r="R360" s="1246"/>
      <c r="S360" s="1246"/>
      <c r="T360" s="1246"/>
      <c r="U360" s="1246"/>
      <c r="V360" s="1246"/>
      <c r="W360" s="1246"/>
      <c r="X360" s="1246"/>
      <c r="Y360" s="1246"/>
      <c r="Z360" s="1246"/>
      <c r="AA360" s="1246"/>
      <c r="AB360" s="1246"/>
      <c r="AC360" s="1246"/>
      <c r="AD360" s="1246"/>
      <c r="AE360" s="1246"/>
      <c r="AF360" s="1246"/>
      <c r="AG360" s="1246"/>
      <c r="AH360" s="1246"/>
      <c r="AI360" s="1246"/>
      <c r="AJ360" s="1246"/>
      <c r="AK360" s="1246"/>
      <c r="AL360" s="1246"/>
      <c r="AM360" s="1246"/>
      <c r="AN360" s="1246"/>
      <c r="AO360" s="1246"/>
      <c r="AP360" s="1246"/>
      <c r="AQ360" s="1246"/>
      <c r="AR360" s="1246"/>
      <c r="AS360" s="1246"/>
      <c r="AT360" s="1246"/>
      <c r="AU360" s="1246"/>
      <c r="AV360" s="1246"/>
      <c r="AW360" s="1246"/>
      <c r="AX360" s="1246"/>
      <c r="AY360" s="1246"/>
      <c r="AZ360" s="1246"/>
    </row>
    <row r="361" spans="1:52" s="291" customFormat="1" ht="18" customHeight="1">
      <c r="A361" s="336"/>
      <c r="B361" s="318"/>
      <c r="C361" s="318"/>
      <c r="D361" s="318"/>
      <c r="E361" s="318"/>
      <c r="F361" s="318"/>
      <c r="G361" s="318"/>
      <c r="H361" s="318"/>
      <c r="I361" s="318"/>
      <c r="J361" s="318"/>
      <c r="K361" s="318"/>
      <c r="L361" s="318"/>
      <c r="M361" s="318"/>
      <c r="N361" s="318"/>
      <c r="O361" s="318"/>
      <c r="P361" s="318"/>
      <c r="Q361" s="486"/>
      <c r="R361" s="486"/>
      <c r="S361" s="318"/>
      <c r="T361" s="318"/>
      <c r="U361" s="318"/>
      <c r="V361" s="318"/>
      <c r="W361" s="318"/>
      <c r="X361" s="318"/>
      <c r="Y361" s="318"/>
      <c r="Z361" s="318"/>
      <c r="AA361" s="318"/>
      <c r="AB361" s="318"/>
      <c r="AC361" s="318"/>
      <c r="AD361" s="318"/>
      <c r="AE361" s="318"/>
      <c r="AF361" s="318"/>
      <c r="AG361" s="318"/>
      <c r="AH361" s="318"/>
      <c r="AI361" s="318"/>
      <c r="AJ361" s="318"/>
      <c r="AK361" s="318"/>
      <c r="AL361" s="318"/>
      <c r="AM361" s="318"/>
      <c r="AN361" s="318"/>
      <c r="AO361" s="318"/>
      <c r="AP361" s="318"/>
      <c r="AQ361" s="318"/>
      <c r="AR361" s="318"/>
      <c r="AS361" s="318"/>
      <c r="AT361" s="318"/>
      <c r="AU361" s="318"/>
      <c r="AV361" s="318"/>
      <c r="AW361" s="318"/>
      <c r="AX361" s="318"/>
      <c r="AY361" s="318"/>
      <c r="AZ361" s="318"/>
    </row>
    <row r="362" spans="1:52" s="291" customFormat="1" ht="18" customHeight="1">
      <c r="A362" s="297"/>
      <c r="B362" s="1256" t="s">
        <v>510</v>
      </c>
      <c r="C362" s="1256"/>
      <c r="D362" s="1256"/>
      <c r="E362" s="1256"/>
      <c r="F362" s="1256"/>
      <c r="G362" s="1256"/>
      <c r="H362" s="1256"/>
      <c r="I362" s="1256"/>
      <c r="J362" s="1256"/>
      <c r="K362" s="1256"/>
      <c r="L362" s="1256"/>
      <c r="M362" s="1256"/>
      <c r="N362" s="1256"/>
      <c r="O362" s="1256" t="s">
        <v>511</v>
      </c>
      <c r="P362" s="1256"/>
      <c r="Q362" s="1256"/>
      <c r="R362" s="1256"/>
      <c r="S362" s="1256"/>
      <c r="T362" s="1256"/>
      <c r="U362" s="1256"/>
      <c r="V362" s="1256"/>
      <c r="W362" s="1256" t="s">
        <v>3289</v>
      </c>
      <c r="X362" s="1256"/>
      <c r="Y362" s="1256"/>
      <c r="Z362" s="1256"/>
      <c r="AA362" s="1256"/>
      <c r="AB362" s="1256"/>
      <c r="AC362" s="1256"/>
      <c r="AD362" s="1256"/>
      <c r="AE362" s="1256"/>
      <c r="AF362" s="1256"/>
      <c r="AG362" s="1256"/>
      <c r="AH362" s="1256"/>
      <c r="AI362" s="1256"/>
      <c r="AJ362" s="1256"/>
      <c r="AK362" s="1256"/>
      <c r="AL362" s="1256"/>
      <c r="AM362" s="1256"/>
      <c r="AN362" s="1256"/>
      <c r="AO362" s="1256"/>
      <c r="AP362" s="1256"/>
      <c r="AQ362" s="1256"/>
      <c r="AR362" s="1256"/>
      <c r="AS362" s="1256"/>
      <c r="AT362" s="1256"/>
      <c r="AU362" s="1256"/>
      <c r="AV362" s="1256"/>
      <c r="AW362" s="1256"/>
      <c r="AX362" s="1256"/>
      <c r="AY362" s="1256"/>
      <c r="AZ362" s="1256"/>
    </row>
    <row r="363" spans="1:52" s="291" customFormat="1" ht="18" customHeight="1">
      <c r="A363" s="297"/>
      <c r="B363" s="1256"/>
      <c r="C363" s="1256"/>
      <c r="D363" s="1256"/>
      <c r="E363" s="1256"/>
      <c r="F363" s="1256"/>
      <c r="G363" s="1256"/>
      <c r="H363" s="1256"/>
      <c r="I363" s="1256"/>
      <c r="J363" s="1256"/>
      <c r="K363" s="1256"/>
      <c r="L363" s="1256"/>
      <c r="M363" s="1256"/>
      <c r="N363" s="1256"/>
      <c r="O363" s="1256"/>
      <c r="P363" s="1256"/>
      <c r="Q363" s="1256"/>
      <c r="R363" s="1256"/>
      <c r="S363" s="1256"/>
      <c r="T363" s="1256"/>
      <c r="U363" s="1256"/>
      <c r="V363" s="1256"/>
      <c r="W363" s="1256">
        <v>1</v>
      </c>
      <c r="X363" s="1256"/>
      <c r="Y363" s="1256"/>
      <c r="Z363" s="1256">
        <v>2</v>
      </c>
      <c r="AA363" s="1256"/>
      <c r="AB363" s="1256"/>
      <c r="AC363" s="1256">
        <v>3</v>
      </c>
      <c r="AD363" s="1256"/>
      <c r="AE363" s="1256"/>
      <c r="AF363" s="1256">
        <v>4</v>
      </c>
      <c r="AG363" s="1256"/>
      <c r="AH363" s="1256"/>
      <c r="AI363" s="1256">
        <v>5</v>
      </c>
      <c r="AJ363" s="1256"/>
      <c r="AK363" s="1256"/>
      <c r="AL363" s="1256">
        <v>6</v>
      </c>
      <c r="AM363" s="1256"/>
      <c r="AN363" s="1256"/>
      <c r="AO363" s="1256">
        <v>7</v>
      </c>
      <c r="AP363" s="1256"/>
      <c r="AQ363" s="1256"/>
      <c r="AR363" s="1256">
        <v>8</v>
      </c>
      <c r="AS363" s="1256"/>
      <c r="AT363" s="1256"/>
      <c r="AU363" s="1256">
        <v>9</v>
      </c>
      <c r="AV363" s="1256"/>
      <c r="AW363" s="1256"/>
      <c r="AX363" s="1256">
        <v>10</v>
      </c>
      <c r="AY363" s="1256"/>
      <c r="AZ363" s="1256"/>
    </row>
    <row r="364" spans="1:52" s="291" customFormat="1" ht="18" customHeight="1">
      <c r="A364" s="297"/>
      <c r="B364" s="1187" t="s">
        <v>512</v>
      </c>
      <c r="C364" s="1188"/>
      <c r="D364" s="1188"/>
      <c r="E364" s="1188"/>
      <c r="F364" s="1188"/>
      <c r="G364" s="1188"/>
      <c r="H364" s="1188"/>
      <c r="I364" s="1188"/>
      <c r="J364" s="1188"/>
      <c r="K364" s="1188"/>
      <c r="L364" s="1188"/>
      <c r="M364" s="1188"/>
      <c r="N364" s="1210"/>
      <c r="O364" s="1187" t="s">
        <v>513</v>
      </c>
      <c r="P364" s="1188"/>
      <c r="Q364" s="1188"/>
      <c r="R364" s="1188"/>
      <c r="S364" s="1188"/>
      <c r="T364" s="1188"/>
      <c r="U364" s="1188"/>
      <c r="V364" s="1210"/>
      <c r="W364" s="1207">
        <f>'Población Y RR.SS'!E10</f>
        <v>0</v>
      </c>
      <c r="X364" s="1208"/>
      <c r="Y364" s="1208"/>
      <c r="Z364" s="1207">
        <f>'Población Y RR.SS'!E11</f>
        <v>0</v>
      </c>
      <c r="AA364" s="1208"/>
      <c r="AB364" s="1208"/>
      <c r="AC364" s="1207">
        <f>'Población Y RR.SS'!E12</f>
        <v>0</v>
      </c>
      <c r="AD364" s="1208"/>
      <c r="AE364" s="1208"/>
      <c r="AF364" s="1207">
        <f>'Población Y RR.SS'!E13</f>
        <v>0</v>
      </c>
      <c r="AG364" s="1208"/>
      <c r="AH364" s="1208"/>
      <c r="AI364" s="1207">
        <f>'Población Y RR.SS'!E14</f>
        <v>0</v>
      </c>
      <c r="AJ364" s="1208"/>
      <c r="AK364" s="1208"/>
      <c r="AL364" s="1207">
        <f>'Población Y RR.SS'!E15</f>
        <v>0</v>
      </c>
      <c r="AM364" s="1208"/>
      <c r="AN364" s="1208"/>
      <c r="AO364" s="1207">
        <f>'Población Y RR.SS'!E16</f>
        <v>0</v>
      </c>
      <c r="AP364" s="1208"/>
      <c r="AQ364" s="1208"/>
      <c r="AR364" s="1207">
        <f>'Población Y RR.SS'!E17</f>
        <v>0</v>
      </c>
      <c r="AS364" s="1208"/>
      <c r="AT364" s="1208"/>
      <c r="AU364" s="1207">
        <f>'Población Y RR.SS'!E18</f>
        <v>0</v>
      </c>
      <c r="AV364" s="1208"/>
      <c r="AW364" s="1208"/>
      <c r="AX364" s="1207">
        <f>'Población Y RR.SS'!E19</f>
        <v>0</v>
      </c>
      <c r="AY364" s="1208"/>
      <c r="AZ364" s="1208"/>
    </row>
    <row r="365" spans="1:52" s="291" customFormat="1" ht="8.25" customHeight="1">
      <c r="A365" s="297"/>
      <c r="B365" s="479"/>
      <c r="C365" s="479"/>
      <c r="D365" s="479"/>
      <c r="E365" s="479"/>
      <c r="F365" s="479"/>
      <c r="G365" s="479"/>
      <c r="H365" s="479"/>
      <c r="I365" s="479"/>
      <c r="J365" s="479"/>
      <c r="K365" s="479"/>
      <c r="L365" s="479"/>
      <c r="M365" s="479"/>
      <c r="N365" s="479"/>
      <c r="O365" s="479"/>
      <c r="P365" s="479"/>
      <c r="Q365" s="479"/>
      <c r="R365" s="479"/>
      <c r="S365" s="479"/>
      <c r="T365" s="479"/>
      <c r="U365" s="479"/>
      <c r="V365" s="479"/>
      <c r="W365" s="337"/>
      <c r="X365" s="479"/>
      <c r="Y365" s="479"/>
      <c r="Z365" s="337"/>
      <c r="AA365" s="479"/>
      <c r="AB365" s="479"/>
      <c r="AC365" s="337"/>
      <c r="AD365" s="479"/>
      <c r="AE365" s="479"/>
      <c r="AF365" s="337"/>
      <c r="AG365" s="479"/>
      <c r="AH365" s="479"/>
      <c r="AI365" s="337"/>
      <c r="AJ365" s="479"/>
      <c r="AK365" s="479"/>
      <c r="AL365" s="337"/>
      <c r="AM365" s="479"/>
      <c r="AN365" s="479"/>
      <c r="AO365" s="337"/>
      <c r="AP365" s="479"/>
      <c r="AQ365" s="479"/>
      <c r="AR365" s="337"/>
      <c r="AS365" s="479"/>
      <c r="AT365" s="479"/>
      <c r="AU365" s="337"/>
      <c r="AV365" s="479"/>
      <c r="AW365" s="479"/>
      <c r="AX365" s="337"/>
      <c r="AY365" s="479"/>
      <c r="AZ365" s="479"/>
    </row>
    <row r="366" spans="1:52" s="291" customFormat="1" ht="15" hidden="1" customHeight="1">
      <c r="A366" s="297"/>
      <c r="B366" s="576"/>
      <c r="C366" s="576"/>
      <c r="D366" s="576"/>
      <c r="E366" s="576"/>
      <c r="F366" s="576"/>
      <c r="G366" s="576"/>
      <c r="H366" s="576"/>
      <c r="I366" s="576"/>
      <c r="J366" s="576"/>
      <c r="K366" s="576"/>
      <c r="L366" s="576"/>
      <c r="M366" s="576"/>
      <c r="N366" s="576"/>
      <c r="O366" s="576"/>
      <c r="P366" s="576"/>
      <c r="Q366" s="576"/>
      <c r="R366" s="576"/>
      <c r="S366" s="576"/>
      <c r="T366" s="576"/>
      <c r="U366" s="576"/>
      <c r="V366" s="576"/>
      <c r="W366" s="337"/>
      <c r="X366" s="576"/>
      <c r="Y366" s="576"/>
      <c r="Z366" s="337"/>
      <c r="AA366" s="576"/>
      <c r="AB366" s="576"/>
      <c r="AC366" s="337"/>
      <c r="AD366" s="576"/>
      <c r="AE366" s="576"/>
      <c r="AF366" s="337"/>
      <c r="AG366" s="576"/>
      <c r="AH366" s="576"/>
      <c r="AI366" s="337"/>
      <c r="AJ366" s="576"/>
      <c r="AK366" s="576"/>
      <c r="AL366" s="337"/>
      <c r="AM366" s="576"/>
      <c r="AN366" s="576"/>
      <c r="AO366" s="337"/>
      <c r="AP366" s="576"/>
      <c r="AQ366" s="576"/>
      <c r="AR366" s="337"/>
      <c r="AS366" s="576"/>
      <c r="AT366" s="576"/>
      <c r="AU366" s="337"/>
      <c r="AV366" s="576"/>
      <c r="AW366" s="576"/>
      <c r="AX366" s="337"/>
      <c r="AY366" s="576"/>
      <c r="AZ366" s="576"/>
    </row>
    <row r="367" spans="1:52" s="291" customFormat="1" ht="16.5" customHeight="1">
      <c r="A367" s="297"/>
      <c r="B367" s="479"/>
      <c r="C367" s="479"/>
      <c r="D367" s="479"/>
      <c r="E367" s="479"/>
      <c r="F367" s="479"/>
      <c r="G367" s="479"/>
      <c r="H367" s="479"/>
      <c r="I367" s="479"/>
      <c r="J367" s="479"/>
      <c r="K367" s="479"/>
      <c r="L367" s="479"/>
      <c r="M367" s="479"/>
      <c r="N367" s="479"/>
      <c r="O367" s="479"/>
      <c r="P367" s="479"/>
      <c r="Q367" s="479"/>
      <c r="R367" s="479"/>
      <c r="S367" s="479"/>
      <c r="T367" s="479"/>
      <c r="U367" s="479"/>
      <c r="V367" s="479"/>
      <c r="W367" s="337"/>
      <c r="X367" s="479"/>
      <c r="Y367" s="479"/>
      <c r="Z367" s="337"/>
      <c r="AA367" s="479"/>
      <c r="AB367" s="479"/>
      <c r="AC367" s="337"/>
      <c r="AD367" s="479"/>
      <c r="AE367" s="479"/>
      <c r="AF367" s="337"/>
      <c r="AG367" s="479"/>
      <c r="AH367" s="479"/>
      <c r="AI367" s="337"/>
      <c r="AJ367" s="479"/>
      <c r="AK367" s="479"/>
      <c r="AL367" s="337"/>
      <c r="AM367" s="479"/>
      <c r="AN367" s="479"/>
      <c r="AO367" s="337"/>
      <c r="AP367" s="479"/>
      <c r="AQ367" s="479"/>
      <c r="AR367" s="337"/>
      <c r="AS367" s="479"/>
      <c r="AT367" s="479"/>
      <c r="AU367" s="337"/>
      <c r="AV367" s="479"/>
      <c r="AW367" s="479"/>
      <c r="AX367" s="337"/>
      <c r="AY367" s="479"/>
      <c r="AZ367" s="479"/>
    </row>
    <row r="368" spans="1:52" s="291" customFormat="1" ht="18" customHeight="1">
      <c r="A368" s="292" t="s">
        <v>541</v>
      </c>
      <c r="B368" s="295" t="s">
        <v>2818</v>
      </c>
      <c r="C368" s="287"/>
      <c r="D368" s="287"/>
      <c r="E368" s="287"/>
      <c r="F368" s="287"/>
      <c r="G368" s="287"/>
      <c r="H368" s="287"/>
      <c r="I368" s="287"/>
      <c r="J368" s="287"/>
      <c r="K368" s="287"/>
      <c r="L368" s="287"/>
      <c r="M368" s="287"/>
      <c r="O368" s="287"/>
      <c r="P368" s="287"/>
      <c r="Q368" s="488"/>
      <c r="R368" s="488"/>
      <c r="S368" s="287"/>
      <c r="T368" s="287"/>
      <c r="U368" s="288"/>
      <c r="V368" s="288"/>
      <c r="W368" s="321"/>
      <c r="X368" s="288"/>
      <c r="Y368" s="287"/>
      <c r="Z368" s="287"/>
      <c r="AA368" s="287"/>
      <c r="AB368" s="288"/>
      <c r="AC368" s="288"/>
      <c r="AD368" s="288"/>
      <c r="AE368" s="288"/>
      <c r="AF368" s="288"/>
      <c r="AG368" s="288"/>
      <c r="AH368" s="288"/>
      <c r="AI368" s="288"/>
      <c r="AJ368" s="288"/>
      <c r="AK368" s="288"/>
      <c r="AL368" s="288"/>
      <c r="AM368" s="288"/>
      <c r="AN368" s="288"/>
      <c r="AO368" s="288"/>
      <c r="AP368" s="288"/>
      <c r="AQ368" s="288"/>
      <c r="AR368" s="288"/>
      <c r="AS368" s="288"/>
      <c r="AT368" s="288"/>
      <c r="AU368" s="288"/>
      <c r="AV368" s="288"/>
      <c r="AW368" s="288"/>
      <c r="AX368" s="288"/>
      <c r="AY368" s="288"/>
      <c r="AZ368" s="288"/>
    </row>
    <row r="369" spans="1:53" s="291" customFormat="1" ht="18" customHeight="1">
      <c r="A369" s="294"/>
      <c r="B369" s="288"/>
      <c r="C369" s="288"/>
      <c r="D369" s="288"/>
      <c r="E369" s="288"/>
      <c r="F369" s="288"/>
      <c r="G369" s="288"/>
      <c r="H369" s="288"/>
      <c r="I369" s="288"/>
      <c r="J369" s="288"/>
      <c r="K369" s="287"/>
      <c r="L369" s="287"/>
      <c r="M369" s="287"/>
      <c r="N369" s="287"/>
      <c r="O369" s="287"/>
      <c r="P369" s="287"/>
      <c r="Q369" s="488"/>
      <c r="R369" s="488"/>
      <c r="S369" s="287"/>
      <c r="T369" s="287"/>
      <c r="U369" s="288"/>
      <c r="V369" s="288"/>
      <c r="W369" s="288"/>
      <c r="X369" s="288"/>
      <c r="Y369" s="287"/>
      <c r="Z369" s="287"/>
      <c r="AA369" s="287"/>
      <c r="AB369" s="288"/>
      <c r="AC369" s="288"/>
      <c r="AD369" s="288"/>
      <c r="AE369" s="288"/>
      <c r="AF369" s="288"/>
      <c r="AG369" s="288"/>
      <c r="AH369" s="288"/>
      <c r="AI369" s="288"/>
      <c r="AJ369" s="288"/>
      <c r="AK369" s="288"/>
      <c r="AL369" s="288"/>
      <c r="AM369" s="288"/>
      <c r="AN369" s="288"/>
      <c r="AO369" s="288"/>
      <c r="AP369" s="288"/>
      <c r="AQ369" s="288"/>
      <c r="AR369" s="288"/>
      <c r="AS369" s="288"/>
      <c r="AT369" s="288"/>
      <c r="AU369" s="288"/>
      <c r="AV369" s="288"/>
      <c r="AW369" s="288"/>
      <c r="AX369" s="288"/>
      <c r="AY369" s="288"/>
      <c r="AZ369" s="288"/>
    </row>
    <row r="370" spans="1:53" s="291" customFormat="1" ht="18" customHeight="1">
      <c r="A370" s="294"/>
      <c r="B370" s="1253" t="s">
        <v>3211</v>
      </c>
      <c r="C370" s="1254"/>
      <c r="D370" s="1254"/>
      <c r="E370" s="1254"/>
      <c r="F370" s="1254"/>
      <c r="G370" s="1254"/>
      <c r="H370" s="1254"/>
      <c r="I370" s="1254"/>
      <c r="J370" s="1254"/>
      <c r="K370" s="1254"/>
      <c r="L370" s="1254"/>
      <c r="M370" s="1254"/>
      <c r="N370" s="1254"/>
      <c r="O370" s="1254"/>
      <c r="P370" s="1254"/>
      <c r="Q370" s="1254"/>
      <c r="R370" s="1254"/>
      <c r="S370" s="1254"/>
      <c r="T370" s="1254"/>
      <c r="U370" s="1254"/>
      <c r="V370" s="1254"/>
      <c r="W370" s="1254"/>
      <c r="X370" s="1254"/>
      <c r="Y370" s="1254"/>
      <c r="Z370" s="1254"/>
      <c r="AA370" s="1254"/>
      <c r="AB370" s="1254"/>
      <c r="AC370" s="1254"/>
      <c r="AD370" s="1254"/>
      <c r="AE370" s="1254"/>
      <c r="AF370" s="1254"/>
      <c r="AG370" s="1254"/>
      <c r="AH370" s="1254"/>
      <c r="AI370" s="1254"/>
      <c r="AJ370" s="1254"/>
      <c r="AK370" s="1254"/>
      <c r="AL370" s="1254"/>
      <c r="AM370" s="1254"/>
      <c r="AN370" s="1254"/>
      <c r="AO370" s="1254"/>
      <c r="AP370" s="1254"/>
      <c r="AQ370" s="1254"/>
      <c r="AR370" s="1254"/>
      <c r="AS370" s="1254"/>
      <c r="AT370" s="1254"/>
      <c r="AU370" s="1254"/>
      <c r="AV370" s="1254"/>
      <c r="AW370" s="1254"/>
      <c r="AX370" s="1254"/>
      <c r="AY370" s="1254"/>
      <c r="AZ370" s="1255"/>
    </row>
    <row r="371" spans="1:53" s="291" customFormat="1" ht="38.25" customHeight="1">
      <c r="A371" s="338"/>
      <c r="B371" s="582" t="s">
        <v>93</v>
      </c>
      <c r="C371" s="1253" t="s">
        <v>776</v>
      </c>
      <c r="D371" s="1254"/>
      <c r="E371" s="1254"/>
      <c r="F371" s="1254"/>
      <c r="G371" s="1254"/>
      <c r="H371" s="1254"/>
      <c r="I371" s="1254"/>
      <c r="J371" s="1254"/>
      <c r="K371" s="1254"/>
      <c r="L371" s="1254"/>
      <c r="M371" s="1255"/>
      <c r="N371" s="1253" t="s">
        <v>405</v>
      </c>
      <c r="O371" s="1254"/>
      <c r="P371" s="1254"/>
      <c r="Q371" s="1254"/>
      <c r="R371" s="1254"/>
      <c r="S371" s="1254"/>
      <c r="T371" s="1254"/>
      <c r="U371" s="1254"/>
      <c r="V371" s="1254"/>
      <c r="W371" s="1254"/>
      <c r="X371" s="1255"/>
      <c r="Y371" s="1253" t="s">
        <v>2819</v>
      </c>
      <c r="Z371" s="1254"/>
      <c r="AA371" s="1254"/>
      <c r="AB371" s="1254"/>
      <c r="AC371" s="1255"/>
      <c r="AD371" s="1253" t="s">
        <v>537</v>
      </c>
      <c r="AE371" s="1254"/>
      <c r="AF371" s="1254"/>
      <c r="AG371" s="1254"/>
      <c r="AH371" s="1254"/>
      <c r="AI371" s="1254"/>
      <c r="AJ371" s="1255"/>
      <c r="AK371" s="1253" t="s">
        <v>406</v>
      </c>
      <c r="AL371" s="1254"/>
      <c r="AM371" s="1254"/>
      <c r="AN371" s="1254"/>
      <c r="AO371" s="1254"/>
      <c r="AP371" s="1254"/>
      <c r="AQ371" s="1254"/>
      <c r="AR371" s="1254"/>
      <c r="AS371" s="1254"/>
      <c r="AT371" s="1254"/>
      <c r="AU371" s="1254"/>
      <c r="AV371" s="1254"/>
      <c r="AW371" s="1254"/>
      <c r="AX371" s="1254"/>
      <c r="AY371" s="1254"/>
      <c r="AZ371" s="1255"/>
    </row>
    <row r="372" spans="1:53" s="291" customFormat="1" ht="27.75" customHeight="1">
      <c r="A372" s="338"/>
      <c r="B372" s="480">
        <v>1</v>
      </c>
      <c r="C372" s="1177" t="str">
        <f>B251</f>
        <v>Adecuado almacenamiento en vías urbanas y áreas públicas</v>
      </c>
      <c r="D372" s="1178"/>
      <c r="E372" s="1178"/>
      <c r="F372" s="1178"/>
      <c r="G372" s="1178"/>
      <c r="H372" s="1178"/>
      <c r="I372" s="1178"/>
      <c r="J372" s="1178"/>
      <c r="K372" s="1178"/>
      <c r="L372" s="1178"/>
      <c r="M372" s="1191"/>
      <c r="N372" s="1187" t="str">
        <f t="shared" ref="N372:N378" si="0">AC251</f>
        <v>Adquisición de recipientes para el almacenamiento en vías urbanas y espacios públicos</v>
      </c>
      <c r="O372" s="1188"/>
      <c r="P372" s="1188"/>
      <c r="Q372" s="1188"/>
      <c r="R372" s="1188"/>
      <c r="S372" s="1188"/>
      <c r="T372" s="1188"/>
      <c r="U372" s="1188"/>
      <c r="V372" s="1188"/>
      <c r="W372" s="1188"/>
      <c r="X372" s="1210"/>
      <c r="Y372" s="1187" t="s">
        <v>407</v>
      </c>
      <c r="Z372" s="1188"/>
      <c r="AA372" s="1188"/>
      <c r="AB372" s="1188"/>
      <c r="AC372" s="1210"/>
      <c r="AD372" s="1187" t="s">
        <v>2210</v>
      </c>
      <c r="AE372" s="1188"/>
      <c r="AF372" s="1188"/>
      <c r="AG372" s="1188"/>
      <c r="AH372" s="1188"/>
      <c r="AI372" s="1188"/>
      <c r="AJ372" s="1210"/>
      <c r="AK372" s="1226"/>
      <c r="AL372" s="1227"/>
      <c r="AM372" s="1227"/>
      <c r="AN372" s="1227"/>
      <c r="AO372" s="1227"/>
      <c r="AP372" s="1227"/>
      <c r="AQ372" s="1227"/>
      <c r="AR372" s="1227"/>
      <c r="AS372" s="1227"/>
      <c r="AT372" s="1227"/>
      <c r="AU372" s="1227"/>
      <c r="AV372" s="1227"/>
      <c r="AW372" s="1227"/>
      <c r="AX372" s="1183"/>
      <c r="AY372" s="1184"/>
      <c r="AZ372" s="1245"/>
    </row>
    <row r="373" spans="1:53" s="291" customFormat="1" ht="27.75" customHeight="1">
      <c r="A373" s="338"/>
      <c r="B373" s="480">
        <v>2</v>
      </c>
      <c r="C373" s="1344" t="str">
        <f>B252</f>
        <v>Adecuado barrido de vías urbanas y áreas públicas</v>
      </c>
      <c r="D373" s="1345"/>
      <c r="E373" s="1345"/>
      <c r="F373" s="1345"/>
      <c r="G373" s="1345"/>
      <c r="H373" s="1345"/>
      <c r="I373" s="1345"/>
      <c r="J373" s="1345"/>
      <c r="K373" s="1345"/>
      <c r="L373" s="1345"/>
      <c r="M373" s="1346"/>
      <c r="N373" s="1187" t="str">
        <f t="shared" si="0"/>
        <v>Adquisición de equipos para el barrido manual</v>
      </c>
      <c r="O373" s="1188"/>
      <c r="P373" s="1188"/>
      <c r="Q373" s="1188"/>
      <c r="R373" s="1188"/>
      <c r="S373" s="1188"/>
      <c r="T373" s="1188"/>
      <c r="U373" s="1188"/>
      <c r="V373" s="1188"/>
      <c r="W373" s="1188"/>
      <c r="X373" s="1210"/>
      <c r="Y373" s="1187" t="s">
        <v>407</v>
      </c>
      <c r="Z373" s="1188"/>
      <c r="AA373" s="1188"/>
      <c r="AB373" s="1188"/>
      <c r="AC373" s="1210"/>
      <c r="AD373" s="1187" t="s">
        <v>2210</v>
      </c>
      <c r="AE373" s="1188"/>
      <c r="AF373" s="1188"/>
      <c r="AG373" s="1188"/>
      <c r="AH373" s="1188"/>
      <c r="AI373" s="1188"/>
      <c r="AJ373" s="1210"/>
      <c r="AK373" s="1226"/>
      <c r="AL373" s="1227"/>
      <c r="AM373" s="1227"/>
      <c r="AN373" s="1227"/>
      <c r="AO373" s="1227"/>
      <c r="AP373" s="1227"/>
      <c r="AQ373" s="1227"/>
      <c r="AR373" s="1227"/>
      <c r="AS373" s="1227"/>
      <c r="AT373" s="1227"/>
      <c r="AU373" s="1227"/>
      <c r="AV373" s="1227"/>
      <c r="AW373" s="1227"/>
      <c r="AX373" s="1278"/>
      <c r="AY373" s="1279"/>
      <c r="AZ373" s="1280"/>
    </row>
    <row r="374" spans="1:53" s="291" customFormat="1" ht="27.75" customHeight="1">
      <c r="A374" s="338"/>
      <c r="B374" s="480">
        <v>3</v>
      </c>
      <c r="C374" s="1347"/>
      <c r="D374" s="1348"/>
      <c r="E374" s="1348"/>
      <c r="F374" s="1348"/>
      <c r="G374" s="1348"/>
      <c r="H374" s="1348"/>
      <c r="I374" s="1348"/>
      <c r="J374" s="1348"/>
      <c r="K374" s="1348"/>
      <c r="L374" s="1348"/>
      <c r="M374" s="1349"/>
      <c r="N374" s="1187" t="str">
        <f t="shared" si="0"/>
        <v>Adquisición de herramientas e insumos para el barrido</v>
      </c>
      <c r="O374" s="1188"/>
      <c r="P374" s="1188"/>
      <c r="Q374" s="1188"/>
      <c r="R374" s="1188"/>
      <c r="S374" s="1188"/>
      <c r="T374" s="1188"/>
      <c r="U374" s="1188"/>
      <c r="V374" s="1188"/>
      <c r="W374" s="1188"/>
      <c r="X374" s="1210"/>
      <c r="Y374" s="1187" t="s">
        <v>407</v>
      </c>
      <c r="Z374" s="1188"/>
      <c r="AA374" s="1188"/>
      <c r="AB374" s="1188"/>
      <c r="AC374" s="1210"/>
      <c r="AD374" s="1187" t="s">
        <v>2210</v>
      </c>
      <c r="AE374" s="1188"/>
      <c r="AF374" s="1188"/>
      <c r="AG374" s="1188"/>
      <c r="AH374" s="1188"/>
      <c r="AI374" s="1188"/>
      <c r="AJ374" s="1210"/>
      <c r="AK374" s="1226"/>
      <c r="AL374" s="1227"/>
      <c r="AM374" s="1227"/>
      <c r="AN374" s="1227"/>
      <c r="AO374" s="1227"/>
      <c r="AP374" s="1227"/>
      <c r="AQ374" s="1227"/>
      <c r="AR374" s="1227"/>
      <c r="AS374" s="1227"/>
      <c r="AT374" s="1227"/>
      <c r="AU374" s="1227"/>
      <c r="AV374" s="1227"/>
      <c r="AW374" s="1227"/>
      <c r="AX374" s="1281"/>
      <c r="AY374" s="1282"/>
      <c r="AZ374" s="1283"/>
    </row>
    <row r="375" spans="1:53" s="291" customFormat="1" ht="27.75" customHeight="1">
      <c r="A375" s="338"/>
      <c r="B375" s="480">
        <v>4</v>
      </c>
      <c r="C375" s="1350"/>
      <c r="D375" s="1351"/>
      <c r="E375" s="1351"/>
      <c r="F375" s="1351"/>
      <c r="G375" s="1351"/>
      <c r="H375" s="1351"/>
      <c r="I375" s="1351"/>
      <c r="J375" s="1351"/>
      <c r="K375" s="1351"/>
      <c r="L375" s="1351"/>
      <c r="M375" s="1352"/>
      <c r="N375" s="1187" t="str">
        <f t="shared" si="0"/>
        <v>Adquisición de equipos de protección del personal de barrido</v>
      </c>
      <c r="O375" s="1188"/>
      <c r="P375" s="1188"/>
      <c r="Q375" s="1188"/>
      <c r="R375" s="1188"/>
      <c r="S375" s="1188"/>
      <c r="T375" s="1188"/>
      <c r="U375" s="1188"/>
      <c r="V375" s="1188"/>
      <c r="W375" s="1188"/>
      <c r="X375" s="1210"/>
      <c r="Y375" s="1187" t="s">
        <v>407</v>
      </c>
      <c r="Z375" s="1188"/>
      <c r="AA375" s="1188"/>
      <c r="AB375" s="1188"/>
      <c r="AC375" s="1210"/>
      <c r="AD375" s="1187" t="s">
        <v>2210</v>
      </c>
      <c r="AE375" s="1188"/>
      <c r="AF375" s="1188"/>
      <c r="AG375" s="1188"/>
      <c r="AH375" s="1188"/>
      <c r="AI375" s="1188"/>
      <c r="AJ375" s="1210"/>
      <c r="AK375" s="1226"/>
      <c r="AL375" s="1227"/>
      <c r="AM375" s="1227"/>
      <c r="AN375" s="1227"/>
      <c r="AO375" s="1227"/>
      <c r="AP375" s="1227"/>
      <c r="AQ375" s="1227"/>
      <c r="AR375" s="1227"/>
      <c r="AS375" s="1227"/>
      <c r="AT375" s="1227"/>
      <c r="AU375" s="1227"/>
      <c r="AV375" s="1227"/>
      <c r="AW375" s="1227"/>
      <c r="AX375" s="1284"/>
      <c r="AY375" s="1285"/>
      <c r="AZ375" s="1286"/>
    </row>
    <row r="376" spans="1:53" s="291" customFormat="1" ht="36" customHeight="1">
      <c r="A376" s="338"/>
      <c r="B376" s="480">
        <v>5</v>
      </c>
      <c r="C376" s="1344" t="str">
        <f>B255</f>
        <v>Adecuada capacidad para la recolección y transporte</v>
      </c>
      <c r="D376" s="1345"/>
      <c r="E376" s="1345"/>
      <c r="F376" s="1345"/>
      <c r="G376" s="1345"/>
      <c r="H376" s="1345"/>
      <c r="I376" s="1345"/>
      <c r="J376" s="1345"/>
      <c r="K376" s="1345"/>
      <c r="L376" s="1345"/>
      <c r="M376" s="1346"/>
      <c r="N376" s="1187" t="str">
        <f t="shared" si="0"/>
        <v>Adquisición de herramientas para la recolección y transporte</v>
      </c>
      <c r="O376" s="1188"/>
      <c r="P376" s="1188"/>
      <c r="Q376" s="1188"/>
      <c r="R376" s="1188"/>
      <c r="S376" s="1188"/>
      <c r="T376" s="1188"/>
      <c r="U376" s="1188"/>
      <c r="V376" s="1188"/>
      <c r="W376" s="1188"/>
      <c r="X376" s="1210"/>
      <c r="Y376" s="1187" t="s">
        <v>407</v>
      </c>
      <c r="Z376" s="1188"/>
      <c r="AA376" s="1188"/>
      <c r="AB376" s="1188"/>
      <c r="AC376" s="1210"/>
      <c r="AD376" s="1187" t="s">
        <v>2210</v>
      </c>
      <c r="AE376" s="1188"/>
      <c r="AF376" s="1188"/>
      <c r="AG376" s="1188"/>
      <c r="AH376" s="1188"/>
      <c r="AI376" s="1188"/>
      <c r="AJ376" s="1210"/>
      <c r="AK376" s="1226"/>
      <c r="AL376" s="1227"/>
      <c r="AM376" s="1227"/>
      <c r="AN376" s="1227"/>
      <c r="AO376" s="1227"/>
      <c r="AP376" s="1227"/>
      <c r="AQ376" s="1227"/>
      <c r="AR376" s="1227"/>
      <c r="AS376" s="1227"/>
      <c r="AT376" s="1227"/>
      <c r="AU376" s="1227"/>
      <c r="AV376" s="1227"/>
      <c r="AW376" s="1227"/>
      <c r="AX376" s="1278"/>
      <c r="AY376" s="1279"/>
      <c r="AZ376" s="1280"/>
      <c r="BA376" s="867"/>
    </row>
    <row r="377" spans="1:53" s="291" customFormat="1" ht="36" customHeight="1">
      <c r="A377" s="338"/>
      <c r="B377" s="480">
        <v>6</v>
      </c>
      <c r="C377" s="1347"/>
      <c r="D377" s="1348"/>
      <c r="E377" s="1348"/>
      <c r="F377" s="1348"/>
      <c r="G377" s="1348"/>
      <c r="H377" s="1348"/>
      <c r="I377" s="1348"/>
      <c r="J377" s="1348"/>
      <c r="K377" s="1348"/>
      <c r="L377" s="1348"/>
      <c r="M377" s="1349"/>
      <c r="N377" s="1187" t="str">
        <f t="shared" si="0"/>
        <v>Adquisición de equipos de protección del personal de recolección</v>
      </c>
      <c r="O377" s="1188"/>
      <c r="P377" s="1188"/>
      <c r="Q377" s="1188"/>
      <c r="R377" s="1188"/>
      <c r="S377" s="1188"/>
      <c r="T377" s="1188"/>
      <c r="U377" s="1188"/>
      <c r="V377" s="1188"/>
      <c r="W377" s="1188"/>
      <c r="X377" s="1210"/>
      <c r="Y377" s="1187" t="s">
        <v>407</v>
      </c>
      <c r="Z377" s="1188"/>
      <c r="AA377" s="1188"/>
      <c r="AB377" s="1188"/>
      <c r="AC377" s="1210"/>
      <c r="AD377" s="1187" t="s">
        <v>2210</v>
      </c>
      <c r="AE377" s="1188"/>
      <c r="AF377" s="1188"/>
      <c r="AG377" s="1188"/>
      <c r="AH377" s="1188"/>
      <c r="AI377" s="1188"/>
      <c r="AJ377" s="1210"/>
      <c r="AK377" s="1226"/>
      <c r="AL377" s="1227"/>
      <c r="AM377" s="1227"/>
      <c r="AN377" s="1227"/>
      <c r="AO377" s="1227"/>
      <c r="AP377" s="1227"/>
      <c r="AQ377" s="1227"/>
      <c r="AR377" s="1227"/>
      <c r="AS377" s="1227"/>
      <c r="AT377" s="1227"/>
      <c r="AU377" s="1227"/>
      <c r="AV377" s="1227"/>
      <c r="AW377" s="1227"/>
      <c r="AX377" s="1281"/>
      <c r="AY377" s="1282"/>
      <c r="AZ377" s="1283"/>
    </row>
    <row r="378" spans="1:53" s="291" customFormat="1" ht="36" customHeight="1">
      <c r="A378" s="338"/>
      <c r="B378" s="480">
        <v>7</v>
      </c>
      <c r="C378" s="1347"/>
      <c r="D378" s="1348"/>
      <c r="E378" s="1348"/>
      <c r="F378" s="1348"/>
      <c r="G378" s="1348"/>
      <c r="H378" s="1348"/>
      <c r="I378" s="1348"/>
      <c r="J378" s="1348"/>
      <c r="K378" s="1348"/>
      <c r="L378" s="1348"/>
      <c r="M378" s="1349"/>
      <c r="N378" s="1208" t="str">
        <f t="shared" si="0"/>
        <v>Adquisición de vehículos CONVENCIONALES para la recolección y transporte de residuos sólidos NO aprovechables</v>
      </c>
      <c r="O378" s="1208"/>
      <c r="P378" s="1208"/>
      <c r="Q378" s="1208"/>
      <c r="R378" s="1208"/>
      <c r="S378" s="1208"/>
      <c r="T378" s="1208"/>
      <c r="U378" s="1208"/>
      <c r="V378" s="1208"/>
      <c r="W378" s="1208"/>
      <c r="X378" s="1208"/>
      <c r="Y378" s="1187" t="s">
        <v>538</v>
      </c>
      <c r="Z378" s="1188"/>
      <c r="AA378" s="1188"/>
      <c r="AB378" s="1188"/>
      <c r="AC378" s="1210"/>
      <c r="AD378" s="1187" t="s">
        <v>2210</v>
      </c>
      <c r="AE378" s="1188"/>
      <c r="AF378" s="1188"/>
      <c r="AG378" s="1188"/>
      <c r="AH378" s="1188"/>
      <c r="AI378" s="1188"/>
      <c r="AJ378" s="1210"/>
      <c r="AK378" s="1226"/>
      <c r="AL378" s="1227"/>
      <c r="AM378" s="1227"/>
      <c r="AN378" s="1227"/>
      <c r="AO378" s="1227"/>
      <c r="AP378" s="1227"/>
      <c r="AQ378" s="1227"/>
      <c r="AR378" s="1227"/>
      <c r="AS378" s="1227"/>
      <c r="AT378" s="1227"/>
      <c r="AU378" s="1227"/>
      <c r="AV378" s="1227"/>
      <c r="AW378" s="1227"/>
      <c r="AX378" s="1281"/>
      <c r="AY378" s="1282"/>
      <c r="AZ378" s="1283"/>
    </row>
    <row r="379" spans="1:53" s="291" customFormat="1" ht="36" customHeight="1">
      <c r="A379" s="338"/>
      <c r="B379" s="480">
        <v>8</v>
      </c>
      <c r="C379" s="1347"/>
      <c r="D379" s="1348"/>
      <c r="E379" s="1348"/>
      <c r="F379" s="1348"/>
      <c r="G379" s="1348"/>
      <c r="H379" s="1348"/>
      <c r="I379" s="1348"/>
      <c r="J379" s="1348"/>
      <c r="K379" s="1348"/>
      <c r="L379" s="1348"/>
      <c r="M379" s="1349"/>
      <c r="N379" s="1208"/>
      <c r="O379" s="1208"/>
      <c r="P379" s="1208"/>
      <c r="Q379" s="1208"/>
      <c r="R379" s="1208"/>
      <c r="S379" s="1208"/>
      <c r="T379" s="1208"/>
      <c r="U379" s="1208"/>
      <c r="V379" s="1208"/>
      <c r="W379" s="1208"/>
      <c r="X379" s="1208"/>
      <c r="Y379" s="1187" t="s">
        <v>538</v>
      </c>
      <c r="Z379" s="1188"/>
      <c r="AA379" s="1188"/>
      <c r="AB379" s="1188"/>
      <c r="AC379" s="1210"/>
      <c r="AD379" s="1187" t="s">
        <v>2210</v>
      </c>
      <c r="AE379" s="1188"/>
      <c r="AF379" s="1188"/>
      <c r="AG379" s="1188"/>
      <c r="AH379" s="1188"/>
      <c r="AI379" s="1188"/>
      <c r="AJ379" s="1210"/>
      <c r="AK379" s="1226"/>
      <c r="AL379" s="1227"/>
      <c r="AM379" s="1227"/>
      <c r="AN379" s="1227"/>
      <c r="AO379" s="1227"/>
      <c r="AP379" s="1227"/>
      <c r="AQ379" s="1227"/>
      <c r="AR379" s="1227"/>
      <c r="AS379" s="1227"/>
      <c r="AT379" s="1227"/>
      <c r="AU379" s="1227"/>
      <c r="AV379" s="1227"/>
      <c r="AW379" s="1227"/>
      <c r="AX379" s="1281"/>
      <c r="AY379" s="1282"/>
      <c r="AZ379" s="1283"/>
    </row>
    <row r="380" spans="1:53" s="291" customFormat="1" ht="50.25" customHeight="1">
      <c r="A380" s="338"/>
      <c r="B380" s="480">
        <v>9</v>
      </c>
      <c r="C380" s="1347"/>
      <c r="D380" s="1348"/>
      <c r="E380" s="1348"/>
      <c r="F380" s="1348"/>
      <c r="G380" s="1348"/>
      <c r="H380" s="1348"/>
      <c r="I380" s="1348"/>
      <c r="J380" s="1348"/>
      <c r="K380" s="1348"/>
      <c r="L380" s="1348"/>
      <c r="M380" s="1349"/>
      <c r="N380" s="1208" t="str">
        <f t="shared" ref="N380:N399" si="1">AC258</f>
        <v>Adquisición de vehículos NO CONVENCIONALES para la recolección y transporte de residuos sólidos  NO aprovechables</v>
      </c>
      <c r="O380" s="1208"/>
      <c r="P380" s="1208"/>
      <c r="Q380" s="1208"/>
      <c r="R380" s="1208"/>
      <c r="S380" s="1208"/>
      <c r="T380" s="1208"/>
      <c r="U380" s="1208"/>
      <c r="V380" s="1208"/>
      <c r="W380" s="1208"/>
      <c r="X380" s="1208"/>
      <c r="Y380" s="1187" t="s">
        <v>538</v>
      </c>
      <c r="Z380" s="1188"/>
      <c r="AA380" s="1188"/>
      <c r="AB380" s="1188"/>
      <c r="AC380" s="1210"/>
      <c r="AD380" s="1187" t="s">
        <v>2210</v>
      </c>
      <c r="AE380" s="1188"/>
      <c r="AF380" s="1188"/>
      <c r="AG380" s="1188"/>
      <c r="AH380" s="1188"/>
      <c r="AI380" s="1188"/>
      <c r="AJ380" s="1210"/>
      <c r="AK380" s="1226"/>
      <c r="AL380" s="1227"/>
      <c r="AM380" s="1227"/>
      <c r="AN380" s="1227"/>
      <c r="AO380" s="1227"/>
      <c r="AP380" s="1227"/>
      <c r="AQ380" s="1227"/>
      <c r="AR380" s="1227"/>
      <c r="AS380" s="1227"/>
      <c r="AT380" s="1227"/>
      <c r="AU380" s="1227"/>
      <c r="AV380" s="1227"/>
      <c r="AW380" s="1227"/>
      <c r="AX380" s="1281"/>
      <c r="AY380" s="1282"/>
      <c r="AZ380" s="1283"/>
    </row>
    <row r="381" spans="1:53" s="291" customFormat="1" ht="42" customHeight="1">
      <c r="A381" s="301"/>
      <c r="B381" s="480">
        <v>10</v>
      </c>
      <c r="C381" s="1347"/>
      <c r="D381" s="1348"/>
      <c r="E381" s="1348"/>
      <c r="F381" s="1348"/>
      <c r="G381" s="1348"/>
      <c r="H381" s="1348"/>
      <c r="I381" s="1348"/>
      <c r="J381" s="1348"/>
      <c r="K381" s="1348"/>
      <c r="L381" s="1348"/>
      <c r="M381" s="1349"/>
      <c r="N381" s="1187" t="str">
        <f t="shared" si="1"/>
        <v>Adquisición de vehículos CONVENCIONALES para la recolección y transporte de residuos sólidos aprovechables</v>
      </c>
      <c r="O381" s="1188"/>
      <c r="P381" s="1188"/>
      <c r="Q381" s="1188"/>
      <c r="R381" s="1188"/>
      <c r="S381" s="1188"/>
      <c r="T381" s="1188"/>
      <c r="U381" s="1188"/>
      <c r="V381" s="1188"/>
      <c r="W381" s="1188"/>
      <c r="X381" s="1210"/>
      <c r="Y381" s="1187" t="s">
        <v>538</v>
      </c>
      <c r="Z381" s="1188"/>
      <c r="AA381" s="1188"/>
      <c r="AB381" s="1188"/>
      <c r="AC381" s="1210"/>
      <c r="AD381" s="1187" t="s">
        <v>2210</v>
      </c>
      <c r="AE381" s="1188"/>
      <c r="AF381" s="1188"/>
      <c r="AG381" s="1188"/>
      <c r="AH381" s="1188"/>
      <c r="AI381" s="1188"/>
      <c r="AJ381" s="1210"/>
      <c r="AK381" s="1226"/>
      <c r="AL381" s="1227"/>
      <c r="AM381" s="1227"/>
      <c r="AN381" s="1227"/>
      <c r="AO381" s="1227"/>
      <c r="AP381" s="1227"/>
      <c r="AQ381" s="1227"/>
      <c r="AR381" s="1227"/>
      <c r="AS381" s="1227"/>
      <c r="AT381" s="1227"/>
      <c r="AU381" s="1227"/>
      <c r="AV381" s="1227"/>
      <c r="AW381" s="1227"/>
      <c r="AX381" s="1281"/>
      <c r="AY381" s="1282"/>
      <c r="AZ381" s="1283"/>
    </row>
    <row r="382" spans="1:53" s="291" customFormat="1" ht="36" customHeight="1">
      <c r="A382" s="301"/>
      <c r="B382" s="480">
        <v>11</v>
      </c>
      <c r="C382" s="1350"/>
      <c r="D382" s="1351"/>
      <c r="E382" s="1351"/>
      <c r="F382" s="1351"/>
      <c r="G382" s="1351"/>
      <c r="H382" s="1351"/>
      <c r="I382" s="1351"/>
      <c r="J382" s="1351"/>
      <c r="K382" s="1351"/>
      <c r="L382" s="1351"/>
      <c r="M382" s="1352"/>
      <c r="N382" s="1187" t="str">
        <f t="shared" si="1"/>
        <v>Adquisición de vehículos NO CONVENCIONALES para la recolección y transporte de residuos sólidos  aprovechables</v>
      </c>
      <c r="O382" s="1188"/>
      <c r="P382" s="1188"/>
      <c r="Q382" s="1188"/>
      <c r="R382" s="1188"/>
      <c r="S382" s="1188"/>
      <c r="T382" s="1188"/>
      <c r="U382" s="1188"/>
      <c r="V382" s="1188"/>
      <c r="W382" s="1188"/>
      <c r="X382" s="1210"/>
      <c r="Y382" s="1187" t="s">
        <v>538</v>
      </c>
      <c r="Z382" s="1188"/>
      <c r="AA382" s="1188"/>
      <c r="AB382" s="1188"/>
      <c r="AC382" s="1210"/>
      <c r="AD382" s="1187" t="s">
        <v>2210</v>
      </c>
      <c r="AE382" s="1188"/>
      <c r="AF382" s="1188"/>
      <c r="AG382" s="1188"/>
      <c r="AH382" s="1188"/>
      <c r="AI382" s="1188"/>
      <c r="AJ382" s="1210"/>
      <c r="AK382" s="1226"/>
      <c r="AL382" s="1227"/>
      <c r="AM382" s="1227"/>
      <c r="AN382" s="1227"/>
      <c r="AO382" s="1227"/>
      <c r="AP382" s="1227"/>
      <c r="AQ382" s="1227"/>
      <c r="AR382" s="1227"/>
      <c r="AS382" s="1227"/>
      <c r="AT382" s="1227"/>
      <c r="AU382" s="1227"/>
      <c r="AV382" s="1227"/>
      <c r="AW382" s="1227"/>
      <c r="AX382" s="1284"/>
      <c r="AY382" s="1285"/>
      <c r="AZ382" s="1286"/>
    </row>
    <row r="383" spans="1:53" s="291" customFormat="1" ht="27.75" customHeight="1">
      <c r="A383" s="301"/>
      <c r="B383" s="480">
        <v>12</v>
      </c>
      <c r="C383" s="1344" t="str">
        <f>B261</f>
        <v>Adecuada valorización de los residuos sólidos</v>
      </c>
      <c r="D383" s="1345"/>
      <c r="E383" s="1345"/>
      <c r="F383" s="1345"/>
      <c r="G383" s="1345"/>
      <c r="H383" s="1345"/>
      <c r="I383" s="1345"/>
      <c r="J383" s="1345"/>
      <c r="K383" s="1345"/>
      <c r="L383" s="1345"/>
      <c r="M383" s="1346"/>
      <c r="N383" s="1187" t="str">
        <f t="shared" si="1"/>
        <v>Construcción de una infraestructura de valorización orgánica</v>
      </c>
      <c r="O383" s="1188"/>
      <c r="P383" s="1188"/>
      <c r="Q383" s="1188"/>
      <c r="R383" s="1188"/>
      <c r="S383" s="1188"/>
      <c r="T383" s="1188"/>
      <c r="U383" s="1188"/>
      <c r="V383" s="1188"/>
      <c r="W383" s="1188"/>
      <c r="X383" s="1210"/>
      <c r="Y383" s="1187" t="s">
        <v>408</v>
      </c>
      <c r="Z383" s="1188"/>
      <c r="AA383" s="1188"/>
      <c r="AB383" s="1188"/>
      <c r="AC383" s="1210"/>
      <c r="AD383" s="1187" t="s">
        <v>2211</v>
      </c>
      <c r="AE383" s="1188"/>
      <c r="AF383" s="1188"/>
      <c r="AG383" s="1188"/>
      <c r="AH383" s="1188"/>
      <c r="AI383" s="1188"/>
      <c r="AJ383" s="1210"/>
      <c r="AK383" s="1226"/>
      <c r="AL383" s="1227"/>
      <c r="AM383" s="1227"/>
      <c r="AN383" s="1227"/>
      <c r="AO383" s="1227"/>
      <c r="AP383" s="1227"/>
      <c r="AQ383" s="1227"/>
      <c r="AR383" s="1227"/>
      <c r="AS383" s="1227"/>
      <c r="AT383" s="1227"/>
      <c r="AU383" s="1227"/>
      <c r="AV383" s="1227"/>
      <c r="AW383" s="1227"/>
      <c r="AX383" s="1278"/>
      <c r="AY383" s="1279"/>
      <c r="AZ383" s="1280"/>
    </row>
    <row r="384" spans="1:53" s="291" customFormat="1" ht="37.5" customHeight="1">
      <c r="A384" s="301"/>
      <c r="B384" s="480">
        <v>13</v>
      </c>
      <c r="C384" s="1347"/>
      <c r="D384" s="1348"/>
      <c r="E384" s="1348"/>
      <c r="F384" s="1348"/>
      <c r="G384" s="1348"/>
      <c r="H384" s="1348"/>
      <c r="I384" s="1348"/>
      <c r="J384" s="1348"/>
      <c r="K384" s="1348"/>
      <c r="L384" s="1348"/>
      <c r="M384" s="1349"/>
      <c r="N384" s="1187" t="str">
        <f t="shared" si="1"/>
        <v xml:space="preserve">Adquisición de herramientas e insumos para la valorización de residuos orgánicos </v>
      </c>
      <c r="O384" s="1188"/>
      <c r="P384" s="1188"/>
      <c r="Q384" s="1188"/>
      <c r="R384" s="1188"/>
      <c r="S384" s="1188"/>
      <c r="T384" s="1188"/>
      <c r="U384" s="1188"/>
      <c r="V384" s="1188"/>
      <c r="W384" s="1188"/>
      <c r="X384" s="1210"/>
      <c r="Y384" s="1187" t="s">
        <v>407</v>
      </c>
      <c r="Z384" s="1188"/>
      <c r="AA384" s="1188"/>
      <c r="AB384" s="1188"/>
      <c r="AC384" s="1210"/>
      <c r="AD384" s="1187" t="s">
        <v>2211</v>
      </c>
      <c r="AE384" s="1188"/>
      <c r="AF384" s="1188"/>
      <c r="AG384" s="1188"/>
      <c r="AH384" s="1188"/>
      <c r="AI384" s="1188"/>
      <c r="AJ384" s="1210"/>
      <c r="AK384" s="1226"/>
      <c r="AL384" s="1227"/>
      <c r="AM384" s="1227"/>
      <c r="AN384" s="1227"/>
      <c r="AO384" s="1227"/>
      <c r="AP384" s="1227"/>
      <c r="AQ384" s="1227"/>
      <c r="AR384" s="1227"/>
      <c r="AS384" s="1227"/>
      <c r="AT384" s="1227"/>
      <c r="AU384" s="1227"/>
      <c r="AV384" s="1227"/>
      <c r="AW384" s="1227"/>
      <c r="AX384" s="1281"/>
      <c r="AY384" s="1282"/>
      <c r="AZ384" s="1283"/>
    </row>
    <row r="385" spans="1:52" s="291" customFormat="1" ht="37.5" customHeight="1">
      <c r="A385" s="301"/>
      <c r="B385" s="480">
        <v>14</v>
      </c>
      <c r="C385" s="1347"/>
      <c r="D385" s="1348"/>
      <c r="E385" s="1348"/>
      <c r="F385" s="1348"/>
      <c r="G385" s="1348"/>
      <c r="H385" s="1348"/>
      <c r="I385" s="1348"/>
      <c r="J385" s="1348"/>
      <c r="K385" s="1348"/>
      <c r="L385" s="1348"/>
      <c r="M385" s="1349"/>
      <c r="N385" s="1187" t="str">
        <f t="shared" si="1"/>
        <v>Adquisición de equipos para la valorización de residuos orgánicos</v>
      </c>
      <c r="O385" s="1188"/>
      <c r="P385" s="1188"/>
      <c r="Q385" s="1188"/>
      <c r="R385" s="1188"/>
      <c r="S385" s="1188"/>
      <c r="T385" s="1188"/>
      <c r="U385" s="1188"/>
      <c r="V385" s="1188"/>
      <c r="W385" s="1188"/>
      <c r="X385" s="1210"/>
      <c r="Y385" s="1187" t="s">
        <v>407</v>
      </c>
      <c r="Z385" s="1188"/>
      <c r="AA385" s="1188"/>
      <c r="AB385" s="1188"/>
      <c r="AC385" s="1210"/>
      <c r="AD385" s="1187" t="s">
        <v>2210</v>
      </c>
      <c r="AE385" s="1188"/>
      <c r="AF385" s="1188"/>
      <c r="AG385" s="1188"/>
      <c r="AH385" s="1188"/>
      <c r="AI385" s="1188"/>
      <c r="AJ385" s="1210"/>
      <c r="AK385" s="1226"/>
      <c r="AL385" s="1227"/>
      <c r="AM385" s="1227"/>
      <c r="AN385" s="1227"/>
      <c r="AO385" s="1227"/>
      <c r="AP385" s="1227"/>
      <c r="AQ385" s="1227"/>
      <c r="AR385" s="1227"/>
      <c r="AS385" s="1227"/>
      <c r="AT385" s="1227"/>
      <c r="AU385" s="1227"/>
      <c r="AV385" s="1227"/>
      <c r="AW385" s="1227"/>
      <c r="AX385" s="1281"/>
      <c r="AY385" s="1282"/>
      <c r="AZ385" s="1283"/>
    </row>
    <row r="386" spans="1:52" s="291" customFormat="1" ht="37.5" customHeight="1">
      <c r="A386" s="301"/>
      <c r="B386" s="480">
        <v>15</v>
      </c>
      <c r="C386" s="1347"/>
      <c r="D386" s="1348"/>
      <c r="E386" s="1348"/>
      <c r="F386" s="1348"/>
      <c r="G386" s="1348"/>
      <c r="H386" s="1348"/>
      <c r="I386" s="1348"/>
      <c r="J386" s="1348"/>
      <c r="K386" s="1348"/>
      <c r="L386" s="1348"/>
      <c r="M386" s="1349"/>
      <c r="N386" s="1187" t="str">
        <f t="shared" si="1"/>
        <v>Adquisición de equipos de protección para el personal de valorización de residuos orgánicos</v>
      </c>
      <c r="O386" s="1188"/>
      <c r="P386" s="1188"/>
      <c r="Q386" s="1188"/>
      <c r="R386" s="1188"/>
      <c r="S386" s="1188"/>
      <c r="T386" s="1188"/>
      <c r="U386" s="1188"/>
      <c r="V386" s="1188"/>
      <c r="W386" s="1188"/>
      <c r="X386" s="1210"/>
      <c r="Y386" s="1187" t="s">
        <v>407</v>
      </c>
      <c r="Z386" s="1188"/>
      <c r="AA386" s="1188"/>
      <c r="AB386" s="1188"/>
      <c r="AC386" s="1210"/>
      <c r="AD386" s="1187" t="s">
        <v>2210</v>
      </c>
      <c r="AE386" s="1188"/>
      <c r="AF386" s="1188"/>
      <c r="AG386" s="1188"/>
      <c r="AH386" s="1188"/>
      <c r="AI386" s="1188"/>
      <c r="AJ386" s="1210"/>
      <c r="AK386" s="1226"/>
      <c r="AL386" s="1227"/>
      <c r="AM386" s="1227"/>
      <c r="AN386" s="1227"/>
      <c r="AO386" s="1227"/>
      <c r="AP386" s="1227"/>
      <c r="AQ386" s="1227"/>
      <c r="AR386" s="1227"/>
      <c r="AS386" s="1227"/>
      <c r="AT386" s="1227"/>
      <c r="AU386" s="1227"/>
      <c r="AV386" s="1227"/>
      <c r="AW386" s="1227"/>
      <c r="AX386" s="1281"/>
      <c r="AY386" s="1282"/>
      <c r="AZ386" s="1283"/>
    </row>
    <row r="387" spans="1:52" s="291" customFormat="1" ht="37.5" customHeight="1">
      <c r="A387" s="301"/>
      <c r="B387" s="480">
        <v>16</v>
      </c>
      <c r="C387" s="1347"/>
      <c r="D387" s="1348"/>
      <c r="E387" s="1348"/>
      <c r="F387" s="1348"/>
      <c r="G387" s="1348"/>
      <c r="H387" s="1348"/>
      <c r="I387" s="1348"/>
      <c r="J387" s="1348"/>
      <c r="K387" s="1348"/>
      <c r="L387" s="1348"/>
      <c r="M387" s="1349"/>
      <c r="N387" s="1183" t="str">
        <f t="shared" si="1"/>
        <v>Adquisición de maquinaria para la valorización de residuos orgánicos</v>
      </c>
      <c r="O387" s="1184"/>
      <c r="P387" s="1184"/>
      <c r="Q387" s="1184"/>
      <c r="R387" s="1184"/>
      <c r="S387" s="1184"/>
      <c r="T387" s="1184"/>
      <c r="U387" s="1184"/>
      <c r="V387" s="1184"/>
      <c r="W387" s="1184"/>
      <c r="X387" s="1245"/>
      <c r="Y387" s="1183" t="s">
        <v>538</v>
      </c>
      <c r="Z387" s="1184"/>
      <c r="AA387" s="1184"/>
      <c r="AB387" s="1184"/>
      <c r="AC387" s="1245"/>
      <c r="AD387" s="1183" t="s">
        <v>2210</v>
      </c>
      <c r="AE387" s="1184"/>
      <c r="AF387" s="1184"/>
      <c r="AG387" s="1184"/>
      <c r="AH387" s="1184"/>
      <c r="AI387" s="1184"/>
      <c r="AJ387" s="1245"/>
      <c r="AK387" s="1226"/>
      <c r="AL387" s="1227"/>
      <c r="AM387" s="1227"/>
      <c r="AN387" s="1227"/>
      <c r="AO387" s="1227"/>
      <c r="AP387" s="1227"/>
      <c r="AQ387" s="1227"/>
      <c r="AR387" s="1227"/>
      <c r="AS387" s="1227"/>
      <c r="AT387" s="1227"/>
      <c r="AU387" s="1227"/>
      <c r="AV387" s="1227"/>
      <c r="AW387" s="1227"/>
      <c r="AX387" s="1281"/>
      <c r="AY387" s="1282"/>
      <c r="AZ387" s="1283"/>
    </row>
    <row r="388" spans="1:52" s="291" customFormat="1" ht="37.5" customHeight="1">
      <c r="A388" s="301"/>
      <c r="B388" s="480">
        <v>17</v>
      </c>
      <c r="C388" s="1347"/>
      <c r="D388" s="1348"/>
      <c r="E388" s="1348"/>
      <c r="F388" s="1348"/>
      <c r="G388" s="1348"/>
      <c r="H388" s="1348"/>
      <c r="I388" s="1348"/>
      <c r="J388" s="1348"/>
      <c r="K388" s="1348"/>
      <c r="L388" s="1348"/>
      <c r="M388" s="1349"/>
      <c r="N388" s="1187" t="str">
        <f t="shared" si="1"/>
        <v>Construcción de una infraestructura de valorización inorgánica</v>
      </c>
      <c r="O388" s="1188"/>
      <c r="P388" s="1188"/>
      <c r="Q388" s="1188"/>
      <c r="R388" s="1188"/>
      <c r="S388" s="1188"/>
      <c r="T388" s="1188"/>
      <c r="U388" s="1188"/>
      <c r="V388" s="1188"/>
      <c r="W388" s="1188"/>
      <c r="X388" s="1210"/>
      <c r="Y388" s="1187" t="s">
        <v>408</v>
      </c>
      <c r="Z388" s="1188"/>
      <c r="AA388" s="1188"/>
      <c r="AB388" s="1188"/>
      <c r="AC388" s="1210"/>
      <c r="AD388" s="1187" t="s">
        <v>2211</v>
      </c>
      <c r="AE388" s="1188"/>
      <c r="AF388" s="1188"/>
      <c r="AG388" s="1188"/>
      <c r="AH388" s="1188"/>
      <c r="AI388" s="1188"/>
      <c r="AJ388" s="1210"/>
      <c r="AK388" s="1226"/>
      <c r="AL388" s="1227"/>
      <c r="AM388" s="1227"/>
      <c r="AN388" s="1227"/>
      <c r="AO388" s="1227"/>
      <c r="AP388" s="1227"/>
      <c r="AQ388" s="1227"/>
      <c r="AR388" s="1227"/>
      <c r="AS388" s="1227"/>
      <c r="AT388" s="1227"/>
      <c r="AU388" s="1227"/>
      <c r="AV388" s="1227"/>
      <c r="AW388" s="1227"/>
      <c r="AX388" s="1281"/>
      <c r="AY388" s="1282"/>
      <c r="AZ388" s="1283"/>
    </row>
    <row r="389" spans="1:52" s="291" customFormat="1" ht="37.5" customHeight="1">
      <c r="A389" s="301"/>
      <c r="B389" s="480">
        <v>18</v>
      </c>
      <c r="C389" s="1347"/>
      <c r="D389" s="1348"/>
      <c r="E389" s="1348"/>
      <c r="F389" s="1348"/>
      <c r="G389" s="1348"/>
      <c r="H389" s="1348"/>
      <c r="I389" s="1348"/>
      <c r="J389" s="1348"/>
      <c r="K389" s="1348"/>
      <c r="L389" s="1348"/>
      <c r="M389" s="1349"/>
      <c r="N389" s="1187" t="str">
        <f t="shared" si="1"/>
        <v>Adquisición de herramientas e insumos para la valorización de residuos inorgánicos</v>
      </c>
      <c r="O389" s="1188"/>
      <c r="P389" s="1188"/>
      <c r="Q389" s="1188"/>
      <c r="R389" s="1188"/>
      <c r="S389" s="1188"/>
      <c r="T389" s="1188"/>
      <c r="U389" s="1188"/>
      <c r="V389" s="1188"/>
      <c r="W389" s="1188"/>
      <c r="X389" s="1210"/>
      <c r="Y389" s="1187" t="s">
        <v>407</v>
      </c>
      <c r="Z389" s="1188"/>
      <c r="AA389" s="1188"/>
      <c r="AB389" s="1188"/>
      <c r="AC389" s="1210"/>
      <c r="AD389" s="1187" t="s">
        <v>2211</v>
      </c>
      <c r="AE389" s="1188"/>
      <c r="AF389" s="1188"/>
      <c r="AG389" s="1188"/>
      <c r="AH389" s="1188"/>
      <c r="AI389" s="1188"/>
      <c r="AJ389" s="1210"/>
      <c r="AK389" s="1226"/>
      <c r="AL389" s="1227"/>
      <c r="AM389" s="1227"/>
      <c r="AN389" s="1227"/>
      <c r="AO389" s="1227"/>
      <c r="AP389" s="1227"/>
      <c r="AQ389" s="1227"/>
      <c r="AR389" s="1227"/>
      <c r="AS389" s="1227"/>
      <c r="AT389" s="1227"/>
      <c r="AU389" s="1227"/>
      <c r="AV389" s="1227"/>
      <c r="AW389" s="1227"/>
      <c r="AX389" s="1281"/>
      <c r="AY389" s="1282"/>
      <c r="AZ389" s="1283"/>
    </row>
    <row r="390" spans="1:52" s="291" customFormat="1" ht="37.5" customHeight="1">
      <c r="A390" s="301"/>
      <c r="B390" s="480">
        <v>19</v>
      </c>
      <c r="C390" s="1347"/>
      <c r="D390" s="1348"/>
      <c r="E390" s="1348"/>
      <c r="F390" s="1348"/>
      <c r="G390" s="1348"/>
      <c r="H390" s="1348"/>
      <c r="I390" s="1348"/>
      <c r="J390" s="1348"/>
      <c r="K390" s="1348"/>
      <c r="L390" s="1348"/>
      <c r="M390" s="1349"/>
      <c r="N390" s="1187" t="str">
        <f t="shared" si="1"/>
        <v xml:space="preserve">Adquisición de equipos para la valorización de residuos inorgánicos </v>
      </c>
      <c r="O390" s="1188"/>
      <c r="P390" s="1188"/>
      <c r="Q390" s="1188"/>
      <c r="R390" s="1188"/>
      <c r="S390" s="1188"/>
      <c r="T390" s="1188"/>
      <c r="U390" s="1188"/>
      <c r="V390" s="1188"/>
      <c r="W390" s="1188"/>
      <c r="X390" s="1210"/>
      <c r="Y390" s="1187" t="s">
        <v>407</v>
      </c>
      <c r="Z390" s="1188"/>
      <c r="AA390" s="1188"/>
      <c r="AB390" s="1188"/>
      <c r="AC390" s="1210"/>
      <c r="AD390" s="1187" t="s">
        <v>2210</v>
      </c>
      <c r="AE390" s="1188"/>
      <c r="AF390" s="1188"/>
      <c r="AG390" s="1188"/>
      <c r="AH390" s="1188"/>
      <c r="AI390" s="1188"/>
      <c r="AJ390" s="1210"/>
      <c r="AK390" s="1226"/>
      <c r="AL390" s="1227"/>
      <c r="AM390" s="1227"/>
      <c r="AN390" s="1227"/>
      <c r="AO390" s="1227"/>
      <c r="AP390" s="1227"/>
      <c r="AQ390" s="1227"/>
      <c r="AR390" s="1227"/>
      <c r="AS390" s="1227"/>
      <c r="AT390" s="1227"/>
      <c r="AU390" s="1227"/>
      <c r="AV390" s="1227"/>
      <c r="AW390" s="1227"/>
      <c r="AX390" s="1281"/>
      <c r="AY390" s="1282"/>
      <c r="AZ390" s="1283"/>
    </row>
    <row r="391" spans="1:52" s="291" customFormat="1" ht="37.5" customHeight="1">
      <c r="A391" s="301"/>
      <c r="B391" s="480">
        <v>20</v>
      </c>
      <c r="C391" s="1347"/>
      <c r="D391" s="1348"/>
      <c r="E391" s="1348"/>
      <c r="F391" s="1348"/>
      <c r="G391" s="1348"/>
      <c r="H391" s="1348"/>
      <c r="I391" s="1348"/>
      <c r="J391" s="1348"/>
      <c r="K391" s="1348"/>
      <c r="L391" s="1348"/>
      <c r="M391" s="1349"/>
      <c r="N391" s="1187" t="str">
        <f t="shared" si="1"/>
        <v>Adquisición de equipos de protección del personal de valorización de residuos inorgánico</v>
      </c>
      <c r="O391" s="1188"/>
      <c r="P391" s="1188"/>
      <c r="Q391" s="1188"/>
      <c r="R391" s="1188"/>
      <c r="S391" s="1188"/>
      <c r="T391" s="1188"/>
      <c r="U391" s="1188"/>
      <c r="V391" s="1188"/>
      <c r="W391" s="1188"/>
      <c r="X391" s="1210"/>
      <c r="Y391" s="1187" t="s">
        <v>407</v>
      </c>
      <c r="Z391" s="1188"/>
      <c r="AA391" s="1188"/>
      <c r="AB391" s="1188"/>
      <c r="AC391" s="1210"/>
      <c r="AD391" s="1208" t="s">
        <v>2211</v>
      </c>
      <c r="AE391" s="1208"/>
      <c r="AF391" s="1208"/>
      <c r="AG391" s="1208"/>
      <c r="AH391" s="1208"/>
      <c r="AI391" s="1208"/>
      <c r="AJ391" s="1208"/>
      <c r="AK391" s="1226"/>
      <c r="AL391" s="1227"/>
      <c r="AM391" s="1227"/>
      <c r="AN391" s="1227"/>
      <c r="AO391" s="1227"/>
      <c r="AP391" s="1227"/>
      <c r="AQ391" s="1227"/>
      <c r="AR391" s="1227"/>
      <c r="AS391" s="1227"/>
      <c r="AT391" s="1227"/>
      <c r="AU391" s="1227"/>
      <c r="AV391" s="1227"/>
      <c r="AW391" s="1227"/>
      <c r="AX391" s="1281"/>
      <c r="AY391" s="1282"/>
      <c r="AZ391" s="1283"/>
    </row>
    <row r="392" spans="1:52" s="291" customFormat="1" ht="37.5" customHeight="1">
      <c r="A392" s="301"/>
      <c r="B392" s="480">
        <v>21</v>
      </c>
      <c r="C392" s="1350"/>
      <c r="D392" s="1351"/>
      <c r="E392" s="1351"/>
      <c r="F392" s="1351"/>
      <c r="G392" s="1351"/>
      <c r="H392" s="1351"/>
      <c r="I392" s="1351"/>
      <c r="J392" s="1351"/>
      <c r="K392" s="1351"/>
      <c r="L392" s="1351"/>
      <c r="M392" s="1352"/>
      <c r="N392" s="1183" t="str">
        <f t="shared" si="1"/>
        <v>Adquisición de maquinaria para la valorización  de residuos inorgánicos</v>
      </c>
      <c r="O392" s="1184"/>
      <c r="P392" s="1184"/>
      <c r="Q392" s="1184"/>
      <c r="R392" s="1184"/>
      <c r="S392" s="1184"/>
      <c r="T392" s="1184"/>
      <c r="U392" s="1184"/>
      <c r="V392" s="1184"/>
      <c r="W392" s="1184"/>
      <c r="X392" s="1245"/>
      <c r="Y392" s="1187" t="s">
        <v>538</v>
      </c>
      <c r="Z392" s="1188"/>
      <c r="AA392" s="1188"/>
      <c r="AB392" s="1188"/>
      <c r="AC392" s="1210"/>
      <c r="AD392" s="1208" t="s">
        <v>2211</v>
      </c>
      <c r="AE392" s="1208"/>
      <c r="AF392" s="1208"/>
      <c r="AG392" s="1208"/>
      <c r="AH392" s="1208"/>
      <c r="AI392" s="1208"/>
      <c r="AJ392" s="1208"/>
      <c r="AK392" s="1226"/>
      <c r="AL392" s="1227"/>
      <c r="AM392" s="1227"/>
      <c r="AN392" s="1227"/>
      <c r="AO392" s="1227"/>
      <c r="AP392" s="1227"/>
      <c r="AQ392" s="1227"/>
      <c r="AR392" s="1227"/>
      <c r="AS392" s="1227"/>
      <c r="AT392" s="1227"/>
      <c r="AU392" s="1227"/>
      <c r="AV392" s="1227"/>
      <c r="AW392" s="1227"/>
      <c r="AX392" s="1284"/>
      <c r="AY392" s="1285"/>
      <c r="AZ392" s="1286"/>
    </row>
    <row r="393" spans="1:52" s="291" customFormat="1" ht="33.75" customHeight="1">
      <c r="A393" s="301"/>
      <c r="B393" s="480">
        <v>22</v>
      </c>
      <c r="C393" s="1362" t="str">
        <f>B271</f>
        <v>Adecuada disposición final de los residuos sólidos</v>
      </c>
      <c r="D393" s="1362"/>
      <c r="E393" s="1362"/>
      <c r="F393" s="1362"/>
      <c r="G393" s="1362"/>
      <c r="H393" s="1362"/>
      <c r="I393" s="1362"/>
      <c r="J393" s="1362"/>
      <c r="K393" s="1362"/>
      <c r="L393" s="1362"/>
      <c r="M393" s="1362"/>
      <c r="N393" s="1187" t="str">
        <f t="shared" si="1"/>
        <v>Construcción de infraestructura de disposición final</v>
      </c>
      <c r="O393" s="1188"/>
      <c r="P393" s="1188"/>
      <c r="Q393" s="1188"/>
      <c r="R393" s="1188"/>
      <c r="S393" s="1188"/>
      <c r="T393" s="1188"/>
      <c r="U393" s="1188"/>
      <c r="V393" s="1188"/>
      <c r="W393" s="1188"/>
      <c r="X393" s="1210"/>
      <c r="Y393" s="1187" t="s">
        <v>408</v>
      </c>
      <c r="Z393" s="1188"/>
      <c r="AA393" s="1188"/>
      <c r="AB393" s="1188"/>
      <c r="AC393" s="1210"/>
      <c r="AD393" s="1208" t="s">
        <v>2210</v>
      </c>
      <c r="AE393" s="1208"/>
      <c r="AF393" s="1208"/>
      <c r="AG393" s="1208"/>
      <c r="AH393" s="1208"/>
      <c r="AI393" s="1208"/>
      <c r="AJ393" s="1208"/>
      <c r="AK393" s="1226"/>
      <c r="AL393" s="1227"/>
      <c r="AM393" s="1227"/>
      <c r="AN393" s="1227"/>
      <c r="AO393" s="1227"/>
      <c r="AP393" s="1227"/>
      <c r="AQ393" s="1227"/>
      <c r="AR393" s="1227"/>
      <c r="AS393" s="1227"/>
      <c r="AT393" s="1227"/>
      <c r="AU393" s="1227"/>
      <c r="AV393" s="1227"/>
      <c r="AW393" s="1227"/>
      <c r="AX393" s="1278"/>
      <c r="AY393" s="1279"/>
      <c r="AZ393" s="1280"/>
    </row>
    <row r="394" spans="1:52" s="291" customFormat="1" ht="33.75" customHeight="1">
      <c r="A394" s="301"/>
      <c r="B394" s="480">
        <v>23</v>
      </c>
      <c r="C394" s="1362"/>
      <c r="D394" s="1362"/>
      <c r="E394" s="1362"/>
      <c r="F394" s="1362"/>
      <c r="G394" s="1362"/>
      <c r="H394" s="1362"/>
      <c r="I394" s="1362"/>
      <c r="J394" s="1362"/>
      <c r="K394" s="1362"/>
      <c r="L394" s="1362"/>
      <c r="M394" s="1362"/>
      <c r="N394" s="1187" t="str">
        <f t="shared" si="1"/>
        <v xml:space="preserve">Adquisición de herramientas para el relleno sanitario </v>
      </c>
      <c r="O394" s="1188"/>
      <c r="P394" s="1188"/>
      <c r="Q394" s="1188"/>
      <c r="R394" s="1188"/>
      <c r="S394" s="1188"/>
      <c r="T394" s="1188"/>
      <c r="U394" s="1188"/>
      <c r="V394" s="1188"/>
      <c r="W394" s="1188"/>
      <c r="X394" s="1210"/>
      <c r="Y394" s="1187" t="s">
        <v>407</v>
      </c>
      <c r="Z394" s="1188"/>
      <c r="AA394" s="1188"/>
      <c r="AB394" s="1188"/>
      <c r="AC394" s="1210"/>
      <c r="AD394" s="1208" t="s">
        <v>2210</v>
      </c>
      <c r="AE394" s="1208"/>
      <c r="AF394" s="1208"/>
      <c r="AG394" s="1208"/>
      <c r="AH394" s="1208"/>
      <c r="AI394" s="1208"/>
      <c r="AJ394" s="1208"/>
      <c r="AK394" s="1226"/>
      <c r="AL394" s="1227"/>
      <c r="AM394" s="1227"/>
      <c r="AN394" s="1227"/>
      <c r="AO394" s="1227"/>
      <c r="AP394" s="1227"/>
      <c r="AQ394" s="1227"/>
      <c r="AR394" s="1227"/>
      <c r="AS394" s="1227"/>
      <c r="AT394" s="1227"/>
      <c r="AU394" s="1227"/>
      <c r="AV394" s="1227"/>
      <c r="AW394" s="1227"/>
      <c r="AX394" s="1281"/>
      <c r="AY394" s="1282"/>
      <c r="AZ394" s="1283"/>
    </row>
    <row r="395" spans="1:52" s="291" customFormat="1" ht="33.75" customHeight="1">
      <c r="A395" s="301"/>
      <c r="B395" s="480">
        <v>24</v>
      </c>
      <c r="C395" s="1362"/>
      <c r="D395" s="1362"/>
      <c r="E395" s="1362"/>
      <c r="F395" s="1362"/>
      <c r="G395" s="1362"/>
      <c r="H395" s="1362"/>
      <c r="I395" s="1362"/>
      <c r="J395" s="1362"/>
      <c r="K395" s="1362"/>
      <c r="L395" s="1362"/>
      <c r="M395" s="1362"/>
      <c r="N395" s="1183" t="str">
        <f t="shared" si="1"/>
        <v xml:space="preserve">Adquisición de equipos  para el relleno sanitario </v>
      </c>
      <c r="O395" s="1184"/>
      <c r="P395" s="1184"/>
      <c r="Q395" s="1184"/>
      <c r="R395" s="1184"/>
      <c r="S395" s="1184"/>
      <c r="T395" s="1184"/>
      <c r="U395" s="1184"/>
      <c r="V395" s="1184"/>
      <c r="W395" s="1184"/>
      <c r="X395" s="1245"/>
      <c r="Y395" s="1183" t="s">
        <v>407</v>
      </c>
      <c r="Z395" s="1184"/>
      <c r="AA395" s="1184"/>
      <c r="AB395" s="1184"/>
      <c r="AC395" s="1245"/>
      <c r="AD395" s="1257" t="s">
        <v>2210</v>
      </c>
      <c r="AE395" s="1257"/>
      <c r="AF395" s="1257"/>
      <c r="AG395" s="1257"/>
      <c r="AH395" s="1257"/>
      <c r="AI395" s="1257"/>
      <c r="AJ395" s="1257"/>
      <c r="AK395" s="1226"/>
      <c r="AL395" s="1227"/>
      <c r="AM395" s="1227"/>
      <c r="AN395" s="1227"/>
      <c r="AO395" s="1227"/>
      <c r="AP395" s="1227"/>
      <c r="AQ395" s="1227"/>
      <c r="AR395" s="1227"/>
      <c r="AS395" s="1227"/>
      <c r="AT395" s="1227"/>
      <c r="AU395" s="1227"/>
      <c r="AV395" s="1227"/>
      <c r="AW395" s="1227"/>
      <c r="AX395" s="1281"/>
      <c r="AY395" s="1282"/>
      <c r="AZ395" s="1283"/>
    </row>
    <row r="396" spans="1:52" s="291" customFormat="1" ht="33.75" customHeight="1">
      <c r="A396" s="301"/>
      <c r="B396" s="480">
        <v>25</v>
      </c>
      <c r="C396" s="1362"/>
      <c r="D396" s="1362"/>
      <c r="E396" s="1362"/>
      <c r="F396" s="1362"/>
      <c r="G396" s="1362"/>
      <c r="H396" s="1362"/>
      <c r="I396" s="1362"/>
      <c r="J396" s="1362"/>
      <c r="K396" s="1362"/>
      <c r="L396" s="1362"/>
      <c r="M396" s="1362"/>
      <c r="N396" s="1187" t="str">
        <f t="shared" si="1"/>
        <v>Adquisición de equipos de protección personal para el personal de la disposición final</v>
      </c>
      <c r="O396" s="1188"/>
      <c r="P396" s="1188"/>
      <c r="Q396" s="1188"/>
      <c r="R396" s="1188"/>
      <c r="S396" s="1188"/>
      <c r="T396" s="1188"/>
      <c r="U396" s="1188"/>
      <c r="V396" s="1188"/>
      <c r="W396" s="1188"/>
      <c r="X396" s="1210"/>
      <c r="Y396" s="1187" t="s">
        <v>407</v>
      </c>
      <c r="Z396" s="1188"/>
      <c r="AA396" s="1188"/>
      <c r="AB396" s="1188"/>
      <c r="AC396" s="1210"/>
      <c r="AD396" s="1208" t="s">
        <v>2210</v>
      </c>
      <c r="AE396" s="1208"/>
      <c r="AF396" s="1208"/>
      <c r="AG396" s="1208"/>
      <c r="AH396" s="1208"/>
      <c r="AI396" s="1208"/>
      <c r="AJ396" s="1208"/>
      <c r="AK396" s="1226"/>
      <c r="AL396" s="1227"/>
      <c r="AM396" s="1227"/>
      <c r="AN396" s="1227"/>
      <c r="AO396" s="1227"/>
      <c r="AP396" s="1227"/>
      <c r="AQ396" s="1227"/>
      <c r="AR396" s="1227"/>
      <c r="AS396" s="1227"/>
      <c r="AT396" s="1227"/>
      <c r="AU396" s="1227"/>
      <c r="AV396" s="1227"/>
      <c r="AW396" s="1227"/>
      <c r="AX396" s="1281"/>
      <c r="AY396" s="1282"/>
      <c r="AZ396" s="1283"/>
    </row>
    <row r="397" spans="1:52" s="291" customFormat="1" ht="18.75" customHeight="1">
      <c r="A397" s="301"/>
      <c r="B397" s="480">
        <v>26</v>
      </c>
      <c r="C397" s="1362"/>
      <c r="D397" s="1362"/>
      <c r="E397" s="1362"/>
      <c r="F397" s="1362"/>
      <c r="G397" s="1362"/>
      <c r="H397" s="1362"/>
      <c r="I397" s="1362"/>
      <c r="J397" s="1362"/>
      <c r="K397" s="1362"/>
      <c r="L397" s="1362"/>
      <c r="M397" s="1362"/>
      <c r="N397" s="1187" t="str">
        <f t="shared" si="1"/>
        <v xml:space="preserve">Adquisición de mobiliario </v>
      </c>
      <c r="O397" s="1188"/>
      <c r="P397" s="1188"/>
      <c r="Q397" s="1188"/>
      <c r="R397" s="1188"/>
      <c r="S397" s="1188"/>
      <c r="T397" s="1188"/>
      <c r="U397" s="1188"/>
      <c r="V397" s="1188"/>
      <c r="W397" s="1188"/>
      <c r="X397" s="1210"/>
      <c r="Y397" s="1187" t="s">
        <v>29</v>
      </c>
      <c r="Z397" s="1188"/>
      <c r="AA397" s="1188"/>
      <c r="AB397" s="1188"/>
      <c r="AC397" s="1210"/>
      <c r="AD397" s="1208" t="s">
        <v>2210</v>
      </c>
      <c r="AE397" s="1208"/>
      <c r="AF397" s="1208"/>
      <c r="AG397" s="1208"/>
      <c r="AH397" s="1208"/>
      <c r="AI397" s="1208"/>
      <c r="AJ397" s="1208"/>
      <c r="AK397" s="1226"/>
      <c r="AL397" s="1227"/>
      <c r="AM397" s="1227"/>
      <c r="AN397" s="1227"/>
      <c r="AO397" s="1227"/>
      <c r="AP397" s="1227"/>
      <c r="AQ397" s="1227"/>
      <c r="AR397" s="1227"/>
      <c r="AS397" s="1227"/>
      <c r="AT397" s="1227"/>
      <c r="AU397" s="1227"/>
      <c r="AV397" s="1227"/>
      <c r="AW397" s="1227"/>
      <c r="AX397" s="1281"/>
      <c r="AY397" s="1282"/>
      <c r="AZ397" s="1283"/>
    </row>
    <row r="398" spans="1:52" s="291" customFormat="1" ht="19.5" customHeight="1">
      <c r="A398" s="301"/>
      <c r="B398" s="480">
        <v>27</v>
      </c>
      <c r="C398" s="1362"/>
      <c r="D398" s="1362"/>
      <c r="E398" s="1362"/>
      <c r="F398" s="1362"/>
      <c r="G398" s="1362"/>
      <c r="H398" s="1362"/>
      <c r="I398" s="1362"/>
      <c r="J398" s="1362"/>
      <c r="K398" s="1362"/>
      <c r="L398" s="1362"/>
      <c r="M398" s="1362"/>
      <c r="N398" s="1187" t="str">
        <f t="shared" si="1"/>
        <v>Adquisición de maquinaria para el relleno sanitario</v>
      </c>
      <c r="O398" s="1188"/>
      <c r="P398" s="1188"/>
      <c r="Q398" s="1188"/>
      <c r="R398" s="1188"/>
      <c r="S398" s="1188"/>
      <c r="T398" s="1188"/>
      <c r="U398" s="1188"/>
      <c r="V398" s="1188"/>
      <c r="W398" s="1188"/>
      <c r="X398" s="1210"/>
      <c r="Y398" s="1187" t="s">
        <v>538</v>
      </c>
      <c r="Z398" s="1188"/>
      <c r="AA398" s="1188"/>
      <c r="AB398" s="1188"/>
      <c r="AC398" s="1210"/>
      <c r="AD398" s="1208" t="s">
        <v>2210</v>
      </c>
      <c r="AE398" s="1208"/>
      <c r="AF398" s="1208"/>
      <c r="AG398" s="1208"/>
      <c r="AH398" s="1208"/>
      <c r="AI398" s="1208"/>
      <c r="AJ398" s="1208"/>
      <c r="AK398" s="1226"/>
      <c r="AL398" s="1227"/>
      <c r="AM398" s="1227"/>
      <c r="AN398" s="1227"/>
      <c r="AO398" s="1227"/>
      <c r="AP398" s="1227"/>
      <c r="AQ398" s="1227"/>
      <c r="AR398" s="1227"/>
      <c r="AS398" s="1227"/>
      <c r="AT398" s="1227"/>
      <c r="AU398" s="1227"/>
      <c r="AV398" s="1227"/>
      <c r="AW398" s="1227"/>
      <c r="AX398" s="1284"/>
      <c r="AY398" s="1285"/>
      <c r="AZ398" s="1286"/>
    </row>
    <row r="399" spans="1:52" s="291" customFormat="1" ht="21" customHeight="1">
      <c r="A399" s="301"/>
      <c r="B399" s="480">
        <v>28</v>
      </c>
      <c r="C399" s="1344" t="str">
        <f>B277</f>
        <v>Eficiente gestión técnica, administrativa, económica y financiera del servicio de limpieza pública</v>
      </c>
      <c r="D399" s="1345"/>
      <c r="E399" s="1345"/>
      <c r="F399" s="1345"/>
      <c r="G399" s="1345"/>
      <c r="H399" s="1345"/>
      <c r="I399" s="1345"/>
      <c r="J399" s="1345"/>
      <c r="K399" s="1345"/>
      <c r="L399" s="1345"/>
      <c r="M399" s="1346"/>
      <c r="N399" s="1577" t="str">
        <f t="shared" si="1"/>
        <v>Mejoramiento de la Gestión Institucional del servicio de limpieza pública</v>
      </c>
      <c r="O399" s="1515"/>
      <c r="P399" s="1515"/>
      <c r="Q399" s="1515"/>
      <c r="R399" s="1515"/>
      <c r="S399" s="1515"/>
      <c r="T399" s="1515"/>
      <c r="U399" s="1515"/>
      <c r="V399" s="1515"/>
      <c r="W399" s="1515"/>
      <c r="X399" s="1516"/>
      <c r="Y399" s="1187" t="s">
        <v>540</v>
      </c>
      <c r="Z399" s="1188"/>
      <c r="AA399" s="1188"/>
      <c r="AB399" s="1188"/>
      <c r="AC399" s="1210"/>
      <c r="AD399" s="1208" t="s">
        <v>2210</v>
      </c>
      <c r="AE399" s="1208"/>
      <c r="AF399" s="1208"/>
      <c r="AG399" s="1208"/>
      <c r="AH399" s="1208"/>
      <c r="AI399" s="1208"/>
      <c r="AJ399" s="1208"/>
      <c r="AK399" s="1226"/>
      <c r="AL399" s="1227"/>
      <c r="AM399" s="1227"/>
      <c r="AN399" s="1227"/>
      <c r="AO399" s="1227"/>
      <c r="AP399" s="1227"/>
      <c r="AQ399" s="1227"/>
      <c r="AR399" s="1227"/>
      <c r="AS399" s="1227"/>
      <c r="AT399" s="1227"/>
      <c r="AU399" s="1227"/>
      <c r="AV399" s="1227"/>
      <c r="AW399" s="1227"/>
      <c r="AX399" s="1278"/>
      <c r="AY399" s="1279"/>
      <c r="AZ399" s="1280"/>
    </row>
    <row r="400" spans="1:52" s="291" customFormat="1" ht="18.75" customHeight="1">
      <c r="A400" s="301"/>
      <c r="B400" s="480">
        <v>29</v>
      </c>
      <c r="C400" s="1347"/>
      <c r="D400" s="1348"/>
      <c r="E400" s="1348"/>
      <c r="F400" s="1348"/>
      <c r="G400" s="1348"/>
      <c r="H400" s="1348"/>
      <c r="I400" s="1348"/>
      <c r="J400" s="1348"/>
      <c r="K400" s="1348"/>
      <c r="L400" s="1348"/>
      <c r="M400" s="1349"/>
      <c r="N400" s="1629"/>
      <c r="O400" s="1630"/>
      <c r="P400" s="1630"/>
      <c r="Q400" s="1630"/>
      <c r="R400" s="1630"/>
      <c r="S400" s="1630"/>
      <c r="T400" s="1630"/>
      <c r="U400" s="1630"/>
      <c r="V400" s="1630"/>
      <c r="W400" s="1630"/>
      <c r="X400" s="1631"/>
      <c r="Y400" s="1187" t="s">
        <v>540</v>
      </c>
      <c r="Z400" s="1188"/>
      <c r="AA400" s="1188"/>
      <c r="AB400" s="1188"/>
      <c r="AC400" s="1210"/>
      <c r="AD400" s="1208" t="s">
        <v>2210</v>
      </c>
      <c r="AE400" s="1208"/>
      <c r="AF400" s="1208"/>
      <c r="AG400" s="1208"/>
      <c r="AH400" s="1208"/>
      <c r="AI400" s="1208"/>
      <c r="AJ400" s="1208"/>
      <c r="AK400" s="1226"/>
      <c r="AL400" s="1227"/>
      <c r="AM400" s="1227"/>
      <c r="AN400" s="1227"/>
      <c r="AO400" s="1227"/>
      <c r="AP400" s="1227"/>
      <c r="AQ400" s="1227"/>
      <c r="AR400" s="1227"/>
      <c r="AS400" s="1227"/>
      <c r="AT400" s="1227"/>
      <c r="AU400" s="1227"/>
      <c r="AV400" s="1227"/>
      <c r="AW400" s="1227"/>
      <c r="AX400" s="1281"/>
      <c r="AY400" s="1282"/>
      <c r="AZ400" s="1283"/>
    </row>
    <row r="401" spans="1:52" s="291" customFormat="1" ht="27" customHeight="1">
      <c r="A401" s="301"/>
      <c r="B401" s="480">
        <v>30</v>
      </c>
      <c r="C401" s="1347"/>
      <c r="D401" s="1348"/>
      <c r="E401" s="1348"/>
      <c r="F401" s="1348"/>
      <c r="G401" s="1348"/>
      <c r="H401" s="1348"/>
      <c r="I401" s="1348"/>
      <c r="J401" s="1348"/>
      <c r="K401" s="1348"/>
      <c r="L401" s="1348"/>
      <c r="M401" s="1349"/>
      <c r="N401" s="1577" t="str">
        <f>AC278</f>
        <v>Formulación e implementación de instrumentos técnicos y operativos para la prestación del Servicio de Limpieza Pública</v>
      </c>
      <c r="O401" s="1515"/>
      <c r="P401" s="1515"/>
      <c r="Q401" s="1515"/>
      <c r="R401" s="1515"/>
      <c r="S401" s="1515"/>
      <c r="T401" s="1515"/>
      <c r="U401" s="1515"/>
      <c r="V401" s="1515"/>
      <c r="W401" s="1515"/>
      <c r="X401" s="1516"/>
      <c r="Y401" s="1187" t="s">
        <v>540</v>
      </c>
      <c r="Z401" s="1188"/>
      <c r="AA401" s="1188"/>
      <c r="AB401" s="1188"/>
      <c r="AC401" s="1210"/>
      <c r="AD401" s="1208" t="s">
        <v>2210</v>
      </c>
      <c r="AE401" s="1208"/>
      <c r="AF401" s="1208"/>
      <c r="AG401" s="1208"/>
      <c r="AH401" s="1208"/>
      <c r="AI401" s="1208"/>
      <c r="AJ401" s="1208"/>
      <c r="AK401" s="1226"/>
      <c r="AL401" s="1227"/>
      <c r="AM401" s="1227"/>
      <c r="AN401" s="1227"/>
      <c r="AO401" s="1227"/>
      <c r="AP401" s="1227"/>
      <c r="AQ401" s="1227"/>
      <c r="AR401" s="1227"/>
      <c r="AS401" s="1227"/>
      <c r="AT401" s="1227"/>
      <c r="AU401" s="1227"/>
      <c r="AV401" s="1227"/>
      <c r="AW401" s="1227"/>
      <c r="AX401" s="1281"/>
      <c r="AY401" s="1282"/>
      <c r="AZ401" s="1283"/>
    </row>
    <row r="402" spans="1:52" s="291" customFormat="1" ht="29.25" customHeight="1">
      <c r="A402" s="301"/>
      <c r="B402" s="480">
        <v>31</v>
      </c>
      <c r="C402" s="1347"/>
      <c r="D402" s="1348"/>
      <c r="E402" s="1348"/>
      <c r="F402" s="1348"/>
      <c r="G402" s="1348"/>
      <c r="H402" s="1348"/>
      <c r="I402" s="1348"/>
      <c r="J402" s="1348"/>
      <c r="K402" s="1348"/>
      <c r="L402" s="1348"/>
      <c r="M402" s="1349"/>
      <c r="N402" s="1629"/>
      <c r="O402" s="1630"/>
      <c r="P402" s="1630"/>
      <c r="Q402" s="1630"/>
      <c r="R402" s="1630"/>
      <c r="S402" s="1630"/>
      <c r="T402" s="1630"/>
      <c r="U402" s="1630"/>
      <c r="V402" s="1630"/>
      <c r="W402" s="1630"/>
      <c r="X402" s="1631"/>
      <c r="Y402" s="1187" t="s">
        <v>540</v>
      </c>
      <c r="Z402" s="1188"/>
      <c r="AA402" s="1188"/>
      <c r="AB402" s="1188"/>
      <c r="AC402" s="1210"/>
      <c r="AD402" s="1208" t="s">
        <v>2210</v>
      </c>
      <c r="AE402" s="1208"/>
      <c r="AF402" s="1208"/>
      <c r="AG402" s="1208"/>
      <c r="AH402" s="1208"/>
      <c r="AI402" s="1208"/>
      <c r="AJ402" s="1208"/>
      <c r="AK402" s="1226"/>
      <c r="AL402" s="1227"/>
      <c r="AM402" s="1227"/>
      <c r="AN402" s="1227"/>
      <c r="AO402" s="1227"/>
      <c r="AP402" s="1227"/>
      <c r="AQ402" s="1227"/>
      <c r="AR402" s="1227"/>
      <c r="AS402" s="1227"/>
      <c r="AT402" s="1227"/>
      <c r="AU402" s="1227"/>
      <c r="AV402" s="1227"/>
      <c r="AW402" s="1227"/>
      <c r="AX402" s="1281"/>
      <c r="AY402" s="1282"/>
      <c r="AZ402" s="1283"/>
    </row>
    <row r="403" spans="1:52" s="291" customFormat="1" ht="36" customHeight="1">
      <c r="A403" s="301"/>
      <c r="B403" s="480">
        <v>32</v>
      </c>
      <c r="C403" s="1347"/>
      <c r="D403" s="1348"/>
      <c r="E403" s="1348"/>
      <c r="F403" s="1348"/>
      <c r="G403" s="1348"/>
      <c r="H403" s="1348"/>
      <c r="I403" s="1348"/>
      <c r="J403" s="1348"/>
      <c r="K403" s="1348"/>
      <c r="L403" s="1348"/>
      <c r="M403" s="1349"/>
      <c r="N403" s="1187" t="str">
        <f>AC279</f>
        <v>Desarrollo de un programa de capacitación y asistencia técnica para la prestación</v>
      </c>
      <c r="O403" s="1188"/>
      <c r="P403" s="1188"/>
      <c r="Q403" s="1188"/>
      <c r="R403" s="1188"/>
      <c r="S403" s="1188"/>
      <c r="T403" s="1188"/>
      <c r="U403" s="1188"/>
      <c r="V403" s="1188"/>
      <c r="W403" s="1188"/>
      <c r="X403" s="1210"/>
      <c r="Y403" s="1187" t="s">
        <v>540</v>
      </c>
      <c r="Z403" s="1188"/>
      <c r="AA403" s="1188"/>
      <c r="AB403" s="1188"/>
      <c r="AC403" s="1210"/>
      <c r="AD403" s="1208" t="s">
        <v>2210</v>
      </c>
      <c r="AE403" s="1208"/>
      <c r="AF403" s="1208"/>
      <c r="AG403" s="1208"/>
      <c r="AH403" s="1208"/>
      <c r="AI403" s="1208"/>
      <c r="AJ403" s="1208"/>
      <c r="AK403" s="1226"/>
      <c r="AL403" s="1227"/>
      <c r="AM403" s="1227"/>
      <c r="AN403" s="1227"/>
      <c r="AO403" s="1227"/>
      <c r="AP403" s="1227"/>
      <c r="AQ403" s="1227"/>
      <c r="AR403" s="1227"/>
      <c r="AS403" s="1227"/>
      <c r="AT403" s="1227"/>
      <c r="AU403" s="1227"/>
      <c r="AV403" s="1227"/>
      <c r="AW403" s="1227"/>
      <c r="AX403" s="1281"/>
      <c r="AY403" s="1282"/>
      <c r="AZ403" s="1283"/>
    </row>
    <row r="404" spans="1:52" s="291" customFormat="1" ht="18.75" customHeight="1">
      <c r="A404" s="301"/>
      <c r="B404" s="480">
        <v>33</v>
      </c>
      <c r="C404" s="1347"/>
      <c r="D404" s="1348"/>
      <c r="E404" s="1348"/>
      <c r="F404" s="1348"/>
      <c r="G404" s="1348"/>
      <c r="H404" s="1348"/>
      <c r="I404" s="1348"/>
      <c r="J404" s="1348"/>
      <c r="K404" s="1348"/>
      <c r="L404" s="1348"/>
      <c r="M404" s="1349"/>
      <c r="N404" s="1577" t="str">
        <f>AC280</f>
        <v>Implementación de un programa de costeo del servicio</v>
      </c>
      <c r="O404" s="1515"/>
      <c r="P404" s="1515"/>
      <c r="Q404" s="1515"/>
      <c r="R404" s="1515"/>
      <c r="S404" s="1515"/>
      <c r="T404" s="1515"/>
      <c r="U404" s="1515"/>
      <c r="V404" s="1515"/>
      <c r="W404" s="1515"/>
      <c r="X404" s="1516"/>
      <c r="Y404" s="1187" t="s">
        <v>540</v>
      </c>
      <c r="Z404" s="1188"/>
      <c r="AA404" s="1188"/>
      <c r="AB404" s="1188"/>
      <c r="AC404" s="1210"/>
      <c r="AD404" s="1208" t="s">
        <v>2210</v>
      </c>
      <c r="AE404" s="1208"/>
      <c r="AF404" s="1208"/>
      <c r="AG404" s="1208"/>
      <c r="AH404" s="1208"/>
      <c r="AI404" s="1208"/>
      <c r="AJ404" s="1208"/>
      <c r="AK404" s="1226"/>
      <c r="AL404" s="1227"/>
      <c r="AM404" s="1227"/>
      <c r="AN404" s="1227"/>
      <c r="AO404" s="1227"/>
      <c r="AP404" s="1227"/>
      <c r="AQ404" s="1227"/>
      <c r="AR404" s="1227"/>
      <c r="AS404" s="1227"/>
      <c r="AT404" s="1227"/>
      <c r="AU404" s="1227"/>
      <c r="AV404" s="1227"/>
      <c r="AW404" s="1227"/>
      <c r="AX404" s="1281"/>
      <c r="AY404" s="1282"/>
      <c r="AZ404" s="1283"/>
    </row>
    <row r="405" spans="1:52" s="291" customFormat="1" ht="22.5" customHeight="1">
      <c r="A405" s="301"/>
      <c r="B405" s="480">
        <v>34</v>
      </c>
      <c r="C405" s="1347"/>
      <c r="D405" s="1348"/>
      <c r="E405" s="1348"/>
      <c r="F405" s="1348"/>
      <c r="G405" s="1348"/>
      <c r="H405" s="1348"/>
      <c r="I405" s="1348"/>
      <c r="J405" s="1348"/>
      <c r="K405" s="1348"/>
      <c r="L405" s="1348"/>
      <c r="M405" s="1349"/>
      <c r="N405" s="1629"/>
      <c r="O405" s="1630"/>
      <c r="P405" s="1630"/>
      <c r="Q405" s="1630"/>
      <c r="R405" s="1630"/>
      <c r="S405" s="1630"/>
      <c r="T405" s="1630"/>
      <c r="U405" s="1630"/>
      <c r="V405" s="1630"/>
      <c r="W405" s="1630"/>
      <c r="X405" s="1631"/>
      <c r="Y405" s="1187" t="s">
        <v>540</v>
      </c>
      <c r="Z405" s="1188"/>
      <c r="AA405" s="1188"/>
      <c r="AB405" s="1188"/>
      <c r="AC405" s="1210"/>
      <c r="AD405" s="1208" t="s">
        <v>2210</v>
      </c>
      <c r="AE405" s="1208"/>
      <c r="AF405" s="1208"/>
      <c r="AG405" s="1208"/>
      <c r="AH405" s="1208"/>
      <c r="AI405" s="1208"/>
      <c r="AJ405" s="1208"/>
      <c r="AK405" s="1226"/>
      <c r="AL405" s="1227"/>
      <c r="AM405" s="1227"/>
      <c r="AN405" s="1227"/>
      <c r="AO405" s="1227"/>
      <c r="AP405" s="1227"/>
      <c r="AQ405" s="1227"/>
      <c r="AR405" s="1227"/>
      <c r="AS405" s="1227"/>
      <c r="AT405" s="1227"/>
      <c r="AU405" s="1227"/>
      <c r="AV405" s="1227"/>
      <c r="AW405" s="1227"/>
      <c r="AX405" s="1281"/>
      <c r="AY405" s="1282"/>
      <c r="AZ405" s="1283"/>
    </row>
    <row r="406" spans="1:52" s="291" customFormat="1" ht="25.5" customHeight="1">
      <c r="A406" s="301"/>
      <c r="B406" s="480">
        <v>35</v>
      </c>
      <c r="C406" s="1347"/>
      <c r="D406" s="1348"/>
      <c r="E406" s="1348"/>
      <c r="F406" s="1348"/>
      <c r="G406" s="1348"/>
      <c r="H406" s="1348"/>
      <c r="I406" s="1348"/>
      <c r="J406" s="1348"/>
      <c r="K406" s="1348"/>
      <c r="L406" s="1348"/>
      <c r="M406" s="1349"/>
      <c r="N406" s="1251" t="str">
        <f>AC281</f>
        <v>Otros (especifique)</v>
      </c>
      <c r="O406" s="1252"/>
      <c r="P406" s="1252"/>
      <c r="Q406" s="1252"/>
      <c r="R406" s="1252"/>
      <c r="S406" s="1252"/>
      <c r="T406" s="1252"/>
      <c r="U406" s="1252"/>
      <c r="V406" s="1252"/>
      <c r="W406" s="1252"/>
      <c r="X406" s="1374"/>
      <c r="Y406" s="1287" t="s">
        <v>540</v>
      </c>
      <c r="Z406" s="1288"/>
      <c r="AA406" s="1288"/>
      <c r="AB406" s="1288"/>
      <c r="AC406" s="1289"/>
      <c r="AD406" s="1290" t="s">
        <v>2210</v>
      </c>
      <c r="AE406" s="1290"/>
      <c r="AF406" s="1290"/>
      <c r="AG406" s="1290"/>
      <c r="AH406" s="1290"/>
      <c r="AI406" s="1290"/>
      <c r="AJ406" s="1290"/>
      <c r="AK406" s="1251"/>
      <c r="AL406" s="1252"/>
      <c r="AM406" s="1252"/>
      <c r="AN406" s="1252"/>
      <c r="AO406" s="1252"/>
      <c r="AP406" s="1252"/>
      <c r="AQ406" s="1252"/>
      <c r="AR406" s="1252"/>
      <c r="AS406" s="1252"/>
      <c r="AT406" s="1252"/>
      <c r="AU406" s="1252"/>
      <c r="AV406" s="1252"/>
      <c r="AW406" s="1252"/>
      <c r="AX406" s="1281"/>
      <c r="AY406" s="1282"/>
      <c r="AZ406" s="1283"/>
    </row>
    <row r="407" spans="1:52" s="291" customFormat="1" ht="27.75" customHeight="1">
      <c r="A407" s="301"/>
      <c r="B407" s="480">
        <v>36</v>
      </c>
      <c r="C407" s="1347"/>
      <c r="D407" s="1348"/>
      <c r="E407" s="1348"/>
      <c r="F407" s="1348"/>
      <c r="G407" s="1348"/>
      <c r="H407" s="1348"/>
      <c r="I407" s="1348"/>
      <c r="J407" s="1348"/>
      <c r="K407" s="1348"/>
      <c r="L407" s="1348"/>
      <c r="M407" s="1349"/>
      <c r="N407" s="1577" t="str">
        <f>AC282</f>
        <v>Adquisición de equipos para la supervisión y monitoreo del servicio de limpieza pública</v>
      </c>
      <c r="O407" s="1515"/>
      <c r="P407" s="1515"/>
      <c r="Q407" s="1515"/>
      <c r="R407" s="1515"/>
      <c r="S407" s="1515"/>
      <c r="T407" s="1515"/>
      <c r="U407" s="1515"/>
      <c r="V407" s="1515"/>
      <c r="W407" s="1515"/>
      <c r="X407" s="1516"/>
      <c r="Y407" s="1187" t="s">
        <v>407</v>
      </c>
      <c r="Z407" s="1188"/>
      <c r="AA407" s="1188"/>
      <c r="AB407" s="1188"/>
      <c r="AC407" s="1210"/>
      <c r="AD407" s="1208" t="s">
        <v>2210</v>
      </c>
      <c r="AE407" s="1208"/>
      <c r="AF407" s="1208"/>
      <c r="AG407" s="1208"/>
      <c r="AH407" s="1208"/>
      <c r="AI407" s="1208"/>
      <c r="AJ407" s="1208"/>
      <c r="AK407" s="1226"/>
      <c r="AL407" s="1227"/>
      <c r="AM407" s="1227"/>
      <c r="AN407" s="1227"/>
      <c r="AO407" s="1227"/>
      <c r="AP407" s="1227"/>
      <c r="AQ407" s="1227"/>
      <c r="AR407" s="1227"/>
      <c r="AS407" s="1227"/>
      <c r="AT407" s="1227"/>
      <c r="AU407" s="1227"/>
      <c r="AV407" s="1227"/>
      <c r="AW407" s="1227"/>
      <c r="AX407" s="1281"/>
      <c r="AY407" s="1282"/>
      <c r="AZ407" s="1283"/>
    </row>
    <row r="408" spans="1:52" s="291" customFormat="1" ht="24" customHeight="1">
      <c r="A408" s="301"/>
      <c r="B408" s="480">
        <v>37</v>
      </c>
      <c r="C408" s="1347"/>
      <c r="D408" s="1348"/>
      <c r="E408" s="1348"/>
      <c r="F408" s="1348"/>
      <c r="G408" s="1348"/>
      <c r="H408" s="1348"/>
      <c r="I408" s="1348"/>
      <c r="J408" s="1348"/>
      <c r="K408" s="1348"/>
      <c r="L408" s="1348"/>
      <c r="M408" s="1349"/>
      <c r="N408" s="1629"/>
      <c r="O408" s="1630"/>
      <c r="P408" s="1630"/>
      <c r="Q408" s="1630"/>
      <c r="R408" s="1630"/>
      <c r="S408" s="1630"/>
      <c r="T408" s="1630"/>
      <c r="U408" s="1630"/>
      <c r="V408" s="1630"/>
      <c r="W408" s="1630"/>
      <c r="X408" s="1631"/>
      <c r="Y408" s="1187" t="s">
        <v>407</v>
      </c>
      <c r="Z408" s="1188"/>
      <c r="AA408" s="1188"/>
      <c r="AB408" s="1188"/>
      <c r="AC408" s="1210"/>
      <c r="AD408" s="1208" t="s">
        <v>2210</v>
      </c>
      <c r="AE408" s="1208"/>
      <c r="AF408" s="1208"/>
      <c r="AG408" s="1208"/>
      <c r="AH408" s="1208"/>
      <c r="AI408" s="1208"/>
      <c r="AJ408" s="1208"/>
      <c r="AK408" s="1226"/>
      <c r="AL408" s="1227"/>
      <c r="AM408" s="1227"/>
      <c r="AN408" s="1227"/>
      <c r="AO408" s="1227"/>
      <c r="AP408" s="1227"/>
      <c r="AQ408" s="1227"/>
      <c r="AR408" s="1227"/>
      <c r="AS408" s="1227"/>
      <c r="AT408" s="1227"/>
      <c r="AU408" s="1227"/>
      <c r="AV408" s="1227"/>
      <c r="AW408" s="1227"/>
      <c r="AX408" s="1281"/>
      <c r="AY408" s="1282"/>
      <c r="AZ408" s="1283"/>
    </row>
    <row r="409" spans="1:52" s="291" customFormat="1" ht="36" customHeight="1">
      <c r="A409" s="301"/>
      <c r="B409" s="480">
        <v>38</v>
      </c>
      <c r="C409" s="1347"/>
      <c r="D409" s="1348"/>
      <c r="E409" s="1348"/>
      <c r="F409" s="1348"/>
      <c r="G409" s="1348"/>
      <c r="H409" s="1348"/>
      <c r="I409" s="1348"/>
      <c r="J409" s="1348"/>
      <c r="K409" s="1348"/>
      <c r="L409" s="1348"/>
      <c r="M409" s="1349"/>
      <c r="N409" s="1187" t="str">
        <f>AC283</f>
        <v>Adquisición de vehículo para la supervisión y monitoreo del servicio de limpieza pública</v>
      </c>
      <c r="O409" s="1188"/>
      <c r="P409" s="1188"/>
      <c r="Q409" s="1188"/>
      <c r="R409" s="1188"/>
      <c r="S409" s="1188"/>
      <c r="T409" s="1188"/>
      <c r="U409" s="1188"/>
      <c r="V409" s="1188"/>
      <c r="W409" s="1188"/>
      <c r="X409" s="1210"/>
      <c r="Y409" s="1187" t="s">
        <v>538</v>
      </c>
      <c r="Z409" s="1188"/>
      <c r="AA409" s="1188"/>
      <c r="AB409" s="1188"/>
      <c r="AC409" s="1210"/>
      <c r="AD409" s="1208" t="s">
        <v>2210</v>
      </c>
      <c r="AE409" s="1208"/>
      <c r="AF409" s="1208"/>
      <c r="AG409" s="1208"/>
      <c r="AH409" s="1208"/>
      <c r="AI409" s="1208"/>
      <c r="AJ409" s="1208"/>
      <c r="AK409" s="1226"/>
      <c r="AL409" s="1227"/>
      <c r="AM409" s="1227"/>
      <c r="AN409" s="1227"/>
      <c r="AO409" s="1227"/>
      <c r="AP409" s="1227"/>
      <c r="AQ409" s="1227"/>
      <c r="AR409" s="1227"/>
      <c r="AS409" s="1227"/>
      <c r="AT409" s="1227"/>
      <c r="AU409" s="1227"/>
      <c r="AV409" s="1227"/>
      <c r="AW409" s="1227"/>
      <c r="AX409" s="1281"/>
      <c r="AY409" s="1282"/>
      <c r="AZ409" s="1283"/>
    </row>
    <row r="410" spans="1:52" s="291" customFormat="1" ht="36" customHeight="1">
      <c r="A410" s="301"/>
      <c r="B410" s="480">
        <v>39</v>
      </c>
      <c r="C410" s="1347"/>
      <c r="D410" s="1348"/>
      <c r="E410" s="1348"/>
      <c r="F410" s="1348"/>
      <c r="G410" s="1348"/>
      <c r="H410" s="1348"/>
      <c r="I410" s="1348"/>
      <c r="J410" s="1348"/>
      <c r="K410" s="1348"/>
      <c r="L410" s="1348"/>
      <c r="M410" s="1349"/>
      <c r="N410" s="1187" t="str">
        <f>AC284</f>
        <v xml:space="preserve">Mejoramiento del marco normativo local asociado al servicio de limpieza pública. </v>
      </c>
      <c r="O410" s="1188"/>
      <c r="P410" s="1188"/>
      <c r="Q410" s="1188"/>
      <c r="R410" s="1188"/>
      <c r="S410" s="1188"/>
      <c r="T410" s="1188"/>
      <c r="U410" s="1188"/>
      <c r="V410" s="1188"/>
      <c r="W410" s="1188"/>
      <c r="X410" s="1210"/>
      <c r="Y410" s="1187" t="s">
        <v>540</v>
      </c>
      <c r="Z410" s="1188"/>
      <c r="AA410" s="1188"/>
      <c r="AB410" s="1188"/>
      <c r="AC410" s="1210"/>
      <c r="AD410" s="1208" t="s">
        <v>2210</v>
      </c>
      <c r="AE410" s="1208"/>
      <c r="AF410" s="1208"/>
      <c r="AG410" s="1208"/>
      <c r="AH410" s="1208"/>
      <c r="AI410" s="1208"/>
      <c r="AJ410" s="1208"/>
      <c r="AK410" s="1226"/>
      <c r="AL410" s="1227"/>
      <c r="AM410" s="1227"/>
      <c r="AN410" s="1227"/>
      <c r="AO410" s="1227"/>
      <c r="AP410" s="1227"/>
      <c r="AQ410" s="1227"/>
      <c r="AR410" s="1227"/>
      <c r="AS410" s="1227"/>
      <c r="AT410" s="1227"/>
      <c r="AU410" s="1227"/>
      <c r="AV410" s="1227"/>
      <c r="AW410" s="1227"/>
      <c r="AX410" s="1281"/>
      <c r="AY410" s="1282"/>
      <c r="AZ410" s="1283"/>
    </row>
    <row r="411" spans="1:52" s="291" customFormat="1" ht="36" customHeight="1">
      <c r="A411" s="301"/>
      <c r="B411" s="480">
        <v>40</v>
      </c>
      <c r="C411" s="1347"/>
      <c r="D411" s="1348"/>
      <c r="E411" s="1348"/>
      <c r="F411" s="1348"/>
      <c r="G411" s="1348"/>
      <c r="H411" s="1348"/>
      <c r="I411" s="1348"/>
      <c r="J411" s="1348"/>
      <c r="K411" s="1348"/>
      <c r="L411" s="1348"/>
      <c r="M411" s="1349"/>
      <c r="N411" s="1187" t="str">
        <f>AC285</f>
        <v xml:space="preserve">Desarrollo de un programa de control y mejora del servicio de limpieza pública. </v>
      </c>
      <c r="O411" s="1188"/>
      <c r="P411" s="1188"/>
      <c r="Q411" s="1188"/>
      <c r="R411" s="1188"/>
      <c r="S411" s="1188"/>
      <c r="T411" s="1188"/>
      <c r="U411" s="1188"/>
      <c r="V411" s="1188"/>
      <c r="W411" s="1188"/>
      <c r="X411" s="1210"/>
      <c r="Y411" s="1187" t="s">
        <v>540</v>
      </c>
      <c r="Z411" s="1188"/>
      <c r="AA411" s="1188"/>
      <c r="AB411" s="1188"/>
      <c r="AC411" s="1210"/>
      <c r="AD411" s="1208" t="s">
        <v>2210</v>
      </c>
      <c r="AE411" s="1208"/>
      <c r="AF411" s="1208"/>
      <c r="AG411" s="1208"/>
      <c r="AH411" s="1208"/>
      <c r="AI411" s="1208"/>
      <c r="AJ411" s="1208"/>
      <c r="AK411" s="1226"/>
      <c r="AL411" s="1227"/>
      <c r="AM411" s="1227"/>
      <c r="AN411" s="1227"/>
      <c r="AO411" s="1227"/>
      <c r="AP411" s="1227"/>
      <c r="AQ411" s="1227"/>
      <c r="AR411" s="1227"/>
      <c r="AS411" s="1227"/>
      <c r="AT411" s="1227"/>
      <c r="AU411" s="1227"/>
      <c r="AV411" s="1227"/>
      <c r="AW411" s="1227"/>
      <c r="AX411" s="1281"/>
      <c r="AY411" s="1282"/>
      <c r="AZ411" s="1283"/>
    </row>
    <row r="412" spans="1:52" s="291" customFormat="1" ht="26.25" customHeight="1">
      <c r="A412" s="301"/>
      <c r="B412" s="480">
        <v>41</v>
      </c>
      <c r="C412" s="1350"/>
      <c r="D412" s="1351"/>
      <c r="E412" s="1351"/>
      <c r="F412" s="1351"/>
      <c r="G412" s="1351"/>
      <c r="H412" s="1351"/>
      <c r="I412" s="1351"/>
      <c r="J412" s="1351"/>
      <c r="K412" s="1351"/>
      <c r="L412" s="1351"/>
      <c r="M412" s="1352"/>
      <c r="N412" s="1251" t="str">
        <f>AC286</f>
        <v>Otros (especifique)</v>
      </c>
      <c r="O412" s="1252"/>
      <c r="P412" s="1252"/>
      <c r="Q412" s="1252"/>
      <c r="R412" s="1252"/>
      <c r="S412" s="1252"/>
      <c r="T412" s="1252"/>
      <c r="U412" s="1252"/>
      <c r="V412" s="1252"/>
      <c r="W412" s="1252"/>
      <c r="X412" s="1374"/>
      <c r="Y412" s="1287" t="s">
        <v>540</v>
      </c>
      <c r="Z412" s="1288"/>
      <c r="AA412" s="1288"/>
      <c r="AB412" s="1288"/>
      <c r="AC412" s="1289"/>
      <c r="AD412" s="1290" t="s">
        <v>2210</v>
      </c>
      <c r="AE412" s="1290"/>
      <c r="AF412" s="1290"/>
      <c r="AG412" s="1290"/>
      <c r="AH412" s="1290"/>
      <c r="AI412" s="1290"/>
      <c r="AJ412" s="1290"/>
      <c r="AK412" s="1251"/>
      <c r="AL412" s="1252"/>
      <c r="AM412" s="1252"/>
      <c r="AN412" s="1252"/>
      <c r="AO412" s="1252"/>
      <c r="AP412" s="1252"/>
      <c r="AQ412" s="1252"/>
      <c r="AR412" s="1252"/>
      <c r="AS412" s="1252"/>
      <c r="AT412" s="1252"/>
      <c r="AU412" s="1252"/>
      <c r="AV412" s="1252"/>
      <c r="AW412" s="1252"/>
      <c r="AX412" s="1284"/>
      <c r="AY412" s="1285"/>
      <c r="AZ412" s="1286"/>
    </row>
    <row r="413" spans="1:52" s="291" customFormat="1" ht="30" customHeight="1">
      <c r="A413" s="301"/>
      <c r="B413" s="480">
        <v>42</v>
      </c>
      <c r="C413" s="1362" t="str">
        <f>B287</f>
        <v>Adecuada educación y cultura ambiental de la población</v>
      </c>
      <c r="D413" s="1362"/>
      <c r="E413" s="1362"/>
      <c r="F413" s="1362"/>
      <c r="G413" s="1362"/>
      <c r="H413" s="1362"/>
      <c r="I413" s="1362"/>
      <c r="J413" s="1362"/>
      <c r="K413" s="1362"/>
      <c r="L413" s="1362"/>
      <c r="M413" s="1362"/>
      <c r="N413" s="1208" t="str">
        <f>AC287</f>
        <v>Desarrollo y difusión de material material informativo y educativo para la población</v>
      </c>
      <c r="O413" s="1208"/>
      <c r="P413" s="1208"/>
      <c r="Q413" s="1208"/>
      <c r="R413" s="1208"/>
      <c r="S413" s="1208"/>
      <c r="T413" s="1208"/>
      <c r="U413" s="1208"/>
      <c r="V413" s="1208"/>
      <c r="W413" s="1208"/>
      <c r="X413" s="1208"/>
      <c r="Y413" s="1187" t="s">
        <v>540</v>
      </c>
      <c r="Z413" s="1188"/>
      <c r="AA413" s="1188"/>
      <c r="AB413" s="1188"/>
      <c r="AC413" s="1210"/>
      <c r="AD413" s="1208" t="s">
        <v>2210</v>
      </c>
      <c r="AE413" s="1208"/>
      <c r="AF413" s="1208"/>
      <c r="AG413" s="1208"/>
      <c r="AH413" s="1208"/>
      <c r="AI413" s="1208"/>
      <c r="AJ413" s="1208"/>
      <c r="AK413" s="1226"/>
      <c r="AL413" s="1227"/>
      <c r="AM413" s="1227"/>
      <c r="AN413" s="1227"/>
      <c r="AO413" s="1227"/>
      <c r="AP413" s="1227"/>
      <c r="AQ413" s="1227"/>
      <c r="AR413" s="1227"/>
      <c r="AS413" s="1227"/>
      <c r="AT413" s="1227"/>
      <c r="AU413" s="1227"/>
      <c r="AV413" s="1227"/>
      <c r="AW413" s="1227"/>
      <c r="AX413" s="1278"/>
      <c r="AY413" s="1279"/>
      <c r="AZ413" s="1280"/>
    </row>
    <row r="414" spans="1:52" s="291" customFormat="1" ht="28.5" customHeight="1">
      <c r="A414" s="301"/>
      <c r="B414" s="480">
        <v>43</v>
      </c>
      <c r="C414" s="1362"/>
      <c r="D414" s="1362"/>
      <c r="E414" s="1362"/>
      <c r="F414" s="1362"/>
      <c r="G414" s="1362"/>
      <c r="H414" s="1362"/>
      <c r="I414" s="1362"/>
      <c r="J414" s="1362"/>
      <c r="K414" s="1362"/>
      <c r="L414" s="1362"/>
      <c r="M414" s="1362"/>
      <c r="N414" s="1208"/>
      <c r="O414" s="1208"/>
      <c r="P414" s="1208"/>
      <c r="Q414" s="1208"/>
      <c r="R414" s="1208"/>
      <c r="S414" s="1208"/>
      <c r="T414" s="1208"/>
      <c r="U414" s="1208"/>
      <c r="V414" s="1208"/>
      <c r="W414" s="1208"/>
      <c r="X414" s="1208"/>
      <c r="Y414" s="1187" t="s">
        <v>540</v>
      </c>
      <c r="Z414" s="1188"/>
      <c r="AA414" s="1188"/>
      <c r="AB414" s="1188"/>
      <c r="AC414" s="1210"/>
      <c r="AD414" s="1208" t="s">
        <v>2210</v>
      </c>
      <c r="AE414" s="1208"/>
      <c r="AF414" s="1208"/>
      <c r="AG414" s="1208"/>
      <c r="AH414" s="1208"/>
      <c r="AI414" s="1208"/>
      <c r="AJ414" s="1208"/>
      <c r="AK414" s="1226"/>
      <c r="AL414" s="1227"/>
      <c r="AM414" s="1227"/>
      <c r="AN414" s="1227"/>
      <c r="AO414" s="1227"/>
      <c r="AP414" s="1227"/>
      <c r="AQ414" s="1227"/>
      <c r="AR414" s="1227"/>
      <c r="AS414" s="1227"/>
      <c r="AT414" s="1227"/>
      <c r="AU414" s="1227"/>
      <c r="AV414" s="1227"/>
      <c r="AW414" s="1227"/>
      <c r="AX414" s="1281"/>
      <c r="AY414" s="1282"/>
      <c r="AZ414" s="1283"/>
    </row>
    <row r="415" spans="1:52" s="291" customFormat="1" ht="27.75" customHeight="1">
      <c r="A415" s="301"/>
      <c r="B415" s="480">
        <v>44</v>
      </c>
      <c r="C415" s="1362"/>
      <c r="D415" s="1362"/>
      <c r="E415" s="1362"/>
      <c r="F415" s="1362"/>
      <c r="G415" s="1362"/>
      <c r="H415" s="1362"/>
      <c r="I415" s="1362"/>
      <c r="J415" s="1362"/>
      <c r="K415" s="1362"/>
      <c r="L415" s="1362"/>
      <c r="M415" s="1362"/>
      <c r="N415" s="1353" t="str">
        <f>AC288</f>
        <v>Otros (especifique)</v>
      </c>
      <c r="O415" s="1353"/>
      <c r="P415" s="1353"/>
      <c r="Q415" s="1353"/>
      <c r="R415" s="1353"/>
      <c r="S415" s="1353"/>
      <c r="T415" s="1353"/>
      <c r="U415" s="1353"/>
      <c r="V415" s="1353"/>
      <c r="W415" s="1353"/>
      <c r="X415" s="1353"/>
      <c r="Y415" s="1287" t="s">
        <v>540</v>
      </c>
      <c r="Z415" s="1288"/>
      <c r="AA415" s="1288"/>
      <c r="AB415" s="1288"/>
      <c r="AC415" s="1289"/>
      <c r="AD415" s="1290" t="s">
        <v>2210</v>
      </c>
      <c r="AE415" s="1290"/>
      <c r="AF415" s="1290"/>
      <c r="AG415" s="1290"/>
      <c r="AH415" s="1290"/>
      <c r="AI415" s="1290"/>
      <c r="AJ415" s="1290"/>
      <c r="AK415" s="1251"/>
      <c r="AL415" s="1252"/>
      <c r="AM415" s="1252"/>
      <c r="AN415" s="1252"/>
      <c r="AO415" s="1252"/>
      <c r="AP415" s="1252"/>
      <c r="AQ415" s="1252"/>
      <c r="AR415" s="1252"/>
      <c r="AS415" s="1252"/>
      <c r="AT415" s="1252"/>
      <c r="AU415" s="1252"/>
      <c r="AV415" s="1252"/>
      <c r="AW415" s="1252"/>
      <c r="AX415" s="1281"/>
      <c r="AY415" s="1282"/>
      <c r="AZ415" s="1283"/>
    </row>
    <row r="416" spans="1:52" s="291" customFormat="1" ht="36.75" customHeight="1">
      <c r="A416" s="301"/>
      <c r="B416" s="480">
        <v>45</v>
      </c>
      <c r="C416" s="1362"/>
      <c r="D416" s="1362"/>
      <c r="E416" s="1362"/>
      <c r="F416" s="1362"/>
      <c r="G416" s="1362"/>
      <c r="H416" s="1362"/>
      <c r="I416" s="1362"/>
      <c r="J416" s="1362"/>
      <c r="K416" s="1362"/>
      <c r="L416" s="1362"/>
      <c r="M416" s="1362"/>
      <c r="N416" s="1208" t="str">
        <f>AC289</f>
        <v>Desarrollo de un programa de participación ciudadana para la mejora del manejo de los residuos sólidos a nivel local</v>
      </c>
      <c r="O416" s="1208"/>
      <c r="P416" s="1208"/>
      <c r="Q416" s="1208"/>
      <c r="R416" s="1208"/>
      <c r="S416" s="1208"/>
      <c r="T416" s="1208"/>
      <c r="U416" s="1208"/>
      <c r="V416" s="1208"/>
      <c r="W416" s="1208"/>
      <c r="X416" s="1208"/>
      <c r="Y416" s="1187" t="s">
        <v>540</v>
      </c>
      <c r="Z416" s="1188"/>
      <c r="AA416" s="1188"/>
      <c r="AB416" s="1188"/>
      <c r="AC416" s="1210"/>
      <c r="AD416" s="1208" t="s">
        <v>2210</v>
      </c>
      <c r="AE416" s="1208"/>
      <c r="AF416" s="1208"/>
      <c r="AG416" s="1208"/>
      <c r="AH416" s="1208"/>
      <c r="AI416" s="1208"/>
      <c r="AJ416" s="1208"/>
      <c r="AK416" s="1226"/>
      <c r="AL416" s="1227"/>
      <c r="AM416" s="1227"/>
      <c r="AN416" s="1227"/>
      <c r="AO416" s="1227"/>
      <c r="AP416" s="1227"/>
      <c r="AQ416" s="1227"/>
      <c r="AR416" s="1227"/>
      <c r="AS416" s="1227"/>
      <c r="AT416" s="1227"/>
      <c r="AU416" s="1227"/>
      <c r="AV416" s="1227"/>
      <c r="AW416" s="1227"/>
      <c r="AX416" s="1281"/>
      <c r="AY416" s="1282"/>
      <c r="AZ416" s="1283"/>
    </row>
    <row r="417" spans="1:52" s="291" customFormat="1" ht="25.5" customHeight="1">
      <c r="A417" s="301"/>
      <c r="B417" s="480">
        <v>46</v>
      </c>
      <c r="C417" s="1362"/>
      <c r="D417" s="1362"/>
      <c r="E417" s="1362"/>
      <c r="F417" s="1362"/>
      <c r="G417" s="1362"/>
      <c r="H417" s="1362"/>
      <c r="I417" s="1362"/>
      <c r="J417" s="1362"/>
      <c r="K417" s="1362"/>
      <c r="L417" s="1362"/>
      <c r="M417" s="1362"/>
      <c r="N417" s="1208" t="str">
        <f>AC290</f>
        <v>Desarrollo de un programa de participación escolar para la mejora del manejo de los residuos sólidos a nivel local</v>
      </c>
      <c r="O417" s="1208"/>
      <c r="P417" s="1208"/>
      <c r="Q417" s="1208"/>
      <c r="R417" s="1208"/>
      <c r="S417" s="1208"/>
      <c r="T417" s="1208"/>
      <c r="U417" s="1208"/>
      <c r="V417" s="1208"/>
      <c r="W417" s="1208"/>
      <c r="X417" s="1208"/>
      <c r="Y417" s="1187" t="s">
        <v>540</v>
      </c>
      <c r="Z417" s="1188"/>
      <c r="AA417" s="1188"/>
      <c r="AB417" s="1188"/>
      <c r="AC417" s="1210"/>
      <c r="AD417" s="1208" t="s">
        <v>2210</v>
      </c>
      <c r="AE417" s="1208"/>
      <c r="AF417" s="1208"/>
      <c r="AG417" s="1208"/>
      <c r="AH417" s="1208"/>
      <c r="AI417" s="1208"/>
      <c r="AJ417" s="1208"/>
      <c r="AK417" s="1226"/>
      <c r="AL417" s="1227"/>
      <c r="AM417" s="1227"/>
      <c r="AN417" s="1227"/>
      <c r="AO417" s="1227"/>
      <c r="AP417" s="1227"/>
      <c r="AQ417" s="1227"/>
      <c r="AR417" s="1227"/>
      <c r="AS417" s="1227"/>
      <c r="AT417" s="1227"/>
      <c r="AU417" s="1227"/>
      <c r="AV417" s="1227"/>
      <c r="AW417" s="1227"/>
      <c r="AX417" s="1281"/>
      <c r="AY417" s="1282"/>
      <c r="AZ417" s="1283"/>
    </row>
    <row r="418" spans="1:52" s="291" customFormat="1" ht="24" customHeight="1">
      <c r="A418" s="301"/>
      <c r="B418" s="480">
        <v>47</v>
      </c>
      <c r="C418" s="1362"/>
      <c r="D418" s="1362"/>
      <c r="E418" s="1362"/>
      <c r="F418" s="1362"/>
      <c r="G418" s="1362"/>
      <c r="H418" s="1362"/>
      <c r="I418" s="1362"/>
      <c r="J418" s="1362"/>
      <c r="K418" s="1362"/>
      <c r="L418" s="1362"/>
      <c r="M418" s="1362"/>
      <c r="N418" s="1208"/>
      <c r="O418" s="1208"/>
      <c r="P418" s="1208"/>
      <c r="Q418" s="1208"/>
      <c r="R418" s="1208"/>
      <c r="S418" s="1208"/>
      <c r="T418" s="1208"/>
      <c r="U418" s="1208"/>
      <c r="V418" s="1208"/>
      <c r="W418" s="1208"/>
      <c r="X418" s="1208"/>
      <c r="Y418" s="1187" t="s">
        <v>540</v>
      </c>
      <c r="Z418" s="1188"/>
      <c r="AA418" s="1188"/>
      <c r="AB418" s="1188"/>
      <c r="AC418" s="1210"/>
      <c r="AD418" s="1208" t="s">
        <v>2210</v>
      </c>
      <c r="AE418" s="1208"/>
      <c r="AF418" s="1208"/>
      <c r="AG418" s="1208"/>
      <c r="AH418" s="1208"/>
      <c r="AI418" s="1208"/>
      <c r="AJ418" s="1208"/>
      <c r="AK418" s="1226"/>
      <c r="AL418" s="1227"/>
      <c r="AM418" s="1227"/>
      <c r="AN418" s="1227"/>
      <c r="AO418" s="1227"/>
      <c r="AP418" s="1227"/>
      <c r="AQ418" s="1227"/>
      <c r="AR418" s="1227"/>
      <c r="AS418" s="1227"/>
      <c r="AT418" s="1227"/>
      <c r="AU418" s="1227"/>
      <c r="AV418" s="1227"/>
      <c r="AW418" s="1227"/>
      <c r="AX418" s="1281"/>
      <c r="AY418" s="1282"/>
      <c r="AZ418" s="1283"/>
    </row>
    <row r="419" spans="1:52" s="291" customFormat="1" ht="30" customHeight="1">
      <c r="A419" s="301"/>
      <c r="B419" s="480">
        <v>48</v>
      </c>
      <c r="C419" s="1362"/>
      <c r="D419" s="1362"/>
      <c r="E419" s="1362"/>
      <c r="F419" s="1362"/>
      <c r="G419" s="1362"/>
      <c r="H419" s="1362"/>
      <c r="I419" s="1362"/>
      <c r="J419" s="1362"/>
      <c r="K419" s="1362"/>
      <c r="L419" s="1362"/>
      <c r="M419" s="1362"/>
      <c r="N419" s="1353" t="str">
        <f>AC291</f>
        <v>Otros (especifique)</v>
      </c>
      <c r="O419" s="1353"/>
      <c r="P419" s="1353"/>
      <c r="Q419" s="1353"/>
      <c r="R419" s="1353"/>
      <c r="S419" s="1353"/>
      <c r="T419" s="1353"/>
      <c r="U419" s="1353"/>
      <c r="V419" s="1353"/>
      <c r="W419" s="1353"/>
      <c r="X419" s="1353"/>
      <c r="Y419" s="1287" t="s">
        <v>540</v>
      </c>
      <c r="Z419" s="1288"/>
      <c r="AA419" s="1288"/>
      <c r="AB419" s="1288"/>
      <c r="AC419" s="1289"/>
      <c r="AD419" s="1290" t="s">
        <v>2612</v>
      </c>
      <c r="AE419" s="1290"/>
      <c r="AF419" s="1290"/>
      <c r="AG419" s="1290"/>
      <c r="AH419" s="1290"/>
      <c r="AI419" s="1290"/>
      <c r="AJ419" s="1290"/>
      <c r="AK419" s="1251"/>
      <c r="AL419" s="1252"/>
      <c r="AM419" s="1252"/>
      <c r="AN419" s="1252"/>
      <c r="AO419" s="1252"/>
      <c r="AP419" s="1252"/>
      <c r="AQ419" s="1252"/>
      <c r="AR419" s="1252"/>
      <c r="AS419" s="1252"/>
      <c r="AT419" s="1252"/>
      <c r="AU419" s="1252"/>
      <c r="AV419" s="1252"/>
      <c r="AW419" s="1252"/>
      <c r="AX419" s="1284"/>
      <c r="AY419" s="1285"/>
      <c r="AZ419" s="1286"/>
    </row>
    <row r="420" spans="1:52" s="291" customFormat="1" ht="18" customHeight="1">
      <c r="A420" s="301"/>
      <c r="B420" s="479"/>
      <c r="C420" s="483"/>
      <c r="D420" s="483"/>
      <c r="E420" s="483"/>
      <c r="F420" s="483"/>
      <c r="G420" s="483"/>
      <c r="H420" s="483"/>
      <c r="I420" s="483"/>
      <c r="J420" s="483"/>
      <c r="K420" s="483"/>
      <c r="L420" s="483"/>
      <c r="M420" s="483"/>
      <c r="N420" s="479"/>
      <c r="O420" s="479"/>
      <c r="P420" s="479"/>
      <c r="Q420" s="479"/>
      <c r="R420" s="479"/>
      <c r="S420" s="479"/>
      <c r="T420" s="479"/>
      <c r="U420" s="479"/>
      <c r="V420" s="479"/>
      <c r="W420" s="479"/>
      <c r="X420" s="479"/>
      <c r="Y420" s="479"/>
      <c r="Z420" s="479"/>
      <c r="AA420" s="479"/>
      <c r="AB420" s="479"/>
      <c r="AC420" s="479"/>
      <c r="AD420" s="479"/>
      <c r="AE420" s="479"/>
      <c r="AF420" s="479"/>
      <c r="AG420" s="479"/>
      <c r="AH420" s="1515"/>
      <c r="AI420" s="1515"/>
      <c r="AJ420" s="1515"/>
      <c r="AK420" s="1515"/>
      <c r="AL420" s="478"/>
      <c r="AM420" s="478"/>
      <c r="AN420" s="478"/>
      <c r="AO420" s="478"/>
      <c r="AP420" s="478"/>
      <c r="AQ420" s="478"/>
      <c r="AR420" s="478"/>
      <c r="AS420" s="478"/>
      <c r="AT420" s="478"/>
      <c r="AU420" s="478"/>
      <c r="AV420" s="478"/>
      <c r="AW420" s="478"/>
      <c r="AX420" s="478"/>
      <c r="AY420" s="478"/>
      <c r="AZ420" s="478"/>
    </row>
    <row r="421" spans="1:52" s="291" customFormat="1" ht="18" customHeight="1">
      <c r="A421" s="301"/>
      <c r="B421" s="479"/>
      <c r="C421" s="486"/>
      <c r="D421" s="486"/>
      <c r="E421" s="486"/>
      <c r="F421" s="486"/>
      <c r="G421" s="486"/>
      <c r="H421" s="486"/>
      <c r="I421" s="486"/>
      <c r="J421" s="486"/>
      <c r="K421" s="486"/>
      <c r="L421" s="486"/>
      <c r="M421" s="486"/>
      <c r="N421" s="479"/>
      <c r="O421" s="479"/>
      <c r="P421" s="479"/>
      <c r="Q421" s="479"/>
      <c r="R421" s="479"/>
      <c r="S421" s="479"/>
      <c r="T421" s="479"/>
      <c r="U421" s="479"/>
      <c r="V421" s="479"/>
      <c r="W421" s="479"/>
      <c r="X421" s="479"/>
      <c r="Y421" s="479"/>
      <c r="Z421" s="479"/>
      <c r="AA421" s="479"/>
      <c r="AB421" s="479"/>
      <c r="AC421" s="479"/>
      <c r="AD421" s="479"/>
      <c r="AE421" s="479"/>
      <c r="AF421" s="479"/>
      <c r="AG421" s="479"/>
      <c r="AH421" s="479"/>
      <c r="AI421" s="479"/>
      <c r="AJ421" s="479"/>
      <c r="AK421" s="478"/>
      <c r="AL421" s="478"/>
      <c r="AM421" s="478"/>
      <c r="AN421" s="478"/>
      <c r="AO421" s="478"/>
      <c r="AP421" s="478"/>
      <c r="AQ421" s="478"/>
      <c r="AR421" s="478"/>
      <c r="AS421" s="478"/>
      <c r="AT421" s="478"/>
      <c r="AU421" s="478"/>
      <c r="AV421" s="478"/>
      <c r="AW421" s="478"/>
      <c r="AX421" s="478"/>
      <c r="AY421" s="478"/>
      <c r="AZ421" s="478"/>
    </row>
    <row r="422" spans="1:52" s="291" customFormat="1" ht="18" customHeight="1">
      <c r="A422" s="294"/>
      <c r="B422" s="288"/>
      <c r="C422" s="288"/>
      <c r="D422" s="288"/>
      <c r="E422" s="288"/>
      <c r="F422" s="288"/>
      <c r="G422" s="288"/>
      <c r="H422" s="288"/>
      <c r="I422" s="288"/>
      <c r="J422" s="288"/>
      <c r="K422" s="287"/>
      <c r="L422" s="287"/>
      <c r="M422" s="287"/>
      <c r="N422" s="287"/>
      <c r="O422" s="287"/>
      <c r="P422" s="287"/>
      <c r="Q422" s="488"/>
      <c r="R422" s="488"/>
      <c r="S422" s="287"/>
      <c r="T422" s="287"/>
      <c r="U422" s="288"/>
      <c r="V422" s="288"/>
      <c r="W422" s="288"/>
      <c r="X422" s="288"/>
      <c r="Y422" s="287"/>
      <c r="Z422" s="287"/>
      <c r="AA422" s="287"/>
      <c r="AB422" s="288"/>
      <c r="AC422" s="288"/>
      <c r="AD422" s="288"/>
      <c r="AE422" s="288"/>
      <c r="AF422" s="288"/>
      <c r="AG422" s="288"/>
      <c r="AH422" s="288"/>
      <c r="AI422" s="288"/>
      <c r="AJ422" s="288"/>
      <c r="AK422" s="288"/>
      <c r="AL422" s="288"/>
      <c r="AM422" s="288"/>
      <c r="AN422" s="288"/>
      <c r="AO422" s="288"/>
      <c r="AP422" s="288"/>
      <c r="AQ422" s="288"/>
      <c r="AR422" s="288"/>
      <c r="AS422" s="288"/>
      <c r="AT422" s="288"/>
      <c r="AU422" s="288"/>
      <c r="AV422" s="288"/>
      <c r="AW422" s="288"/>
      <c r="AX422" s="288"/>
      <c r="AY422" s="288"/>
      <c r="AZ422" s="288"/>
    </row>
    <row r="423" spans="1:52" ht="60" customHeight="1">
      <c r="A423" s="28" t="s">
        <v>581</v>
      </c>
      <c r="B423" s="29" t="s">
        <v>542</v>
      </c>
      <c r="C423" s="27"/>
      <c r="D423" s="27"/>
      <c r="E423" s="27"/>
      <c r="F423" s="27"/>
      <c r="G423" s="27"/>
      <c r="H423" s="27"/>
      <c r="I423" s="27"/>
      <c r="K423" s="24"/>
      <c r="L423" s="24"/>
      <c r="M423" s="24"/>
      <c r="N423" s="24"/>
      <c r="O423" s="24"/>
      <c r="P423" s="24"/>
      <c r="Q423" s="1639"/>
      <c r="R423" s="1639"/>
      <c r="S423" s="1639"/>
      <c r="T423" s="1639"/>
      <c r="U423" s="1639"/>
      <c r="V423" s="1639"/>
      <c r="W423" s="1639"/>
      <c r="X423" s="1633"/>
      <c r="Y423" s="1634"/>
      <c r="Z423" s="1634"/>
      <c r="AA423" s="1634"/>
      <c r="AB423" s="1634"/>
      <c r="AC423" s="1634"/>
      <c r="AD423" s="1635"/>
      <c r="AE423" s="1639"/>
      <c r="AF423" s="1639"/>
      <c r="AG423" s="1639"/>
      <c r="AH423" s="1639"/>
      <c r="AI423" s="1639"/>
      <c r="AJ423" s="1639"/>
      <c r="AK423" s="1639"/>
      <c r="AL423" s="1639"/>
      <c r="AM423" s="1639"/>
      <c r="AN423" s="1639"/>
      <c r="AO423" s="1639"/>
      <c r="AP423" s="1639"/>
      <c r="AQ423" s="1639"/>
      <c r="AR423" s="1639"/>
      <c r="AS423" s="1639"/>
      <c r="AT423" s="1639"/>
      <c r="AU423" s="1639"/>
      <c r="AV423" s="1639"/>
      <c r="AW423" s="26"/>
      <c r="AX423" s="26"/>
      <c r="AY423" s="26"/>
      <c r="AZ423" s="26"/>
    </row>
    <row r="424" spans="1:52" s="291" customFormat="1" ht="15.75">
      <c r="A424" s="294"/>
      <c r="B424" s="288"/>
      <c r="C424" s="288"/>
      <c r="D424" s="288"/>
      <c r="E424" s="288"/>
      <c r="F424" s="288"/>
      <c r="G424" s="288"/>
      <c r="H424" s="288"/>
      <c r="I424" s="288"/>
      <c r="J424" s="288"/>
      <c r="K424" s="287"/>
      <c r="L424" s="287"/>
      <c r="M424" s="287"/>
      <c r="N424" s="287"/>
      <c r="O424" s="287"/>
      <c r="P424" s="287"/>
      <c r="Q424" s="488"/>
      <c r="R424" s="488"/>
      <c r="S424" s="287"/>
      <c r="T424" s="287"/>
      <c r="U424" s="288"/>
      <c r="V424" s="288"/>
      <c r="W424" s="288"/>
      <c r="X424" s="288"/>
      <c r="Y424" s="287"/>
      <c r="Z424" s="287"/>
      <c r="AA424" s="287"/>
      <c r="AB424" s="288"/>
      <c r="AC424" s="288"/>
      <c r="AD424" s="288"/>
      <c r="AE424" s="288"/>
      <c r="AF424" s="288"/>
      <c r="AG424" s="288"/>
      <c r="AH424" s="288"/>
      <c r="AI424" s="288"/>
      <c r="AJ424" s="288"/>
      <c r="AK424" s="288"/>
      <c r="AL424" s="288"/>
      <c r="AM424" s="288"/>
      <c r="AN424" s="288"/>
      <c r="AO424" s="288"/>
      <c r="AP424" s="288"/>
      <c r="AQ424" s="288"/>
      <c r="AR424" s="289"/>
      <c r="AS424" s="289"/>
      <c r="AT424" s="289"/>
      <c r="AU424" s="289"/>
      <c r="AV424" s="289"/>
      <c r="AW424" s="289"/>
      <c r="AX424" s="289"/>
      <c r="AY424" s="289"/>
      <c r="AZ424" s="289"/>
    </row>
    <row r="425" spans="1:52" s="291" customFormat="1" ht="15.75">
      <c r="A425" s="294"/>
      <c r="B425" s="295" t="s">
        <v>2575</v>
      </c>
      <c r="C425" s="288"/>
      <c r="D425" s="288"/>
      <c r="E425" s="288"/>
      <c r="F425" s="288"/>
      <c r="G425" s="288"/>
      <c r="H425" s="288"/>
      <c r="I425" s="288"/>
      <c r="J425" s="288"/>
      <c r="K425" s="287"/>
      <c r="L425" s="287"/>
      <c r="M425" s="287"/>
      <c r="N425" s="287"/>
      <c r="O425" s="287"/>
      <c r="P425" s="287"/>
      <c r="Q425" s="488"/>
      <c r="R425" s="488"/>
      <c r="S425" s="287"/>
      <c r="T425" s="287"/>
      <c r="U425" s="288"/>
      <c r="V425" s="288"/>
      <c r="W425" s="288"/>
      <c r="X425" s="288"/>
      <c r="Y425" s="287"/>
      <c r="Z425" s="287"/>
      <c r="AA425" s="287"/>
      <c r="AB425" s="288"/>
      <c r="AC425" s="288"/>
      <c r="AD425" s="288"/>
      <c r="AE425" s="288"/>
      <c r="AF425" s="288"/>
      <c r="AG425" s="288"/>
      <c r="AH425" s="288"/>
      <c r="AI425" s="288"/>
      <c r="AJ425" s="288"/>
      <c r="AK425" s="288"/>
      <c r="AL425" s="288"/>
      <c r="AM425" s="288"/>
      <c r="AN425" s="288"/>
      <c r="AO425" s="288"/>
      <c r="AP425" s="288"/>
      <c r="AQ425" s="288"/>
      <c r="AR425" s="289"/>
      <c r="AS425" s="289"/>
      <c r="AT425" s="289"/>
      <c r="AU425" s="289"/>
      <c r="AV425" s="289"/>
      <c r="AW425" s="289"/>
      <c r="AX425" s="289"/>
      <c r="AY425" s="289"/>
      <c r="AZ425" s="289"/>
    </row>
    <row r="426" spans="1:52" s="291" customFormat="1" ht="15.75">
      <c r="A426" s="294"/>
      <c r="B426" s="295"/>
      <c r="C426" s="288"/>
      <c r="D426" s="288"/>
      <c r="E426" s="288"/>
      <c r="F426" s="288"/>
      <c r="G426" s="288"/>
      <c r="H426" s="288"/>
      <c r="I426" s="288"/>
      <c r="J426" s="288"/>
      <c r="K426" s="287"/>
      <c r="L426" s="287"/>
      <c r="M426" s="287"/>
      <c r="N426" s="287"/>
      <c r="O426" s="287"/>
      <c r="P426" s="287"/>
      <c r="Q426" s="488"/>
      <c r="R426" s="488"/>
      <c r="S426" s="287"/>
      <c r="T426" s="287"/>
      <c r="U426" s="288"/>
      <c r="V426" s="288"/>
      <c r="W426" s="288"/>
      <c r="X426" s="288"/>
      <c r="Y426" s="287"/>
      <c r="Z426" s="287"/>
      <c r="AA426" s="287"/>
      <c r="AB426" s="288"/>
      <c r="AC426" s="288"/>
      <c r="AD426" s="288"/>
      <c r="AE426" s="288"/>
      <c r="AF426" s="288"/>
      <c r="AG426" s="288"/>
      <c r="AH426" s="288"/>
      <c r="AI426" s="288"/>
      <c r="AJ426" s="288"/>
      <c r="AK426" s="288"/>
      <c r="AL426" s="288"/>
      <c r="AM426" s="288"/>
      <c r="AN426" s="288"/>
      <c r="AO426" s="288"/>
      <c r="AP426" s="288"/>
      <c r="AQ426" s="288"/>
      <c r="AR426" s="289"/>
      <c r="AS426" s="289"/>
      <c r="AT426" s="289"/>
      <c r="AU426" s="289"/>
      <c r="AV426" s="289"/>
      <c r="AW426" s="289"/>
      <c r="AX426" s="289"/>
      <c r="AY426" s="289"/>
      <c r="AZ426" s="289"/>
    </row>
    <row r="427" spans="1:52" s="291" customFormat="1" ht="15.75">
      <c r="A427" s="294"/>
      <c r="B427" s="1256" t="s">
        <v>543</v>
      </c>
      <c r="C427" s="1256"/>
      <c r="D427" s="1256"/>
      <c r="E427" s="1256"/>
      <c r="F427" s="1256"/>
      <c r="G427" s="1256"/>
      <c r="H427" s="1256"/>
      <c r="I427" s="1256"/>
      <c r="J427" s="1256"/>
      <c r="K427" s="1256"/>
      <c r="L427" s="1256"/>
      <c r="M427" s="1256"/>
      <c r="N427" s="1256"/>
      <c r="O427" s="1256"/>
      <c r="P427" s="1256"/>
      <c r="Q427" s="1256"/>
      <c r="R427" s="1256"/>
      <c r="S427" s="1256"/>
      <c r="T427" s="1256"/>
      <c r="U427" s="1256"/>
      <c r="V427" s="1256"/>
      <c r="W427" s="1256"/>
      <c r="X427" s="1256"/>
      <c r="Y427" s="1256"/>
      <c r="Z427" s="1256"/>
      <c r="AA427" s="1256"/>
      <c r="AB427" s="1256"/>
      <c r="AC427" s="1256"/>
      <c r="AD427" s="1256"/>
      <c r="AE427" s="1256"/>
      <c r="AF427" s="1256"/>
      <c r="AG427" s="1256"/>
      <c r="AH427" s="1256"/>
      <c r="AI427" s="1256"/>
      <c r="AJ427" s="1256"/>
      <c r="AK427" s="1256"/>
      <c r="AL427" s="1256"/>
      <c r="AM427" s="1256"/>
      <c r="AN427" s="1256"/>
      <c r="AO427" s="1256"/>
      <c r="AP427" s="1256"/>
      <c r="AQ427" s="1256"/>
      <c r="AR427" s="1256"/>
      <c r="AS427" s="1256"/>
      <c r="AT427" s="1256"/>
      <c r="AU427" s="1256"/>
      <c r="AV427" s="1256"/>
      <c r="AW427" s="1256"/>
      <c r="AX427" s="1256"/>
      <c r="AY427" s="1256"/>
      <c r="AZ427" s="1256"/>
    </row>
    <row r="428" spans="1:52" s="291" customFormat="1" ht="52.5" customHeight="1">
      <c r="A428" s="294"/>
      <c r="B428" s="1256" t="s">
        <v>2212</v>
      </c>
      <c r="C428" s="1256"/>
      <c r="D428" s="1256"/>
      <c r="E428" s="1256"/>
      <c r="F428" s="1256"/>
      <c r="G428" s="1256"/>
      <c r="H428" s="1256"/>
      <c r="I428" s="1256"/>
      <c r="J428" s="1256"/>
      <c r="K428" s="1256"/>
      <c r="L428" s="1256"/>
      <c r="M428" s="1256"/>
      <c r="N428" s="1256"/>
      <c r="O428" s="1256"/>
      <c r="P428" s="1256"/>
      <c r="Q428" s="1221" t="s">
        <v>545</v>
      </c>
      <c r="R428" s="1221"/>
      <c r="S428" s="1221"/>
      <c r="T428" s="1221"/>
      <c r="U428" s="1256" t="s">
        <v>2706</v>
      </c>
      <c r="V428" s="1256"/>
      <c r="W428" s="1256"/>
      <c r="X428" s="1256"/>
      <c r="Y428" s="1256"/>
      <c r="Z428" s="1256"/>
      <c r="AA428" s="1256" t="s">
        <v>546</v>
      </c>
      <c r="AB428" s="1256"/>
      <c r="AC428" s="1256"/>
      <c r="AD428" s="1256"/>
      <c r="AE428" s="1256"/>
      <c r="AF428" s="1256"/>
      <c r="AG428" s="1256" t="s">
        <v>3282</v>
      </c>
      <c r="AH428" s="1256"/>
      <c r="AI428" s="1256"/>
      <c r="AJ428" s="1256"/>
      <c r="AK428" s="1638" t="s">
        <v>547</v>
      </c>
      <c r="AL428" s="1638"/>
      <c r="AM428" s="1638"/>
      <c r="AN428" s="1638"/>
      <c r="AO428" s="1638"/>
      <c r="AP428" s="1638"/>
      <c r="AQ428" s="1638"/>
      <c r="AR428" s="1638"/>
      <c r="AS428" s="1638" t="s">
        <v>2707</v>
      </c>
      <c r="AT428" s="1638"/>
      <c r="AU428" s="1638"/>
      <c r="AV428" s="1638"/>
      <c r="AW428" s="1638"/>
      <c r="AX428" s="1638"/>
      <c r="AY428" s="1638"/>
      <c r="AZ428" s="1638"/>
    </row>
    <row r="429" spans="1:52" s="291" customFormat="1" ht="50.25" customHeight="1">
      <c r="A429" s="294"/>
      <c r="B429" s="1256"/>
      <c r="C429" s="1256"/>
      <c r="D429" s="1256"/>
      <c r="E429" s="1256"/>
      <c r="F429" s="1256"/>
      <c r="G429" s="1256"/>
      <c r="H429" s="1256"/>
      <c r="I429" s="1256"/>
      <c r="J429" s="1256"/>
      <c r="K429" s="1256"/>
      <c r="L429" s="1256"/>
      <c r="M429" s="1256"/>
      <c r="N429" s="1256"/>
      <c r="O429" s="1256"/>
      <c r="P429" s="1256"/>
      <c r="Q429" s="1221"/>
      <c r="R429" s="1221"/>
      <c r="S429" s="1221"/>
      <c r="T429" s="1221"/>
      <c r="U429" s="1256" t="s">
        <v>548</v>
      </c>
      <c r="V429" s="1256"/>
      <c r="W429" s="1256"/>
      <c r="X429" s="1256" t="s">
        <v>549</v>
      </c>
      <c r="Y429" s="1256"/>
      <c r="Z429" s="1256"/>
      <c r="AA429" s="1256" t="s">
        <v>548</v>
      </c>
      <c r="AB429" s="1256"/>
      <c r="AC429" s="1256"/>
      <c r="AD429" s="1256" t="s">
        <v>549</v>
      </c>
      <c r="AE429" s="1256"/>
      <c r="AF429" s="1256"/>
      <c r="AG429" s="1256"/>
      <c r="AH429" s="1256"/>
      <c r="AI429" s="1256"/>
      <c r="AJ429" s="1256"/>
      <c r="AK429" s="1638" t="s">
        <v>550</v>
      </c>
      <c r="AL429" s="1638"/>
      <c r="AM429" s="1638"/>
      <c r="AN429" s="1638"/>
      <c r="AO429" s="1638" t="s">
        <v>551</v>
      </c>
      <c r="AP429" s="1638"/>
      <c r="AQ429" s="1638"/>
      <c r="AR429" s="1638"/>
      <c r="AS429" s="1638" t="s">
        <v>550</v>
      </c>
      <c r="AT429" s="1638"/>
      <c r="AU429" s="1638"/>
      <c r="AV429" s="1638"/>
      <c r="AW429" s="1638" t="s">
        <v>551</v>
      </c>
      <c r="AX429" s="1638"/>
      <c r="AY429" s="1638"/>
      <c r="AZ429" s="1638"/>
    </row>
    <row r="430" spans="1:52" s="291" customFormat="1" ht="30.75" customHeight="1">
      <c r="A430" s="294"/>
      <c r="B430" s="1325" t="str">
        <f>C372</f>
        <v>Adecuado almacenamiento en vías urbanas y áreas públicas</v>
      </c>
      <c r="C430" s="1326"/>
      <c r="D430" s="1326"/>
      <c r="E430" s="1326"/>
      <c r="F430" s="1326"/>
      <c r="G430" s="1326"/>
      <c r="H430" s="1326"/>
      <c r="I430" s="1326"/>
      <c r="J430" s="1326"/>
      <c r="K430" s="1326"/>
      <c r="L430" s="1326"/>
      <c r="M430" s="1326"/>
      <c r="N430" s="1326"/>
      <c r="O430" s="1326"/>
      <c r="P430" s="1326"/>
      <c r="Q430" s="1326"/>
      <c r="R430" s="1326"/>
      <c r="S430" s="1326"/>
      <c r="T430" s="1326"/>
      <c r="U430" s="1326"/>
      <c r="V430" s="1326"/>
      <c r="W430" s="1326"/>
      <c r="X430" s="1326"/>
      <c r="Y430" s="1326"/>
      <c r="Z430" s="1326"/>
      <c r="AA430" s="1326"/>
      <c r="AB430" s="1326"/>
      <c r="AC430" s="1326"/>
      <c r="AD430" s="1326"/>
      <c r="AE430" s="1326"/>
      <c r="AF430" s="1326"/>
      <c r="AG430" s="1326"/>
      <c r="AH430" s="1326"/>
      <c r="AI430" s="1326"/>
      <c r="AJ430" s="1326"/>
      <c r="AK430" s="1326"/>
      <c r="AL430" s="1326"/>
      <c r="AM430" s="1326"/>
      <c r="AN430" s="1326"/>
      <c r="AO430" s="1326"/>
      <c r="AP430" s="1326"/>
      <c r="AQ430" s="1326"/>
      <c r="AR430" s="1326"/>
      <c r="AS430" s="1326"/>
      <c r="AT430" s="1326"/>
      <c r="AU430" s="1326"/>
      <c r="AV430" s="1326"/>
      <c r="AW430" s="1326"/>
      <c r="AX430" s="1326"/>
      <c r="AY430" s="1326"/>
      <c r="AZ430" s="1327"/>
    </row>
    <row r="431" spans="1:52" s="291" customFormat="1" ht="30" customHeight="1">
      <c r="A431" s="294"/>
      <c r="B431" s="1371">
        <f>AK372</f>
        <v>0</v>
      </c>
      <c r="C431" s="1372"/>
      <c r="D431" s="1372"/>
      <c r="E431" s="1372"/>
      <c r="F431" s="1372"/>
      <c r="G431" s="1372"/>
      <c r="H431" s="1372"/>
      <c r="I431" s="1372"/>
      <c r="J431" s="1372"/>
      <c r="K431" s="1372"/>
      <c r="L431" s="1372"/>
      <c r="M431" s="1372"/>
      <c r="N431" s="1372"/>
      <c r="O431" s="1372"/>
      <c r="P431" s="1373"/>
      <c r="Q431" s="1228" t="str">
        <f>Y372</f>
        <v>Equipamiento</v>
      </c>
      <c r="R431" s="1229"/>
      <c r="S431" s="1229"/>
      <c r="T431" s="1230"/>
      <c r="U431" s="1208" t="s">
        <v>2231</v>
      </c>
      <c r="V431" s="1208"/>
      <c r="W431" s="1208"/>
      <c r="X431" s="1410">
        <f>'Costos Equip y Consul'!E12</f>
        <v>0</v>
      </c>
      <c r="Y431" s="1410"/>
      <c r="Z431" s="1410"/>
      <c r="AA431" s="1577" t="s">
        <v>2602</v>
      </c>
      <c r="AB431" s="1515"/>
      <c r="AC431" s="1516"/>
      <c r="AD431" s="1632">
        <f>+X431</f>
        <v>0</v>
      </c>
      <c r="AE431" s="1279"/>
      <c r="AF431" s="1280"/>
      <c r="AG431" s="1519">
        <f>'Costos Equip y Consul'!I12</f>
        <v>0</v>
      </c>
      <c r="AH431" s="1519"/>
      <c r="AI431" s="1519"/>
      <c r="AJ431" s="1519"/>
      <c r="AK431" s="1249"/>
      <c r="AL431" s="1637"/>
      <c r="AM431" s="1637"/>
      <c r="AN431" s="1250"/>
      <c r="AO431" s="1249"/>
      <c r="AP431" s="1637"/>
      <c r="AQ431" s="1637"/>
      <c r="AR431" s="1250"/>
      <c r="AS431" s="1249"/>
      <c r="AT431" s="1637"/>
      <c r="AU431" s="1637"/>
      <c r="AV431" s="1250"/>
      <c r="AW431" s="1249"/>
      <c r="AX431" s="1637"/>
      <c r="AY431" s="1637"/>
      <c r="AZ431" s="1250"/>
    </row>
    <row r="432" spans="1:52" s="291" customFormat="1" ht="30.75" customHeight="1">
      <c r="A432" s="294"/>
      <c r="B432" s="1325" t="str">
        <f>C373</f>
        <v>Adecuado barrido de vías urbanas y áreas públicas</v>
      </c>
      <c r="C432" s="1326"/>
      <c r="D432" s="1326"/>
      <c r="E432" s="1326"/>
      <c r="F432" s="1326"/>
      <c r="G432" s="1326"/>
      <c r="H432" s="1326"/>
      <c r="I432" s="1326"/>
      <c r="J432" s="1326"/>
      <c r="K432" s="1326"/>
      <c r="L432" s="1326"/>
      <c r="M432" s="1326"/>
      <c r="N432" s="1326"/>
      <c r="O432" s="1326"/>
      <c r="P432" s="1326"/>
      <c r="Q432" s="1326"/>
      <c r="R432" s="1326"/>
      <c r="S432" s="1326"/>
      <c r="T432" s="1326"/>
      <c r="U432" s="1326"/>
      <c r="V432" s="1326"/>
      <c r="W432" s="1326"/>
      <c r="X432" s="1326"/>
      <c r="Y432" s="1326"/>
      <c r="Z432" s="1326"/>
      <c r="AA432" s="1326"/>
      <c r="AB432" s="1326"/>
      <c r="AC432" s="1326"/>
      <c r="AD432" s="1326"/>
      <c r="AE432" s="1326"/>
      <c r="AF432" s="1326"/>
      <c r="AG432" s="1326"/>
      <c r="AH432" s="1326"/>
      <c r="AI432" s="1326"/>
      <c r="AJ432" s="1326"/>
      <c r="AK432" s="1326"/>
      <c r="AL432" s="1326"/>
      <c r="AM432" s="1326"/>
      <c r="AN432" s="1326"/>
      <c r="AO432" s="1326"/>
      <c r="AP432" s="1326"/>
      <c r="AQ432" s="1326"/>
      <c r="AR432" s="1326"/>
      <c r="AS432" s="1326"/>
      <c r="AT432" s="1326"/>
      <c r="AU432" s="1326"/>
      <c r="AV432" s="1326"/>
      <c r="AW432" s="1326"/>
      <c r="AX432" s="1326"/>
      <c r="AY432" s="1326"/>
      <c r="AZ432" s="1327"/>
    </row>
    <row r="433" spans="1:54" s="291" customFormat="1" ht="37.5" customHeight="1">
      <c r="A433" s="294"/>
      <c r="B433" s="1371">
        <f>AK373</f>
        <v>0</v>
      </c>
      <c r="C433" s="1372"/>
      <c r="D433" s="1372"/>
      <c r="E433" s="1372"/>
      <c r="F433" s="1372"/>
      <c r="G433" s="1372"/>
      <c r="H433" s="1372"/>
      <c r="I433" s="1372"/>
      <c r="J433" s="1372"/>
      <c r="K433" s="1372"/>
      <c r="L433" s="1372"/>
      <c r="M433" s="1372"/>
      <c r="N433" s="1372"/>
      <c r="O433" s="1372"/>
      <c r="P433" s="1373"/>
      <c r="Q433" s="1228" t="str">
        <f>Y373</f>
        <v>Equipamiento</v>
      </c>
      <c r="R433" s="1229"/>
      <c r="S433" s="1229"/>
      <c r="T433" s="1230"/>
      <c r="U433" s="1208" t="s">
        <v>2231</v>
      </c>
      <c r="V433" s="1208"/>
      <c r="W433" s="1208"/>
      <c r="X433" s="1628">
        <f>IFERROR(IF($AC$252="Adquisición de equipos para el barrido manual",'Costos Equip y Consul'!E24,'Costos Equip y Consul'!E30),0)</f>
        <v>0</v>
      </c>
      <c r="Y433" s="1628"/>
      <c r="Z433" s="1628"/>
      <c r="AA433" s="1577" t="str">
        <f>AA431</f>
        <v>Unidades de equipamiento</v>
      </c>
      <c r="AB433" s="1515"/>
      <c r="AC433" s="1516"/>
      <c r="AD433" s="1632">
        <f>+X433</f>
        <v>0</v>
      </c>
      <c r="AE433" s="1279"/>
      <c r="AF433" s="1280"/>
      <c r="AG433" s="1636">
        <f>IFERROR(IF($AC$252="Adquisición de equipos para el barrido manual",'Costos Equip y Consul'!I24,'Costos Equip y Consul'!I30),"")</f>
        <v>0</v>
      </c>
      <c r="AH433" s="1636"/>
      <c r="AI433" s="1636"/>
      <c r="AJ433" s="1636"/>
      <c r="AK433" s="1316"/>
      <c r="AL433" s="1316"/>
      <c r="AM433" s="1316"/>
      <c r="AN433" s="1316"/>
      <c r="AO433" s="1316"/>
      <c r="AP433" s="1316"/>
      <c r="AQ433" s="1316"/>
      <c r="AR433" s="1316"/>
      <c r="AS433" s="1316"/>
      <c r="AT433" s="1316"/>
      <c r="AU433" s="1316"/>
      <c r="AV433" s="1316"/>
      <c r="AW433" s="1316"/>
      <c r="AX433" s="1316"/>
      <c r="AY433" s="1316"/>
      <c r="AZ433" s="1316"/>
    </row>
    <row r="434" spans="1:54" s="291" customFormat="1" ht="38.25" customHeight="1">
      <c r="A434" s="294"/>
      <c r="B434" s="1371">
        <f>AK374</f>
        <v>0</v>
      </c>
      <c r="C434" s="1372"/>
      <c r="D434" s="1372"/>
      <c r="E434" s="1372"/>
      <c r="F434" s="1372"/>
      <c r="G434" s="1372"/>
      <c r="H434" s="1372"/>
      <c r="I434" s="1372"/>
      <c r="J434" s="1372"/>
      <c r="K434" s="1372"/>
      <c r="L434" s="1372"/>
      <c r="M434" s="1372"/>
      <c r="N434" s="1372"/>
      <c r="O434" s="1372"/>
      <c r="P434" s="1373"/>
      <c r="Q434" s="1228" t="str">
        <f>Y374</f>
        <v>Equipamiento</v>
      </c>
      <c r="R434" s="1229"/>
      <c r="S434" s="1229"/>
      <c r="T434" s="1230"/>
      <c r="U434" s="1208" t="s">
        <v>2232</v>
      </c>
      <c r="V434" s="1208"/>
      <c r="W434" s="1208"/>
      <c r="X434" s="1643">
        <f>IFERROR('Costos Equip y Consul'!F32,0)</f>
        <v>0</v>
      </c>
      <c r="Y434" s="1643"/>
      <c r="Z434" s="1643"/>
      <c r="AA434" s="1187" t="str">
        <f>+AA433</f>
        <v>Unidades de equipamiento</v>
      </c>
      <c r="AB434" s="1188"/>
      <c r="AC434" s="1210"/>
      <c r="AD434" s="1632">
        <f>+X434</f>
        <v>0</v>
      </c>
      <c r="AE434" s="1279"/>
      <c r="AF434" s="1280"/>
      <c r="AG434" s="1519">
        <f>IFERROR('Costos Equip y Consul'!I39,"")</f>
        <v>0</v>
      </c>
      <c r="AH434" s="1519"/>
      <c r="AI434" s="1519"/>
      <c r="AJ434" s="1519"/>
      <c r="AK434" s="1316"/>
      <c r="AL434" s="1316"/>
      <c r="AM434" s="1316"/>
      <c r="AN434" s="1316"/>
      <c r="AO434" s="1316"/>
      <c r="AP434" s="1316"/>
      <c r="AQ434" s="1316"/>
      <c r="AR434" s="1316"/>
      <c r="AS434" s="1316"/>
      <c r="AT434" s="1316"/>
      <c r="AU434" s="1316"/>
      <c r="AV434" s="1316"/>
      <c r="AW434" s="1316"/>
      <c r="AX434" s="1316"/>
      <c r="AY434" s="1316"/>
      <c r="AZ434" s="1316"/>
    </row>
    <row r="435" spans="1:54" s="291" customFormat="1" ht="38.25" customHeight="1">
      <c r="A435" s="294"/>
      <c r="B435" s="1371">
        <f>AK375</f>
        <v>0</v>
      </c>
      <c r="C435" s="1372"/>
      <c r="D435" s="1372"/>
      <c r="E435" s="1372"/>
      <c r="F435" s="1372"/>
      <c r="G435" s="1372"/>
      <c r="H435" s="1372"/>
      <c r="I435" s="1372"/>
      <c r="J435" s="1372"/>
      <c r="K435" s="1372"/>
      <c r="L435" s="1372"/>
      <c r="M435" s="1372"/>
      <c r="N435" s="1372"/>
      <c r="O435" s="1372"/>
      <c r="P435" s="1373"/>
      <c r="Q435" s="1228" t="str">
        <f>Y375</f>
        <v>Equipamiento</v>
      </c>
      <c r="R435" s="1229"/>
      <c r="S435" s="1229"/>
      <c r="T435" s="1230"/>
      <c r="U435" s="1208" t="s">
        <v>2232</v>
      </c>
      <c r="V435" s="1208"/>
      <c r="W435" s="1208"/>
      <c r="X435" s="1643">
        <f>IFERROR('Costos Equip y Consul'!F41,"")</f>
        <v>0</v>
      </c>
      <c r="Y435" s="1643"/>
      <c r="Z435" s="1643"/>
      <c r="AA435" s="1187" t="str">
        <f>+AA434</f>
        <v>Unidades de equipamiento</v>
      </c>
      <c r="AB435" s="1188"/>
      <c r="AC435" s="1210"/>
      <c r="AD435" s="1632">
        <f>+X435</f>
        <v>0</v>
      </c>
      <c r="AE435" s="1279"/>
      <c r="AF435" s="1280"/>
      <c r="AG435" s="1519">
        <f>IFERROR('Costos Equip y Consul'!I51,"")</f>
        <v>0</v>
      </c>
      <c r="AH435" s="1519"/>
      <c r="AI435" s="1519"/>
      <c r="AJ435" s="1519"/>
      <c r="AK435" s="1316"/>
      <c r="AL435" s="1316"/>
      <c r="AM435" s="1316"/>
      <c r="AN435" s="1316"/>
      <c r="AO435" s="1316"/>
      <c r="AP435" s="1316"/>
      <c r="AQ435" s="1316"/>
      <c r="AR435" s="1316"/>
      <c r="AS435" s="1316"/>
      <c r="AT435" s="1316"/>
      <c r="AU435" s="1316"/>
      <c r="AV435" s="1316"/>
      <c r="AW435" s="1316"/>
      <c r="AX435" s="1316"/>
      <c r="AY435" s="1316"/>
      <c r="AZ435" s="1316"/>
    </row>
    <row r="436" spans="1:54" s="291" customFormat="1" ht="30.75" customHeight="1">
      <c r="A436" s="294"/>
      <c r="B436" s="1325" t="str">
        <f>C376</f>
        <v>Adecuada capacidad para la recolección y transporte</v>
      </c>
      <c r="C436" s="1326"/>
      <c r="D436" s="1326"/>
      <c r="E436" s="1326"/>
      <c r="F436" s="1326"/>
      <c r="G436" s="1326"/>
      <c r="H436" s="1326"/>
      <c r="I436" s="1326"/>
      <c r="J436" s="1326"/>
      <c r="K436" s="1326"/>
      <c r="L436" s="1326"/>
      <c r="M436" s="1326"/>
      <c r="N436" s="1326"/>
      <c r="O436" s="1326"/>
      <c r="P436" s="1326"/>
      <c r="Q436" s="1326"/>
      <c r="R436" s="1326"/>
      <c r="S436" s="1326"/>
      <c r="T436" s="1326"/>
      <c r="U436" s="1326"/>
      <c r="V436" s="1326"/>
      <c r="W436" s="1326"/>
      <c r="X436" s="1326"/>
      <c r="Y436" s="1326"/>
      <c r="Z436" s="1326"/>
      <c r="AA436" s="1326"/>
      <c r="AB436" s="1326"/>
      <c r="AC436" s="1326"/>
      <c r="AD436" s="1326"/>
      <c r="AE436" s="1326"/>
      <c r="AF436" s="1326"/>
      <c r="AG436" s="1326"/>
      <c r="AH436" s="1326"/>
      <c r="AI436" s="1326"/>
      <c r="AJ436" s="1326"/>
      <c r="AK436" s="1326"/>
      <c r="AL436" s="1326"/>
      <c r="AM436" s="1326"/>
      <c r="AN436" s="1326"/>
      <c r="AO436" s="1326"/>
      <c r="AP436" s="1326"/>
      <c r="AQ436" s="1326"/>
      <c r="AR436" s="1326"/>
      <c r="AS436" s="1326"/>
      <c r="AT436" s="1326"/>
      <c r="AU436" s="1326"/>
      <c r="AV436" s="1326"/>
      <c r="AW436" s="1326"/>
      <c r="AX436" s="1326"/>
      <c r="AY436" s="1326"/>
      <c r="AZ436" s="1327"/>
    </row>
    <row r="437" spans="1:54" s="291" customFormat="1" ht="36" customHeight="1">
      <c r="A437" s="294"/>
      <c r="B437" s="1371">
        <f t="shared" ref="B437:B443" si="2">AK376</f>
        <v>0</v>
      </c>
      <c r="C437" s="1372"/>
      <c r="D437" s="1372"/>
      <c r="E437" s="1372"/>
      <c r="F437" s="1372"/>
      <c r="G437" s="1372"/>
      <c r="H437" s="1372"/>
      <c r="I437" s="1372"/>
      <c r="J437" s="1372"/>
      <c r="K437" s="1372"/>
      <c r="L437" s="1372"/>
      <c r="M437" s="1372"/>
      <c r="N437" s="1372"/>
      <c r="O437" s="1372"/>
      <c r="P437" s="1373"/>
      <c r="Q437" s="1228" t="str">
        <f>Y376</f>
        <v>Equipamiento</v>
      </c>
      <c r="R437" s="1229"/>
      <c r="S437" s="1229"/>
      <c r="T437" s="1230"/>
      <c r="U437" s="1208" t="s">
        <v>2232</v>
      </c>
      <c r="V437" s="1208"/>
      <c r="W437" s="1208"/>
      <c r="X437" s="1632">
        <f>'Costos Equip y Consul'!F100</f>
        <v>0</v>
      </c>
      <c r="Y437" s="1646"/>
      <c r="Z437" s="1646"/>
      <c r="AA437" s="1577" t="str">
        <f>AA433</f>
        <v>Unidades de equipamiento</v>
      </c>
      <c r="AB437" s="1515"/>
      <c r="AC437" s="1516"/>
      <c r="AD437" s="1632">
        <f t="shared" ref="AD437:AD442" si="3">+X437</f>
        <v>0</v>
      </c>
      <c r="AE437" s="1279"/>
      <c r="AF437" s="1280"/>
      <c r="AG437" s="1519">
        <f>'Costos Equip y Consul'!I108</f>
        <v>0</v>
      </c>
      <c r="AH437" s="1519"/>
      <c r="AI437" s="1519"/>
      <c r="AJ437" s="1519"/>
      <c r="AK437" s="1316"/>
      <c r="AL437" s="1316"/>
      <c r="AM437" s="1316"/>
      <c r="AN437" s="1316"/>
      <c r="AO437" s="1316"/>
      <c r="AP437" s="1316"/>
      <c r="AQ437" s="1316"/>
      <c r="AR437" s="1316"/>
      <c r="AS437" s="1316"/>
      <c r="AT437" s="1316"/>
      <c r="AU437" s="1316"/>
      <c r="AV437" s="1316"/>
      <c r="AW437" s="1316"/>
      <c r="AX437" s="1316"/>
      <c r="AY437" s="1316"/>
      <c r="AZ437" s="1316"/>
      <c r="BB437" s="493"/>
    </row>
    <row r="438" spans="1:54" s="291" customFormat="1" ht="36" customHeight="1">
      <c r="A438" s="294"/>
      <c r="B438" s="1371">
        <f t="shared" si="2"/>
        <v>0</v>
      </c>
      <c r="C438" s="1372"/>
      <c r="D438" s="1372"/>
      <c r="E438" s="1372"/>
      <c r="F438" s="1372"/>
      <c r="G438" s="1372"/>
      <c r="H438" s="1372"/>
      <c r="I438" s="1372"/>
      <c r="J438" s="1372"/>
      <c r="K438" s="1372"/>
      <c r="L438" s="1372"/>
      <c r="M438" s="1372"/>
      <c r="N438" s="1372"/>
      <c r="O438" s="1372"/>
      <c r="P438" s="1373"/>
      <c r="Q438" s="1228" t="str">
        <f t="shared" ref="Q438:Q443" si="4">Y377</f>
        <v>Equipamiento</v>
      </c>
      <c r="R438" s="1229"/>
      <c r="S438" s="1229"/>
      <c r="T438" s="1230"/>
      <c r="U438" s="1208" t="s">
        <v>2232</v>
      </c>
      <c r="V438" s="1208"/>
      <c r="W438" s="1208"/>
      <c r="X438" s="1628">
        <f>'Costos Equip y Consul'!F111+'Costos Equip y Consul'!F125</f>
        <v>0</v>
      </c>
      <c r="Y438" s="1628"/>
      <c r="Z438" s="1628"/>
      <c r="AA438" s="1577" t="str">
        <f>AA437</f>
        <v>Unidades de equipamiento</v>
      </c>
      <c r="AB438" s="1515"/>
      <c r="AC438" s="1516"/>
      <c r="AD438" s="1632">
        <f t="shared" si="3"/>
        <v>0</v>
      </c>
      <c r="AE438" s="1279"/>
      <c r="AF438" s="1280"/>
      <c r="AG438" s="1519">
        <f>'Costos Equip y Consul'!I130</f>
        <v>0</v>
      </c>
      <c r="AH438" s="1519"/>
      <c r="AI438" s="1519"/>
      <c r="AJ438" s="1519"/>
      <c r="AK438" s="1316"/>
      <c r="AL438" s="1316"/>
      <c r="AM438" s="1316"/>
      <c r="AN438" s="1316"/>
      <c r="AO438" s="1316"/>
      <c r="AP438" s="1316"/>
      <c r="AQ438" s="1316"/>
      <c r="AR438" s="1316"/>
      <c r="AS438" s="1316"/>
      <c r="AT438" s="1316"/>
      <c r="AU438" s="1316"/>
      <c r="AV438" s="1316"/>
      <c r="AW438" s="1316"/>
      <c r="AX438" s="1316"/>
      <c r="AY438" s="1316"/>
      <c r="AZ438" s="1316"/>
      <c r="BB438" s="291" t="str">
        <f>IF(C351="","",IF(C351="SEMIMECANIZADO","1",IF(C351="MECANIZADO","1",IF(C351="MANUAL",""))))</f>
        <v/>
      </c>
    </row>
    <row r="439" spans="1:54" s="291" customFormat="1" ht="27" customHeight="1">
      <c r="A439" s="294"/>
      <c r="B439" s="1371">
        <f t="shared" si="2"/>
        <v>0</v>
      </c>
      <c r="C439" s="1372"/>
      <c r="D439" s="1372"/>
      <c r="E439" s="1372"/>
      <c r="F439" s="1372"/>
      <c r="G439" s="1372"/>
      <c r="H439" s="1372"/>
      <c r="I439" s="1372"/>
      <c r="J439" s="1372"/>
      <c r="K439" s="1372"/>
      <c r="L439" s="1372"/>
      <c r="M439" s="1372"/>
      <c r="N439" s="1372"/>
      <c r="O439" s="1372"/>
      <c r="P439" s="1373"/>
      <c r="Q439" s="1228" t="str">
        <f t="shared" si="4"/>
        <v>Vehículo</v>
      </c>
      <c r="R439" s="1229"/>
      <c r="S439" s="1229"/>
      <c r="T439" s="1230"/>
      <c r="U439" s="1208" t="s">
        <v>2305</v>
      </c>
      <c r="V439" s="1208"/>
      <c r="W439" s="1208"/>
      <c r="X439" s="1628">
        <f>'Costos Equip y Consul'!E65</f>
        <v>0</v>
      </c>
      <c r="Y439" s="1628"/>
      <c r="Z439" s="1628"/>
      <c r="AA439" s="1208" t="s">
        <v>2305</v>
      </c>
      <c r="AB439" s="1208"/>
      <c r="AC439" s="1208"/>
      <c r="AD439" s="1632">
        <f t="shared" si="3"/>
        <v>0</v>
      </c>
      <c r="AE439" s="1279"/>
      <c r="AF439" s="1280"/>
      <c r="AG439" s="1519">
        <f>'Costos Equip y Consul'!I65</f>
        <v>0</v>
      </c>
      <c r="AH439" s="1519"/>
      <c r="AI439" s="1519"/>
      <c r="AJ439" s="1519"/>
      <c r="AK439" s="1316"/>
      <c r="AL439" s="1316"/>
      <c r="AM439" s="1316"/>
      <c r="AN439" s="1316"/>
      <c r="AO439" s="1316"/>
      <c r="AP439" s="1316"/>
      <c r="AQ439" s="1316"/>
      <c r="AR439" s="1316"/>
      <c r="AS439" s="1316"/>
      <c r="AT439" s="1316"/>
      <c r="AU439" s="1316"/>
      <c r="AV439" s="1316"/>
      <c r="AW439" s="1316"/>
      <c r="AX439" s="1316"/>
      <c r="AY439" s="1316"/>
      <c r="AZ439" s="1316"/>
    </row>
    <row r="440" spans="1:54" s="291" customFormat="1" ht="27" customHeight="1">
      <c r="A440" s="294"/>
      <c r="B440" s="1371">
        <f t="shared" si="2"/>
        <v>0</v>
      </c>
      <c r="C440" s="1372"/>
      <c r="D440" s="1372"/>
      <c r="E440" s="1372"/>
      <c r="F440" s="1372"/>
      <c r="G440" s="1372"/>
      <c r="H440" s="1372"/>
      <c r="I440" s="1372"/>
      <c r="J440" s="1372"/>
      <c r="K440" s="1372"/>
      <c r="L440" s="1372"/>
      <c r="M440" s="1372"/>
      <c r="N440" s="1372"/>
      <c r="O440" s="1372"/>
      <c r="P440" s="1373"/>
      <c r="Q440" s="1228" t="str">
        <f t="shared" si="4"/>
        <v>Vehículo</v>
      </c>
      <c r="R440" s="1229"/>
      <c r="S440" s="1229"/>
      <c r="T440" s="1230"/>
      <c r="U440" s="1208" t="s">
        <v>2305</v>
      </c>
      <c r="V440" s="1208"/>
      <c r="W440" s="1208"/>
      <c r="X440" s="1410">
        <f>'Costos Equip y Consul'!E77</f>
        <v>0</v>
      </c>
      <c r="Y440" s="1410"/>
      <c r="Z440" s="1410"/>
      <c r="AA440" s="1208" t="s">
        <v>2305</v>
      </c>
      <c r="AB440" s="1208"/>
      <c r="AC440" s="1208"/>
      <c r="AD440" s="1632">
        <f t="shared" si="3"/>
        <v>0</v>
      </c>
      <c r="AE440" s="1279"/>
      <c r="AF440" s="1280"/>
      <c r="AG440" s="1519">
        <f>'Costos Equip y Consul'!I77</f>
        <v>0</v>
      </c>
      <c r="AH440" s="1519"/>
      <c r="AI440" s="1519"/>
      <c r="AJ440" s="1519"/>
      <c r="AK440" s="1316"/>
      <c r="AL440" s="1316"/>
      <c r="AM440" s="1316"/>
      <c r="AN440" s="1316"/>
      <c r="AO440" s="1316"/>
      <c r="AP440" s="1316"/>
      <c r="AQ440" s="1316"/>
      <c r="AR440" s="1316"/>
      <c r="AS440" s="1316"/>
      <c r="AT440" s="1316"/>
      <c r="AU440" s="1316"/>
      <c r="AV440" s="1316"/>
      <c r="AW440" s="1316"/>
      <c r="AX440" s="1316"/>
      <c r="AY440" s="1316"/>
      <c r="AZ440" s="1316"/>
    </row>
    <row r="441" spans="1:54" s="291" customFormat="1" ht="27" customHeight="1">
      <c r="A441" s="294"/>
      <c r="B441" s="1371">
        <f t="shared" si="2"/>
        <v>0</v>
      </c>
      <c r="C441" s="1372"/>
      <c r="D441" s="1372"/>
      <c r="E441" s="1372"/>
      <c r="F441" s="1372"/>
      <c r="G441" s="1372"/>
      <c r="H441" s="1372"/>
      <c r="I441" s="1372"/>
      <c r="J441" s="1372"/>
      <c r="K441" s="1372"/>
      <c r="L441" s="1372"/>
      <c r="M441" s="1372"/>
      <c r="N441" s="1372"/>
      <c r="O441" s="1372"/>
      <c r="P441" s="1373"/>
      <c r="Q441" s="1228" t="str">
        <f t="shared" si="4"/>
        <v>Vehículo</v>
      </c>
      <c r="R441" s="1229"/>
      <c r="S441" s="1229"/>
      <c r="T441" s="1230"/>
      <c r="U441" s="1208" t="s">
        <v>2305</v>
      </c>
      <c r="V441" s="1208"/>
      <c r="W441" s="1208"/>
      <c r="X441" s="1410">
        <f>'Costos Equip y Consul'!E89</f>
        <v>0</v>
      </c>
      <c r="Y441" s="1410"/>
      <c r="Z441" s="1410"/>
      <c r="AA441" s="1208" t="s">
        <v>2305</v>
      </c>
      <c r="AB441" s="1208"/>
      <c r="AC441" s="1208"/>
      <c r="AD441" s="1632">
        <f t="shared" si="3"/>
        <v>0</v>
      </c>
      <c r="AE441" s="1279"/>
      <c r="AF441" s="1280"/>
      <c r="AG441" s="1519">
        <f>'Costos Equip y Consul'!I89</f>
        <v>0</v>
      </c>
      <c r="AH441" s="1519"/>
      <c r="AI441" s="1519"/>
      <c r="AJ441" s="1519"/>
      <c r="AK441" s="1316"/>
      <c r="AL441" s="1316"/>
      <c r="AM441" s="1316"/>
      <c r="AN441" s="1316"/>
      <c r="AO441" s="1316"/>
      <c r="AP441" s="1316"/>
      <c r="AQ441" s="1316"/>
      <c r="AR441" s="1316"/>
      <c r="AS441" s="1316"/>
      <c r="AT441" s="1316"/>
      <c r="AU441" s="1316"/>
      <c r="AV441" s="1316"/>
      <c r="AW441" s="1316"/>
      <c r="AX441" s="1316"/>
      <c r="AY441" s="1316"/>
      <c r="AZ441" s="1316"/>
    </row>
    <row r="442" spans="1:54" s="291" customFormat="1" ht="27" customHeight="1">
      <c r="A442" s="294"/>
      <c r="B442" s="1371">
        <f>AK381</f>
        <v>0</v>
      </c>
      <c r="C442" s="1372"/>
      <c r="D442" s="1372"/>
      <c r="E442" s="1372"/>
      <c r="F442" s="1372"/>
      <c r="G442" s="1372"/>
      <c r="H442" s="1372"/>
      <c r="I442" s="1372"/>
      <c r="J442" s="1372"/>
      <c r="K442" s="1372"/>
      <c r="L442" s="1372"/>
      <c r="M442" s="1372"/>
      <c r="N442" s="1372"/>
      <c r="O442" s="1372"/>
      <c r="P442" s="1373"/>
      <c r="Q442" s="1228" t="str">
        <f t="shared" si="4"/>
        <v>Vehículo</v>
      </c>
      <c r="R442" s="1229"/>
      <c r="S442" s="1229"/>
      <c r="T442" s="1230"/>
      <c r="U442" s="1208" t="s">
        <v>2305</v>
      </c>
      <c r="V442" s="1208"/>
      <c r="W442" s="1208"/>
      <c r="X442" s="1410">
        <f>'Costos Equip y Consul'!E89</f>
        <v>0</v>
      </c>
      <c r="Y442" s="1410"/>
      <c r="Z442" s="1410"/>
      <c r="AA442" s="1208" t="s">
        <v>2305</v>
      </c>
      <c r="AB442" s="1208"/>
      <c r="AC442" s="1208"/>
      <c r="AD442" s="1632">
        <f t="shared" si="3"/>
        <v>0</v>
      </c>
      <c r="AE442" s="1279"/>
      <c r="AF442" s="1280"/>
      <c r="AG442" s="1519">
        <f>'Costos Equip y Consul'!I89</f>
        <v>0</v>
      </c>
      <c r="AH442" s="1519"/>
      <c r="AI442" s="1519"/>
      <c r="AJ442" s="1519"/>
      <c r="AK442" s="1316"/>
      <c r="AL442" s="1316"/>
      <c r="AM442" s="1316"/>
      <c r="AN442" s="1316"/>
      <c r="AO442" s="1316"/>
      <c r="AP442" s="1316"/>
      <c r="AQ442" s="1316"/>
      <c r="AR442" s="1316"/>
      <c r="AS442" s="1316"/>
      <c r="AT442" s="1316"/>
      <c r="AU442" s="1316"/>
      <c r="AV442" s="1316"/>
      <c r="AW442" s="1316"/>
      <c r="AX442" s="1316"/>
      <c r="AY442" s="1316"/>
      <c r="AZ442" s="1316"/>
    </row>
    <row r="443" spans="1:54" s="291" customFormat="1" ht="27" customHeight="1">
      <c r="A443" s="294"/>
      <c r="B443" s="1371">
        <f t="shared" si="2"/>
        <v>0</v>
      </c>
      <c r="C443" s="1372"/>
      <c r="D443" s="1372"/>
      <c r="E443" s="1372"/>
      <c r="F443" s="1372"/>
      <c r="G443" s="1372"/>
      <c r="H443" s="1372"/>
      <c r="I443" s="1372"/>
      <c r="J443" s="1372"/>
      <c r="K443" s="1372"/>
      <c r="L443" s="1372"/>
      <c r="M443" s="1372"/>
      <c r="N443" s="1372"/>
      <c r="O443" s="1372"/>
      <c r="P443" s="1373"/>
      <c r="Q443" s="1228" t="str">
        <f t="shared" si="4"/>
        <v>Vehículo</v>
      </c>
      <c r="R443" s="1229"/>
      <c r="S443" s="1229"/>
      <c r="T443" s="1230"/>
      <c r="U443" s="1208" t="s">
        <v>2305</v>
      </c>
      <c r="V443" s="1208"/>
      <c r="W443" s="1208"/>
      <c r="X443" s="1410">
        <f>'Costos Equip y Consul'!E97</f>
        <v>0</v>
      </c>
      <c r="Y443" s="1410"/>
      <c r="Z443" s="1410"/>
      <c r="AA443" s="1208" t="s">
        <v>2305</v>
      </c>
      <c r="AB443" s="1208"/>
      <c r="AC443" s="1208"/>
      <c r="AD443" s="1514">
        <f>X443</f>
        <v>0</v>
      </c>
      <c r="AE443" s="1515"/>
      <c r="AF443" s="1516"/>
      <c r="AG443" s="1519">
        <f>'Costos Equip y Consul'!I97</f>
        <v>0</v>
      </c>
      <c r="AH443" s="1519"/>
      <c r="AI443" s="1519"/>
      <c r="AJ443" s="1519"/>
      <c r="AK443" s="1316"/>
      <c r="AL443" s="1316"/>
      <c r="AM443" s="1316"/>
      <c r="AN443" s="1316"/>
      <c r="AO443" s="1316"/>
      <c r="AP443" s="1316"/>
      <c r="AQ443" s="1316"/>
      <c r="AR443" s="1316"/>
      <c r="AS443" s="1316"/>
      <c r="AT443" s="1316"/>
      <c r="AU443" s="1316"/>
      <c r="AV443" s="1316"/>
      <c r="AW443" s="1316"/>
      <c r="AX443" s="1316"/>
      <c r="AY443" s="1316"/>
      <c r="AZ443" s="1316"/>
    </row>
    <row r="444" spans="1:54" s="291" customFormat="1" ht="30.75" customHeight="1">
      <c r="A444" s="294"/>
      <c r="B444" s="1325" t="str">
        <f>C383</f>
        <v>Adecuada valorización de los residuos sólidos</v>
      </c>
      <c r="C444" s="1326"/>
      <c r="D444" s="1326"/>
      <c r="E444" s="1326"/>
      <c r="F444" s="1326"/>
      <c r="G444" s="1326"/>
      <c r="H444" s="1326"/>
      <c r="I444" s="1326"/>
      <c r="J444" s="1326"/>
      <c r="K444" s="1326"/>
      <c r="L444" s="1326"/>
      <c r="M444" s="1326"/>
      <c r="N444" s="1326"/>
      <c r="O444" s="1326"/>
      <c r="P444" s="1326"/>
      <c r="Q444" s="1326"/>
      <c r="R444" s="1326"/>
      <c r="S444" s="1326"/>
      <c r="T444" s="1326"/>
      <c r="U444" s="1326"/>
      <c r="V444" s="1326"/>
      <c r="W444" s="1326"/>
      <c r="X444" s="1326"/>
      <c r="Y444" s="1326"/>
      <c r="Z444" s="1326"/>
      <c r="AA444" s="1326"/>
      <c r="AB444" s="1326"/>
      <c r="AC444" s="1326"/>
      <c r="AD444" s="1326"/>
      <c r="AE444" s="1326"/>
      <c r="AF444" s="1326"/>
      <c r="AG444" s="1326"/>
      <c r="AH444" s="1326"/>
      <c r="AI444" s="1326"/>
      <c r="AJ444" s="1326"/>
      <c r="AK444" s="1326"/>
      <c r="AL444" s="1326"/>
      <c r="AM444" s="1326"/>
      <c r="AN444" s="1326"/>
      <c r="AO444" s="1326"/>
      <c r="AP444" s="1326"/>
      <c r="AQ444" s="1326"/>
      <c r="AR444" s="1326"/>
      <c r="AS444" s="1326"/>
      <c r="AT444" s="1326"/>
      <c r="AU444" s="1326"/>
      <c r="AV444" s="1326"/>
      <c r="AW444" s="1326"/>
      <c r="AX444" s="1326"/>
      <c r="AY444" s="1326"/>
      <c r="AZ444" s="1327"/>
    </row>
    <row r="445" spans="1:54" s="291" customFormat="1" ht="30.75" customHeight="1">
      <c r="A445" s="294"/>
      <c r="B445" s="1371">
        <f>AK383</f>
        <v>0</v>
      </c>
      <c r="C445" s="1372"/>
      <c r="D445" s="1372"/>
      <c r="E445" s="1372"/>
      <c r="F445" s="1372"/>
      <c r="G445" s="1372"/>
      <c r="H445" s="1372"/>
      <c r="I445" s="1372"/>
      <c r="J445" s="1372"/>
      <c r="K445" s="1372"/>
      <c r="L445" s="1372"/>
      <c r="M445" s="1372"/>
      <c r="N445" s="1372"/>
      <c r="O445" s="1372"/>
      <c r="P445" s="1373"/>
      <c r="Q445" s="1228" t="str">
        <f>Y383</f>
        <v>Infraestructura</v>
      </c>
      <c r="R445" s="1229"/>
      <c r="S445" s="1229"/>
      <c r="T445" s="1230"/>
      <c r="U445" s="1577" t="s">
        <v>2307</v>
      </c>
      <c r="V445" s="1515"/>
      <c r="W445" s="1516"/>
      <c r="X445" s="1645"/>
      <c r="Y445" s="1645"/>
      <c r="Z445" s="1645"/>
      <c r="AA445" s="1577" t="str">
        <f>BASE!D306</f>
        <v>m2</v>
      </c>
      <c r="AB445" s="1515"/>
      <c r="AC445" s="1516"/>
      <c r="AD445" s="1644"/>
      <c r="AE445" s="1641"/>
      <c r="AF445" s="1642"/>
      <c r="AG445" s="1636">
        <f>'Costos Equip y Consul'!C356</f>
        <v>0</v>
      </c>
      <c r="AH445" s="1636"/>
      <c r="AI445" s="1636"/>
      <c r="AJ445" s="1636"/>
      <c r="AK445" s="1316"/>
      <c r="AL445" s="1316"/>
      <c r="AM445" s="1316"/>
      <c r="AN445" s="1316"/>
      <c r="AO445" s="1316"/>
      <c r="AP445" s="1316"/>
      <c r="AQ445" s="1316"/>
      <c r="AR445" s="1316"/>
      <c r="AS445" s="1316"/>
      <c r="AT445" s="1316"/>
      <c r="AU445" s="1316"/>
      <c r="AV445" s="1316"/>
      <c r="AW445" s="1316"/>
      <c r="AX445" s="1316"/>
      <c r="AY445" s="1316"/>
      <c r="AZ445" s="1316"/>
    </row>
    <row r="446" spans="1:54" s="291" customFormat="1" ht="40.5" customHeight="1">
      <c r="A446" s="294"/>
      <c r="B446" s="1371">
        <f t="shared" ref="B446:B454" si="5">AK384</f>
        <v>0</v>
      </c>
      <c r="C446" s="1372"/>
      <c r="D446" s="1372"/>
      <c r="E446" s="1372"/>
      <c r="F446" s="1372"/>
      <c r="G446" s="1372"/>
      <c r="H446" s="1372"/>
      <c r="I446" s="1372"/>
      <c r="J446" s="1372"/>
      <c r="K446" s="1372"/>
      <c r="L446" s="1372"/>
      <c r="M446" s="1372"/>
      <c r="N446" s="1372"/>
      <c r="O446" s="1372"/>
      <c r="P446" s="1373"/>
      <c r="Q446" s="1228" t="str">
        <f t="shared" ref="Q446:Q454" si="6">Y384</f>
        <v>Equipamiento</v>
      </c>
      <c r="R446" s="1229"/>
      <c r="S446" s="1229"/>
      <c r="T446" s="1230"/>
      <c r="U446" s="1208" t="s">
        <v>2232</v>
      </c>
      <c r="V446" s="1208"/>
      <c r="W446" s="1208"/>
      <c r="X446" s="1410">
        <f>'Costos Equip y Consul'!F150</f>
        <v>0</v>
      </c>
      <c r="Y446" s="1410"/>
      <c r="Z446" s="1410"/>
      <c r="AA446" s="1278" t="str">
        <f>+AA431</f>
        <v>Unidades de equipamiento</v>
      </c>
      <c r="AB446" s="1279"/>
      <c r="AC446" s="1280"/>
      <c r="AD446" s="1632">
        <f>+X446</f>
        <v>0</v>
      </c>
      <c r="AE446" s="1279"/>
      <c r="AF446" s="1280"/>
      <c r="AG446" s="1519">
        <f>'Costos Equip y Consul'!I155</f>
        <v>0</v>
      </c>
      <c r="AH446" s="1519"/>
      <c r="AI446" s="1519"/>
      <c r="AJ446" s="1519"/>
      <c r="AK446" s="1316"/>
      <c r="AL446" s="1316"/>
      <c r="AM446" s="1316"/>
      <c r="AN446" s="1316"/>
      <c r="AO446" s="1316"/>
      <c r="AP446" s="1316"/>
      <c r="AQ446" s="1316"/>
      <c r="AR446" s="1316"/>
      <c r="AS446" s="1316"/>
      <c r="AT446" s="1316"/>
      <c r="AU446" s="1316"/>
      <c r="AV446" s="1316"/>
      <c r="AW446" s="1316"/>
      <c r="AX446" s="1316"/>
      <c r="AY446" s="1316"/>
      <c r="AZ446" s="1316"/>
    </row>
    <row r="447" spans="1:54" s="291" customFormat="1" ht="40.5" customHeight="1">
      <c r="A447" s="294"/>
      <c r="B447" s="1371">
        <f t="shared" si="5"/>
        <v>0</v>
      </c>
      <c r="C447" s="1372"/>
      <c r="D447" s="1372"/>
      <c r="E447" s="1372"/>
      <c r="F447" s="1372"/>
      <c r="G447" s="1372"/>
      <c r="H447" s="1372"/>
      <c r="I447" s="1372"/>
      <c r="J447" s="1372"/>
      <c r="K447" s="1372"/>
      <c r="L447" s="1372"/>
      <c r="M447" s="1372"/>
      <c r="N447" s="1372"/>
      <c r="O447" s="1372"/>
      <c r="P447" s="1373"/>
      <c r="Q447" s="1228" t="str">
        <f t="shared" si="6"/>
        <v>Equipamiento</v>
      </c>
      <c r="R447" s="1229"/>
      <c r="S447" s="1229"/>
      <c r="T447" s="1230"/>
      <c r="U447" s="1208" t="s">
        <v>2231</v>
      </c>
      <c r="V447" s="1208"/>
      <c r="W447" s="1208"/>
      <c r="X447" s="1410">
        <f>'Costos Equip y Consul'!E142</f>
        <v>0</v>
      </c>
      <c r="Y447" s="1410"/>
      <c r="Z447" s="1410"/>
      <c r="AA447" s="1278" t="str">
        <f>AA446</f>
        <v>Unidades de equipamiento</v>
      </c>
      <c r="AB447" s="1279"/>
      <c r="AC447" s="1280"/>
      <c r="AD447" s="1632">
        <f>+X447</f>
        <v>0</v>
      </c>
      <c r="AE447" s="1279"/>
      <c r="AF447" s="1280"/>
      <c r="AG447" s="1519">
        <f>'Costos Equip y Consul'!I142</f>
        <v>0</v>
      </c>
      <c r="AH447" s="1519"/>
      <c r="AI447" s="1519"/>
      <c r="AJ447" s="1519"/>
      <c r="AK447" s="1316"/>
      <c r="AL447" s="1316"/>
      <c r="AM447" s="1316"/>
      <c r="AN447" s="1316"/>
      <c r="AO447" s="1316"/>
      <c r="AP447" s="1316"/>
      <c r="AQ447" s="1316"/>
      <c r="AR447" s="1316"/>
      <c r="AS447" s="1316"/>
      <c r="AT447" s="1316"/>
      <c r="AU447" s="1316"/>
      <c r="AV447" s="1316"/>
      <c r="AW447" s="1316"/>
      <c r="AX447" s="1316"/>
      <c r="AY447" s="1316"/>
      <c r="AZ447" s="1316"/>
    </row>
    <row r="448" spans="1:54" s="291" customFormat="1" ht="40.5" customHeight="1">
      <c r="A448" s="294"/>
      <c r="B448" s="1225">
        <f t="shared" si="5"/>
        <v>0</v>
      </c>
      <c r="C448" s="1225"/>
      <c r="D448" s="1225"/>
      <c r="E448" s="1225"/>
      <c r="F448" s="1225"/>
      <c r="G448" s="1225"/>
      <c r="H448" s="1225"/>
      <c r="I448" s="1225"/>
      <c r="J448" s="1225"/>
      <c r="K448" s="1225"/>
      <c r="L448" s="1225"/>
      <c r="M448" s="1225"/>
      <c r="N448" s="1225"/>
      <c r="O448" s="1225"/>
      <c r="P448" s="1225"/>
      <c r="Q448" s="1379" t="str">
        <f t="shared" si="6"/>
        <v>Equipamiento</v>
      </c>
      <c r="R448" s="1379"/>
      <c r="S448" s="1379"/>
      <c r="T448" s="1379"/>
      <c r="U448" s="1208" t="s">
        <v>2232</v>
      </c>
      <c r="V448" s="1208"/>
      <c r="W448" s="1208"/>
      <c r="X448" s="1410">
        <f>'Costos Equip y Consul'!E148</f>
        <v>0</v>
      </c>
      <c r="Y448" s="1410"/>
      <c r="Z448" s="1410"/>
      <c r="AA448" s="1257" t="str">
        <f>+AA447</f>
        <v>Unidades de equipamiento</v>
      </c>
      <c r="AB448" s="1257"/>
      <c r="AC448" s="1257"/>
      <c r="AD448" s="1628">
        <f>+X448</f>
        <v>0</v>
      </c>
      <c r="AE448" s="1257"/>
      <c r="AF448" s="1257"/>
      <c r="AG448" s="1519">
        <f>'Costos Equip y Consul'!I148</f>
        <v>0</v>
      </c>
      <c r="AH448" s="1519"/>
      <c r="AI448" s="1519"/>
      <c r="AJ448" s="1519"/>
      <c r="AK448" s="1316"/>
      <c r="AL448" s="1316"/>
      <c r="AM448" s="1316"/>
      <c r="AN448" s="1316"/>
      <c r="AO448" s="1316"/>
      <c r="AP448" s="1316"/>
      <c r="AQ448" s="1316"/>
      <c r="AR448" s="1316"/>
      <c r="AS448" s="1316"/>
      <c r="AT448" s="1316"/>
      <c r="AU448" s="1316"/>
      <c r="AV448" s="1316"/>
      <c r="AW448" s="1316"/>
      <c r="AX448" s="1316"/>
      <c r="AY448" s="1316"/>
      <c r="AZ448" s="1316"/>
    </row>
    <row r="449" spans="1:52" s="291" customFormat="1" ht="27" customHeight="1">
      <c r="A449" s="294"/>
      <c r="B449" s="1371">
        <f t="shared" si="5"/>
        <v>0</v>
      </c>
      <c r="C449" s="1372"/>
      <c r="D449" s="1372"/>
      <c r="E449" s="1372"/>
      <c r="F449" s="1372"/>
      <c r="G449" s="1372"/>
      <c r="H449" s="1372"/>
      <c r="I449" s="1372"/>
      <c r="J449" s="1372"/>
      <c r="K449" s="1372"/>
      <c r="L449" s="1372"/>
      <c r="M449" s="1372"/>
      <c r="N449" s="1372"/>
      <c r="O449" s="1372"/>
      <c r="P449" s="1373"/>
      <c r="Q449" s="1228" t="str">
        <f t="shared" si="6"/>
        <v>Vehículo</v>
      </c>
      <c r="R449" s="1229"/>
      <c r="S449" s="1229"/>
      <c r="T449" s="1230"/>
      <c r="U449" s="1208" t="s">
        <v>2305</v>
      </c>
      <c r="V449" s="1208"/>
      <c r="W449" s="1208"/>
      <c r="X449" s="1410">
        <f>'Costos Equip y Consul'!F157</f>
        <v>0</v>
      </c>
      <c r="Y449" s="1410"/>
      <c r="Z449" s="1410"/>
      <c r="AA449" s="1208" t="s">
        <v>2305</v>
      </c>
      <c r="AB449" s="1208"/>
      <c r="AC449" s="1208"/>
      <c r="AD449" s="1632">
        <f>+X449</f>
        <v>0</v>
      </c>
      <c r="AE449" s="1279"/>
      <c r="AF449" s="1280"/>
      <c r="AG449" s="1519">
        <f>'Costos Equip y Consul'!I170</f>
        <v>0</v>
      </c>
      <c r="AH449" s="1519"/>
      <c r="AI449" s="1519"/>
      <c r="AJ449" s="1519"/>
      <c r="AK449" s="1316"/>
      <c r="AL449" s="1316"/>
      <c r="AM449" s="1316"/>
      <c r="AN449" s="1316"/>
      <c r="AO449" s="1316"/>
      <c r="AP449" s="1316"/>
      <c r="AQ449" s="1316"/>
      <c r="AR449" s="1316"/>
      <c r="AS449" s="1316"/>
      <c r="AT449" s="1316"/>
      <c r="AU449" s="1316"/>
      <c r="AV449" s="1316"/>
      <c r="AW449" s="1316"/>
      <c r="AX449" s="1316"/>
      <c r="AY449" s="1316"/>
      <c r="AZ449" s="1316"/>
    </row>
    <row r="450" spans="1:52" s="291" customFormat="1" ht="36.75" customHeight="1">
      <c r="A450" s="294"/>
      <c r="B450" s="1371">
        <f t="shared" si="5"/>
        <v>0</v>
      </c>
      <c r="C450" s="1372"/>
      <c r="D450" s="1372"/>
      <c r="E450" s="1372"/>
      <c r="F450" s="1372"/>
      <c r="G450" s="1372"/>
      <c r="H450" s="1372"/>
      <c r="I450" s="1372"/>
      <c r="J450" s="1372"/>
      <c r="K450" s="1372"/>
      <c r="L450" s="1372"/>
      <c r="M450" s="1372"/>
      <c r="N450" s="1372"/>
      <c r="O450" s="1372"/>
      <c r="P450" s="1373"/>
      <c r="Q450" s="1228" t="str">
        <f t="shared" si="6"/>
        <v>Infraestructura</v>
      </c>
      <c r="R450" s="1229"/>
      <c r="S450" s="1229"/>
      <c r="T450" s="1230"/>
      <c r="U450" s="1577" t="s">
        <v>2307</v>
      </c>
      <c r="V450" s="1515"/>
      <c r="W450" s="1516"/>
      <c r="X450" s="1645"/>
      <c r="Y450" s="1645"/>
      <c r="Z450" s="1645"/>
      <c r="AA450" s="1577" t="str">
        <f>BASE!D306</f>
        <v>m2</v>
      </c>
      <c r="AB450" s="1515"/>
      <c r="AC450" s="1516"/>
      <c r="AD450" s="1640"/>
      <c r="AE450" s="1641"/>
      <c r="AF450" s="1642"/>
      <c r="AG450" s="1636">
        <f>'Costos Equip y Consul'!C357</f>
        <v>0</v>
      </c>
      <c r="AH450" s="1636"/>
      <c r="AI450" s="1636"/>
      <c r="AJ450" s="1636"/>
      <c r="AK450" s="1316"/>
      <c r="AL450" s="1316"/>
      <c r="AM450" s="1316"/>
      <c r="AN450" s="1316"/>
      <c r="AO450" s="1316"/>
      <c r="AP450" s="1316"/>
      <c r="AQ450" s="1316"/>
      <c r="AR450" s="1316"/>
      <c r="AS450" s="1316"/>
      <c r="AT450" s="1316"/>
      <c r="AU450" s="1316"/>
      <c r="AV450" s="1316"/>
      <c r="AW450" s="1316"/>
      <c r="AX450" s="1316"/>
      <c r="AY450" s="1316"/>
      <c r="AZ450" s="1316"/>
    </row>
    <row r="451" spans="1:52" s="291" customFormat="1" ht="37.5" customHeight="1">
      <c r="A451" s="294"/>
      <c r="B451" s="1371">
        <f t="shared" si="5"/>
        <v>0</v>
      </c>
      <c r="C451" s="1372"/>
      <c r="D451" s="1372"/>
      <c r="E451" s="1372"/>
      <c r="F451" s="1372"/>
      <c r="G451" s="1372"/>
      <c r="H451" s="1372"/>
      <c r="I451" s="1372"/>
      <c r="J451" s="1372"/>
      <c r="K451" s="1372"/>
      <c r="L451" s="1372"/>
      <c r="M451" s="1372"/>
      <c r="N451" s="1372"/>
      <c r="O451" s="1372"/>
      <c r="P451" s="1373"/>
      <c r="Q451" s="1228" t="str">
        <f t="shared" si="6"/>
        <v>Equipamiento</v>
      </c>
      <c r="R451" s="1229"/>
      <c r="S451" s="1229"/>
      <c r="T451" s="1230"/>
      <c r="U451" s="1208" t="s">
        <v>2232</v>
      </c>
      <c r="V451" s="1208"/>
      <c r="W451" s="1208"/>
      <c r="X451" s="1410">
        <f>'Costos Equip y Consul'!F195</f>
        <v>0</v>
      </c>
      <c r="Y451" s="1410"/>
      <c r="Z451" s="1410"/>
      <c r="AA451" s="1278" t="str">
        <f>AA448</f>
        <v>Unidades de equipamiento</v>
      </c>
      <c r="AB451" s="1279"/>
      <c r="AC451" s="1280"/>
      <c r="AD451" s="1632">
        <f>+X451</f>
        <v>0</v>
      </c>
      <c r="AE451" s="1279"/>
      <c r="AF451" s="1280"/>
      <c r="AG451" s="1519">
        <f>'Costos Equip y Consul'!I199</f>
        <v>0</v>
      </c>
      <c r="AH451" s="1519"/>
      <c r="AI451" s="1519"/>
      <c r="AJ451" s="1519"/>
      <c r="AK451" s="1316"/>
      <c r="AL451" s="1316"/>
      <c r="AM451" s="1316"/>
      <c r="AN451" s="1316"/>
      <c r="AO451" s="1316"/>
      <c r="AP451" s="1316"/>
      <c r="AQ451" s="1316"/>
      <c r="AR451" s="1316"/>
      <c r="AS451" s="1316"/>
      <c r="AT451" s="1316"/>
      <c r="AU451" s="1316"/>
      <c r="AV451" s="1316"/>
      <c r="AW451" s="1316"/>
      <c r="AX451" s="1316"/>
      <c r="AY451" s="1316"/>
      <c r="AZ451" s="1316"/>
    </row>
    <row r="452" spans="1:52" s="291" customFormat="1" ht="37.5" customHeight="1">
      <c r="A452" s="294"/>
      <c r="B452" s="1371">
        <f t="shared" si="5"/>
        <v>0</v>
      </c>
      <c r="C452" s="1372"/>
      <c r="D452" s="1372"/>
      <c r="E452" s="1372"/>
      <c r="F452" s="1372"/>
      <c r="G452" s="1372"/>
      <c r="H452" s="1372"/>
      <c r="I452" s="1372"/>
      <c r="J452" s="1372"/>
      <c r="K452" s="1372"/>
      <c r="L452" s="1372"/>
      <c r="M452" s="1372"/>
      <c r="N452" s="1372"/>
      <c r="O452" s="1372"/>
      <c r="P452" s="1373"/>
      <c r="Q452" s="1228" t="str">
        <f t="shared" si="6"/>
        <v>Equipamiento</v>
      </c>
      <c r="R452" s="1229"/>
      <c r="S452" s="1229"/>
      <c r="T452" s="1230"/>
      <c r="U452" s="1208" t="s">
        <v>2231</v>
      </c>
      <c r="V452" s="1208"/>
      <c r="W452" s="1208"/>
      <c r="X452" s="1410">
        <f>'Costos Equip y Consul'!E190</f>
        <v>0</v>
      </c>
      <c r="Y452" s="1410"/>
      <c r="Z452" s="1410"/>
      <c r="AA452" s="1278" t="str">
        <f>AA451</f>
        <v>Unidades de equipamiento</v>
      </c>
      <c r="AB452" s="1279"/>
      <c r="AC452" s="1280"/>
      <c r="AD452" s="1632">
        <f>+X452</f>
        <v>0</v>
      </c>
      <c r="AE452" s="1279"/>
      <c r="AF452" s="1280"/>
      <c r="AG452" s="1519">
        <f>'Costos Equip y Consul'!I190</f>
        <v>0</v>
      </c>
      <c r="AH452" s="1519"/>
      <c r="AI452" s="1519"/>
      <c r="AJ452" s="1519"/>
      <c r="AK452" s="1316"/>
      <c r="AL452" s="1316"/>
      <c r="AM452" s="1316"/>
      <c r="AN452" s="1316"/>
      <c r="AO452" s="1316"/>
      <c r="AP452" s="1316"/>
      <c r="AQ452" s="1316"/>
      <c r="AR452" s="1316"/>
      <c r="AS452" s="1316"/>
      <c r="AT452" s="1316"/>
      <c r="AU452" s="1316"/>
      <c r="AV452" s="1316"/>
      <c r="AW452" s="1316"/>
      <c r="AX452" s="1316"/>
      <c r="AY452" s="1316"/>
      <c r="AZ452" s="1316"/>
    </row>
    <row r="453" spans="1:52" s="291" customFormat="1" ht="37.5" customHeight="1">
      <c r="A453" s="294"/>
      <c r="B453" s="1371">
        <f t="shared" si="5"/>
        <v>0</v>
      </c>
      <c r="C453" s="1372"/>
      <c r="D453" s="1372"/>
      <c r="E453" s="1372"/>
      <c r="F453" s="1372"/>
      <c r="G453" s="1372"/>
      <c r="H453" s="1372"/>
      <c r="I453" s="1372"/>
      <c r="J453" s="1372"/>
      <c r="K453" s="1372"/>
      <c r="L453" s="1372"/>
      <c r="M453" s="1372"/>
      <c r="N453" s="1372"/>
      <c r="O453" s="1372"/>
      <c r="P453" s="1373"/>
      <c r="Q453" s="1228" t="str">
        <f t="shared" si="6"/>
        <v>Equipamiento</v>
      </c>
      <c r="R453" s="1229"/>
      <c r="S453" s="1229"/>
      <c r="T453" s="1230"/>
      <c r="U453" s="1208" t="s">
        <v>2232</v>
      </c>
      <c r="V453" s="1208"/>
      <c r="W453" s="1208"/>
      <c r="X453" s="1410">
        <f>'Costos Equip y Consul'!E193</f>
        <v>0</v>
      </c>
      <c r="Y453" s="1410"/>
      <c r="Z453" s="1410"/>
      <c r="AA453" s="1278" t="str">
        <f>+AA452</f>
        <v>Unidades de equipamiento</v>
      </c>
      <c r="AB453" s="1279"/>
      <c r="AC453" s="1280"/>
      <c r="AD453" s="1632">
        <f>+X453</f>
        <v>0</v>
      </c>
      <c r="AE453" s="1279"/>
      <c r="AF453" s="1280"/>
      <c r="AG453" s="1519">
        <f>'Costos Equip y Consul'!I193</f>
        <v>0</v>
      </c>
      <c r="AH453" s="1519"/>
      <c r="AI453" s="1519"/>
      <c r="AJ453" s="1519"/>
      <c r="AK453" s="1316"/>
      <c r="AL453" s="1316"/>
      <c r="AM453" s="1316"/>
      <c r="AN453" s="1316"/>
      <c r="AO453" s="1316"/>
      <c r="AP453" s="1316"/>
      <c r="AQ453" s="1316"/>
      <c r="AR453" s="1316"/>
      <c r="AS453" s="1316"/>
      <c r="AT453" s="1316"/>
      <c r="AU453" s="1316"/>
      <c r="AV453" s="1316"/>
      <c r="AW453" s="1316"/>
      <c r="AX453" s="1316"/>
      <c r="AY453" s="1316"/>
      <c r="AZ453" s="1316"/>
    </row>
    <row r="454" spans="1:52" s="291" customFormat="1" ht="27.75" customHeight="1">
      <c r="A454" s="294"/>
      <c r="B454" s="1371">
        <f t="shared" si="5"/>
        <v>0</v>
      </c>
      <c r="C454" s="1372"/>
      <c r="D454" s="1372"/>
      <c r="E454" s="1372"/>
      <c r="F454" s="1372"/>
      <c r="G454" s="1372"/>
      <c r="H454" s="1372"/>
      <c r="I454" s="1372"/>
      <c r="J454" s="1372"/>
      <c r="K454" s="1372"/>
      <c r="L454" s="1372"/>
      <c r="M454" s="1372"/>
      <c r="N454" s="1372"/>
      <c r="O454" s="1372"/>
      <c r="P454" s="1373"/>
      <c r="Q454" s="1228" t="str">
        <f t="shared" si="6"/>
        <v>Vehículo</v>
      </c>
      <c r="R454" s="1229"/>
      <c r="S454" s="1229"/>
      <c r="T454" s="1230"/>
      <c r="U454" s="1208" t="s">
        <v>2305</v>
      </c>
      <c r="V454" s="1208"/>
      <c r="W454" s="1208"/>
      <c r="X454" s="1410">
        <f>'Costos Equip y Consul'!F201</f>
        <v>0</v>
      </c>
      <c r="Y454" s="1410"/>
      <c r="Z454" s="1410"/>
      <c r="AA454" s="1208" t="s">
        <v>2305</v>
      </c>
      <c r="AB454" s="1208"/>
      <c r="AC454" s="1208"/>
      <c r="AD454" s="1632">
        <f>+X454</f>
        <v>0</v>
      </c>
      <c r="AE454" s="1279"/>
      <c r="AF454" s="1280"/>
      <c r="AG454" s="1519">
        <f>'Costos Equip y Consul'!I214</f>
        <v>0</v>
      </c>
      <c r="AH454" s="1519"/>
      <c r="AI454" s="1519"/>
      <c r="AJ454" s="1519"/>
      <c r="AK454" s="1316"/>
      <c r="AL454" s="1316"/>
      <c r="AM454" s="1316"/>
      <c r="AN454" s="1316"/>
      <c r="AO454" s="1316"/>
      <c r="AP454" s="1316"/>
      <c r="AQ454" s="1316"/>
      <c r="AR454" s="1316"/>
      <c r="AS454" s="1316"/>
      <c r="AT454" s="1316"/>
      <c r="AU454" s="1316"/>
      <c r="AV454" s="1316"/>
      <c r="AW454" s="1316"/>
      <c r="AX454" s="1316"/>
      <c r="AY454" s="1316"/>
      <c r="AZ454" s="1316"/>
    </row>
    <row r="455" spans="1:52" s="291" customFormat="1" ht="30.75" customHeight="1">
      <c r="A455" s="294"/>
      <c r="B455" s="1325" t="str">
        <f>C393</f>
        <v>Adecuada disposición final de los residuos sólidos</v>
      </c>
      <c r="C455" s="1326"/>
      <c r="D455" s="1326"/>
      <c r="E455" s="1326"/>
      <c r="F455" s="1326"/>
      <c r="G455" s="1326"/>
      <c r="H455" s="1326"/>
      <c r="I455" s="1326"/>
      <c r="J455" s="1326"/>
      <c r="K455" s="1326"/>
      <c r="L455" s="1326"/>
      <c r="M455" s="1326"/>
      <c r="N455" s="1326"/>
      <c r="O455" s="1326"/>
      <c r="P455" s="1326"/>
      <c r="Q455" s="1326"/>
      <c r="R455" s="1326"/>
      <c r="S455" s="1326"/>
      <c r="T455" s="1326"/>
      <c r="U455" s="1326"/>
      <c r="V455" s="1326"/>
      <c r="W455" s="1326"/>
      <c r="X455" s="1326"/>
      <c r="Y455" s="1326"/>
      <c r="Z455" s="1326"/>
      <c r="AA455" s="1326"/>
      <c r="AB455" s="1326"/>
      <c r="AC455" s="1326"/>
      <c r="AD455" s="1326"/>
      <c r="AE455" s="1326"/>
      <c r="AF455" s="1326"/>
      <c r="AG455" s="1326"/>
      <c r="AH455" s="1326"/>
      <c r="AI455" s="1326"/>
      <c r="AJ455" s="1326"/>
      <c r="AK455" s="1326"/>
      <c r="AL455" s="1326"/>
      <c r="AM455" s="1326"/>
      <c r="AN455" s="1326"/>
      <c r="AO455" s="1326"/>
      <c r="AP455" s="1326"/>
      <c r="AQ455" s="1326"/>
      <c r="AR455" s="1326"/>
      <c r="AS455" s="1326"/>
      <c r="AT455" s="1326"/>
      <c r="AU455" s="1326"/>
      <c r="AV455" s="1326"/>
      <c r="AW455" s="1326"/>
      <c r="AX455" s="1326"/>
      <c r="AY455" s="1326"/>
      <c r="AZ455" s="1327"/>
    </row>
    <row r="456" spans="1:52" s="291" customFormat="1" ht="35.25" customHeight="1">
      <c r="A456" s="294"/>
      <c r="B456" s="1371">
        <f t="shared" ref="B456:B461" si="7">AK393</f>
        <v>0</v>
      </c>
      <c r="C456" s="1372"/>
      <c r="D456" s="1372"/>
      <c r="E456" s="1372"/>
      <c r="F456" s="1372"/>
      <c r="G456" s="1372"/>
      <c r="H456" s="1372"/>
      <c r="I456" s="1372"/>
      <c r="J456" s="1372"/>
      <c r="K456" s="1372"/>
      <c r="L456" s="1372"/>
      <c r="M456" s="1372"/>
      <c r="N456" s="1372"/>
      <c r="O456" s="1372"/>
      <c r="P456" s="1373"/>
      <c r="Q456" s="1228" t="str">
        <f t="shared" ref="Q456:Q461" si="8">Y393</f>
        <v>Infraestructura</v>
      </c>
      <c r="R456" s="1229"/>
      <c r="S456" s="1229"/>
      <c r="T456" s="1230"/>
      <c r="U456" s="1577" t="s">
        <v>2307</v>
      </c>
      <c r="V456" s="1515"/>
      <c r="W456" s="1516"/>
      <c r="X456" s="1645"/>
      <c r="Y456" s="1645"/>
      <c r="Z456" s="1645"/>
      <c r="AA456" s="1577" t="str">
        <f>AA450</f>
        <v>m2</v>
      </c>
      <c r="AB456" s="1515"/>
      <c r="AC456" s="1516"/>
      <c r="AD456" s="1640"/>
      <c r="AE456" s="1641"/>
      <c r="AF456" s="1642"/>
      <c r="AG456" s="1636">
        <f>'Costos Equip y Consul'!C358</f>
        <v>0</v>
      </c>
      <c r="AH456" s="1636"/>
      <c r="AI456" s="1636"/>
      <c r="AJ456" s="1636"/>
      <c r="AK456" s="1316"/>
      <c r="AL456" s="1316"/>
      <c r="AM456" s="1316"/>
      <c r="AN456" s="1316"/>
      <c r="AO456" s="1316"/>
      <c r="AP456" s="1316"/>
      <c r="AQ456" s="1316"/>
      <c r="AR456" s="1316"/>
      <c r="AS456" s="1316"/>
      <c r="AT456" s="1316"/>
      <c r="AU456" s="1316"/>
      <c r="AV456" s="1316"/>
      <c r="AW456" s="1316"/>
      <c r="AX456" s="1316"/>
      <c r="AY456" s="1316"/>
      <c r="AZ456" s="1316"/>
    </row>
    <row r="457" spans="1:52" s="291" customFormat="1" ht="36.75" customHeight="1">
      <c r="A457" s="294"/>
      <c r="B457" s="1371">
        <f t="shared" si="7"/>
        <v>0</v>
      </c>
      <c r="C457" s="1372"/>
      <c r="D457" s="1372"/>
      <c r="E457" s="1372"/>
      <c r="F457" s="1372"/>
      <c r="G457" s="1372"/>
      <c r="H457" s="1372"/>
      <c r="I457" s="1372"/>
      <c r="J457" s="1372"/>
      <c r="K457" s="1372"/>
      <c r="L457" s="1372"/>
      <c r="M457" s="1372"/>
      <c r="N457" s="1372"/>
      <c r="O457" s="1372"/>
      <c r="P457" s="1373"/>
      <c r="Q457" s="1228" t="str">
        <f t="shared" si="8"/>
        <v>Equipamiento</v>
      </c>
      <c r="R457" s="1229"/>
      <c r="S457" s="1229"/>
      <c r="T457" s="1230"/>
      <c r="U457" s="1208" t="s">
        <v>2232</v>
      </c>
      <c r="V457" s="1208"/>
      <c r="W457" s="1208"/>
      <c r="X457" s="1410">
        <f>'Costos Equip y Consul'!F272</f>
        <v>0</v>
      </c>
      <c r="Y457" s="1410"/>
      <c r="Z457" s="1410"/>
      <c r="AA457" s="1577" t="str">
        <f>AA453</f>
        <v>Unidades de equipamiento</v>
      </c>
      <c r="AB457" s="1515"/>
      <c r="AC457" s="1516"/>
      <c r="AD457" s="1632">
        <f>+X457</f>
        <v>0</v>
      </c>
      <c r="AE457" s="1279"/>
      <c r="AF457" s="1280"/>
      <c r="AG457" s="1519">
        <f>'Costos Equip y Consul'!I272</f>
        <v>0</v>
      </c>
      <c r="AH457" s="1519"/>
      <c r="AI457" s="1519"/>
      <c r="AJ457" s="1519"/>
      <c r="AK457" s="1316"/>
      <c r="AL457" s="1316"/>
      <c r="AM457" s="1316"/>
      <c r="AN457" s="1316"/>
      <c r="AO457" s="1316"/>
      <c r="AP457" s="1316"/>
      <c r="AQ457" s="1316"/>
      <c r="AR457" s="1316"/>
      <c r="AS457" s="1316"/>
      <c r="AT457" s="1316"/>
      <c r="AU457" s="1316"/>
      <c r="AV457" s="1316"/>
      <c r="AW457" s="1316"/>
      <c r="AX457" s="1316"/>
      <c r="AY457" s="1316"/>
      <c r="AZ457" s="1316"/>
    </row>
    <row r="458" spans="1:52" s="291" customFormat="1" ht="36.75" customHeight="1">
      <c r="A458" s="294"/>
      <c r="B458" s="1371">
        <f t="shared" si="7"/>
        <v>0</v>
      </c>
      <c r="C458" s="1372"/>
      <c r="D458" s="1372"/>
      <c r="E458" s="1372"/>
      <c r="F458" s="1372"/>
      <c r="G458" s="1372"/>
      <c r="H458" s="1372"/>
      <c r="I458" s="1372"/>
      <c r="J458" s="1372"/>
      <c r="K458" s="1372"/>
      <c r="L458" s="1372"/>
      <c r="M458" s="1372"/>
      <c r="N458" s="1372"/>
      <c r="O458" s="1372"/>
      <c r="P458" s="1373"/>
      <c r="Q458" s="1228" t="str">
        <f t="shared" si="8"/>
        <v>Equipamiento</v>
      </c>
      <c r="R458" s="1229"/>
      <c r="S458" s="1229"/>
      <c r="T458" s="1230"/>
      <c r="U458" s="1208" t="s">
        <v>2231</v>
      </c>
      <c r="V458" s="1208"/>
      <c r="W458" s="1208"/>
      <c r="X458" s="1410">
        <f>'Costos Equip y Consul'!E237</f>
        <v>0</v>
      </c>
      <c r="Y458" s="1410"/>
      <c r="Z458" s="1410"/>
      <c r="AA458" s="1577" t="str">
        <f>AA457</f>
        <v>Unidades de equipamiento</v>
      </c>
      <c r="AB458" s="1515"/>
      <c r="AC458" s="1516"/>
      <c r="AD458" s="1632">
        <f>+X458</f>
        <v>0</v>
      </c>
      <c r="AE458" s="1279"/>
      <c r="AF458" s="1280"/>
      <c r="AG458" s="1519">
        <f>'Costos Equip y Consul'!I237</f>
        <v>0</v>
      </c>
      <c r="AH458" s="1519"/>
      <c r="AI458" s="1519"/>
      <c r="AJ458" s="1519"/>
      <c r="AK458" s="1316"/>
      <c r="AL458" s="1316"/>
      <c r="AM458" s="1316"/>
      <c r="AN458" s="1316"/>
      <c r="AO458" s="1316"/>
      <c r="AP458" s="1316"/>
      <c r="AQ458" s="1316"/>
      <c r="AR458" s="1316"/>
      <c r="AS458" s="1316"/>
      <c r="AT458" s="1316"/>
      <c r="AU458" s="1316"/>
      <c r="AV458" s="1316"/>
      <c r="AW458" s="1316"/>
      <c r="AX458" s="1316"/>
      <c r="AY458" s="1316"/>
      <c r="AZ458" s="1316"/>
    </row>
    <row r="459" spans="1:52" s="291" customFormat="1" ht="36.75" customHeight="1">
      <c r="A459" s="294"/>
      <c r="B459" s="1371">
        <f t="shared" si="7"/>
        <v>0</v>
      </c>
      <c r="C459" s="1372"/>
      <c r="D459" s="1372"/>
      <c r="E459" s="1372"/>
      <c r="F459" s="1372"/>
      <c r="G459" s="1372"/>
      <c r="H459" s="1372"/>
      <c r="I459" s="1372"/>
      <c r="J459" s="1372"/>
      <c r="K459" s="1372"/>
      <c r="L459" s="1372"/>
      <c r="M459" s="1372"/>
      <c r="N459" s="1372"/>
      <c r="O459" s="1372"/>
      <c r="P459" s="1373"/>
      <c r="Q459" s="1228" t="str">
        <f t="shared" si="8"/>
        <v>Equipamiento</v>
      </c>
      <c r="R459" s="1229"/>
      <c r="S459" s="1229"/>
      <c r="T459" s="1230"/>
      <c r="U459" s="1208" t="s">
        <v>2232</v>
      </c>
      <c r="V459" s="1208"/>
      <c r="W459" s="1208"/>
      <c r="X459" s="1410">
        <f>'Costos Equip y Consul'!E249</f>
        <v>0</v>
      </c>
      <c r="Y459" s="1410"/>
      <c r="Z459" s="1410"/>
      <c r="AA459" s="1577" t="str">
        <f>+AA458</f>
        <v>Unidades de equipamiento</v>
      </c>
      <c r="AB459" s="1515"/>
      <c r="AC459" s="1516"/>
      <c r="AD459" s="1632">
        <f>+X459</f>
        <v>0</v>
      </c>
      <c r="AE459" s="1279"/>
      <c r="AF459" s="1280"/>
      <c r="AG459" s="1519">
        <f>'Costos Equip y Consul'!I249</f>
        <v>0</v>
      </c>
      <c r="AH459" s="1519"/>
      <c r="AI459" s="1519"/>
      <c r="AJ459" s="1519"/>
      <c r="AK459" s="1316"/>
      <c r="AL459" s="1316"/>
      <c r="AM459" s="1316"/>
      <c r="AN459" s="1316"/>
      <c r="AO459" s="1316"/>
      <c r="AP459" s="1316"/>
      <c r="AQ459" s="1316"/>
      <c r="AR459" s="1316"/>
      <c r="AS459" s="1316"/>
      <c r="AT459" s="1316"/>
      <c r="AU459" s="1316"/>
      <c r="AV459" s="1316"/>
      <c r="AW459" s="1316"/>
      <c r="AX459" s="1316"/>
      <c r="AY459" s="1316"/>
      <c r="AZ459" s="1316"/>
    </row>
    <row r="460" spans="1:52" s="291" customFormat="1" ht="36.75" customHeight="1">
      <c r="A460" s="294"/>
      <c r="B460" s="1371">
        <f t="shared" si="7"/>
        <v>0</v>
      </c>
      <c r="C460" s="1372"/>
      <c r="D460" s="1372"/>
      <c r="E460" s="1372"/>
      <c r="F460" s="1372"/>
      <c r="G460" s="1372"/>
      <c r="H460" s="1372"/>
      <c r="I460" s="1372"/>
      <c r="J460" s="1372"/>
      <c r="K460" s="1372"/>
      <c r="L460" s="1372"/>
      <c r="M460" s="1372"/>
      <c r="N460" s="1372"/>
      <c r="O460" s="1372"/>
      <c r="P460" s="1373"/>
      <c r="Q460" s="1228" t="str">
        <f t="shared" si="8"/>
        <v>Mobiliario</v>
      </c>
      <c r="R460" s="1229"/>
      <c r="S460" s="1229"/>
      <c r="T460" s="1230"/>
      <c r="U460" s="1208" t="s">
        <v>2308</v>
      </c>
      <c r="V460" s="1208"/>
      <c r="W460" s="1208"/>
      <c r="X460" s="1628">
        <f>'Costos Equip y Consul'!F314</f>
        <v>0</v>
      </c>
      <c r="Y460" s="1628"/>
      <c r="Z460" s="1628"/>
      <c r="AA460" s="1187" t="s">
        <v>2609</v>
      </c>
      <c r="AB460" s="1188"/>
      <c r="AC460" s="1210"/>
      <c r="AD460" s="1632">
        <f>+X460</f>
        <v>0</v>
      </c>
      <c r="AE460" s="1279"/>
      <c r="AF460" s="1280"/>
      <c r="AG460" s="1519">
        <f>'Costos Equip y Consul'!I320</f>
        <v>0</v>
      </c>
      <c r="AH460" s="1519"/>
      <c r="AI460" s="1519"/>
      <c r="AJ460" s="1519"/>
      <c r="AK460" s="1316"/>
      <c r="AL460" s="1316"/>
      <c r="AM460" s="1316"/>
      <c r="AN460" s="1316"/>
      <c r="AO460" s="1316"/>
      <c r="AP460" s="1316"/>
      <c r="AQ460" s="1316"/>
      <c r="AR460" s="1316"/>
      <c r="AS460" s="1316"/>
      <c r="AT460" s="1316"/>
      <c r="AU460" s="1316"/>
      <c r="AV460" s="1316"/>
      <c r="AW460" s="1316"/>
      <c r="AX460" s="1316"/>
      <c r="AY460" s="1316"/>
      <c r="AZ460" s="1316"/>
    </row>
    <row r="461" spans="1:52" s="291" customFormat="1" ht="36.75" customHeight="1">
      <c r="A461" s="294"/>
      <c r="B461" s="1371">
        <f t="shared" si="7"/>
        <v>0</v>
      </c>
      <c r="C461" s="1372"/>
      <c r="D461" s="1372"/>
      <c r="E461" s="1372"/>
      <c r="F461" s="1372"/>
      <c r="G461" s="1372"/>
      <c r="H461" s="1372"/>
      <c r="I461" s="1372"/>
      <c r="J461" s="1372"/>
      <c r="K461" s="1372"/>
      <c r="L461" s="1372"/>
      <c r="M461" s="1372"/>
      <c r="N461" s="1372"/>
      <c r="O461" s="1372"/>
      <c r="P461" s="1373"/>
      <c r="Q461" s="1228" t="str">
        <f t="shared" si="8"/>
        <v>Vehículo</v>
      </c>
      <c r="R461" s="1229"/>
      <c r="S461" s="1229"/>
      <c r="T461" s="1230"/>
      <c r="U461" s="1208" t="s">
        <v>2305</v>
      </c>
      <c r="V461" s="1208"/>
      <c r="W461" s="1208"/>
      <c r="X461" s="1410">
        <f>'Costos Equip y Consul'!F312</f>
        <v>0</v>
      </c>
      <c r="Y461" s="1410"/>
      <c r="Z461" s="1410"/>
      <c r="AA461" s="1208" t="s">
        <v>2305</v>
      </c>
      <c r="AB461" s="1208"/>
      <c r="AC461" s="1208"/>
      <c r="AD461" s="1632">
        <f>+X461</f>
        <v>0</v>
      </c>
      <c r="AE461" s="1279"/>
      <c r="AF461" s="1280"/>
      <c r="AG461" s="1519">
        <f>'Costos Equip y Consul'!I312</f>
        <v>0</v>
      </c>
      <c r="AH461" s="1519"/>
      <c r="AI461" s="1519"/>
      <c r="AJ461" s="1519"/>
      <c r="AK461" s="1316"/>
      <c r="AL461" s="1316"/>
      <c r="AM461" s="1316"/>
      <c r="AN461" s="1316"/>
      <c r="AO461" s="1316"/>
      <c r="AP461" s="1316"/>
      <c r="AQ461" s="1316"/>
      <c r="AR461" s="1316"/>
      <c r="AS461" s="1316"/>
      <c r="AT461" s="1316"/>
      <c r="AU461" s="1316"/>
      <c r="AV461" s="1316"/>
      <c r="AW461" s="1316"/>
      <c r="AX461" s="1316"/>
      <c r="AY461" s="1316"/>
      <c r="AZ461" s="1316"/>
    </row>
    <row r="462" spans="1:52" s="291" customFormat="1" ht="30.75" customHeight="1">
      <c r="A462" s="294"/>
      <c r="B462" s="1325" t="str">
        <f>C399</f>
        <v>Eficiente gestión técnica, administrativa, económica y financiera del servicio de limpieza pública</v>
      </c>
      <c r="C462" s="1326"/>
      <c r="D462" s="1326"/>
      <c r="E462" s="1326"/>
      <c r="F462" s="1326"/>
      <c r="G462" s="1326"/>
      <c r="H462" s="1326"/>
      <c r="I462" s="1326"/>
      <c r="J462" s="1326"/>
      <c r="K462" s="1326"/>
      <c r="L462" s="1326"/>
      <c r="M462" s="1326"/>
      <c r="N462" s="1326"/>
      <c r="O462" s="1326"/>
      <c r="P462" s="1326"/>
      <c r="Q462" s="1326"/>
      <c r="R462" s="1326"/>
      <c r="S462" s="1326"/>
      <c r="T462" s="1326"/>
      <c r="U462" s="1326"/>
      <c r="V462" s="1326"/>
      <c r="W462" s="1326"/>
      <c r="X462" s="1326"/>
      <c r="Y462" s="1326"/>
      <c r="Z462" s="1326"/>
      <c r="AA462" s="1326"/>
      <c r="AB462" s="1326"/>
      <c r="AC462" s="1326"/>
      <c r="AD462" s="1326"/>
      <c r="AE462" s="1326"/>
      <c r="AF462" s="1326"/>
      <c r="AG462" s="1326"/>
      <c r="AH462" s="1326"/>
      <c r="AI462" s="1326"/>
      <c r="AJ462" s="1326"/>
      <c r="AK462" s="1326"/>
      <c r="AL462" s="1326"/>
      <c r="AM462" s="1326"/>
      <c r="AN462" s="1326"/>
      <c r="AO462" s="1326"/>
      <c r="AP462" s="1326"/>
      <c r="AQ462" s="1326"/>
      <c r="AR462" s="1326"/>
      <c r="AS462" s="1326"/>
      <c r="AT462" s="1326"/>
      <c r="AU462" s="1326"/>
      <c r="AV462" s="1326"/>
      <c r="AW462" s="1326"/>
      <c r="AX462" s="1326"/>
      <c r="AY462" s="1326"/>
      <c r="AZ462" s="1327"/>
    </row>
    <row r="463" spans="1:52" s="291" customFormat="1" ht="25.5" customHeight="1">
      <c r="A463" s="294"/>
      <c r="B463" s="1371">
        <f t="shared" ref="B463:B475" si="9">AK399</f>
        <v>0</v>
      </c>
      <c r="C463" s="1372"/>
      <c r="D463" s="1372"/>
      <c r="E463" s="1372"/>
      <c r="F463" s="1372"/>
      <c r="G463" s="1372"/>
      <c r="H463" s="1372"/>
      <c r="I463" s="1372"/>
      <c r="J463" s="1372"/>
      <c r="K463" s="1372"/>
      <c r="L463" s="1372"/>
      <c r="M463" s="1372"/>
      <c r="N463" s="1372"/>
      <c r="O463" s="1372"/>
      <c r="P463" s="1373"/>
      <c r="Q463" s="1228" t="str">
        <f>Y399</f>
        <v>Intangibles</v>
      </c>
      <c r="R463" s="1229"/>
      <c r="S463" s="1229"/>
      <c r="T463" s="1230"/>
      <c r="U463" s="1208" t="s">
        <v>396</v>
      </c>
      <c r="V463" s="1208"/>
      <c r="W463" s="1208"/>
      <c r="X463" s="1410">
        <f>'Costos Equip y Consul'!E326</f>
        <v>0</v>
      </c>
      <c r="Y463" s="1410"/>
      <c r="Z463" s="1410"/>
      <c r="AA463" s="1278" t="str">
        <f>U463</f>
        <v>Documento</v>
      </c>
      <c r="AB463" s="1279"/>
      <c r="AC463" s="1280"/>
      <c r="AD463" s="1514">
        <f>X463</f>
        <v>0</v>
      </c>
      <c r="AE463" s="1515"/>
      <c r="AF463" s="1516"/>
      <c r="AG463" s="1519">
        <f>'Costos Equip y Consul'!I326</f>
        <v>0</v>
      </c>
      <c r="AH463" s="1519"/>
      <c r="AI463" s="1519"/>
      <c r="AJ463" s="1519"/>
      <c r="AK463" s="1316"/>
      <c r="AL463" s="1316"/>
      <c r="AM463" s="1316"/>
      <c r="AN463" s="1316"/>
      <c r="AO463" s="1316"/>
      <c r="AP463" s="1316"/>
      <c r="AQ463" s="1316"/>
      <c r="AR463" s="1316"/>
      <c r="AS463" s="1316"/>
      <c r="AT463" s="1316"/>
      <c r="AU463" s="1316"/>
      <c r="AV463" s="1316"/>
      <c r="AW463" s="1316"/>
      <c r="AX463" s="1316"/>
      <c r="AY463" s="1316"/>
      <c r="AZ463" s="1316"/>
    </row>
    <row r="464" spans="1:52" s="291" customFormat="1" ht="25.5" customHeight="1">
      <c r="A464" s="294"/>
      <c r="B464" s="1371">
        <f t="shared" si="9"/>
        <v>0</v>
      </c>
      <c r="C464" s="1372"/>
      <c r="D464" s="1372"/>
      <c r="E464" s="1372"/>
      <c r="F464" s="1372"/>
      <c r="G464" s="1372"/>
      <c r="H464" s="1372"/>
      <c r="I464" s="1372"/>
      <c r="J464" s="1372"/>
      <c r="K464" s="1372"/>
      <c r="L464" s="1372"/>
      <c r="M464" s="1372"/>
      <c r="N464" s="1372"/>
      <c r="O464" s="1372"/>
      <c r="P464" s="1373"/>
      <c r="Q464" s="1228" t="str">
        <f t="shared" ref="Q464:Q469" si="10">Y400</f>
        <v>Intangibles</v>
      </c>
      <c r="R464" s="1229"/>
      <c r="S464" s="1229"/>
      <c r="T464" s="1230"/>
      <c r="U464" s="1208" t="s">
        <v>396</v>
      </c>
      <c r="V464" s="1208"/>
      <c r="W464" s="1208"/>
      <c r="X464" s="1410">
        <f>'Costos Equip y Consul'!E327</f>
        <v>0</v>
      </c>
      <c r="Y464" s="1410"/>
      <c r="Z464" s="1410"/>
      <c r="AA464" s="1278" t="str">
        <f t="shared" ref="AA464:AA470" si="11">U464</f>
        <v>Documento</v>
      </c>
      <c r="AB464" s="1279"/>
      <c r="AC464" s="1280"/>
      <c r="AD464" s="1514">
        <f t="shared" ref="AD464:AD471" si="12">X464</f>
        <v>0</v>
      </c>
      <c r="AE464" s="1515"/>
      <c r="AF464" s="1516"/>
      <c r="AG464" s="1519">
        <f>'Costos Equip y Consul'!I327</f>
        <v>0</v>
      </c>
      <c r="AH464" s="1519"/>
      <c r="AI464" s="1519"/>
      <c r="AJ464" s="1519"/>
      <c r="AK464" s="1316"/>
      <c r="AL464" s="1316"/>
      <c r="AM464" s="1316"/>
      <c r="AN464" s="1316"/>
      <c r="AO464" s="1316"/>
      <c r="AP464" s="1316"/>
      <c r="AQ464" s="1316"/>
      <c r="AR464" s="1316"/>
      <c r="AS464" s="1316"/>
      <c r="AT464" s="1316"/>
      <c r="AU464" s="1316"/>
      <c r="AV464" s="1316"/>
      <c r="AW464" s="1316"/>
      <c r="AX464" s="1316"/>
      <c r="AY464" s="1316"/>
      <c r="AZ464" s="1316"/>
    </row>
    <row r="465" spans="1:52" s="291" customFormat="1" ht="25.5" customHeight="1">
      <c r="A465" s="294"/>
      <c r="B465" s="1371">
        <f t="shared" si="9"/>
        <v>0</v>
      </c>
      <c r="C465" s="1372"/>
      <c r="D465" s="1372"/>
      <c r="E465" s="1372"/>
      <c r="F465" s="1372"/>
      <c r="G465" s="1372"/>
      <c r="H465" s="1372"/>
      <c r="I465" s="1372"/>
      <c r="J465" s="1372"/>
      <c r="K465" s="1372"/>
      <c r="L465" s="1372"/>
      <c r="M465" s="1372"/>
      <c r="N465" s="1372"/>
      <c r="O465" s="1372"/>
      <c r="P465" s="1373"/>
      <c r="Q465" s="1228" t="str">
        <f t="shared" si="10"/>
        <v>Intangibles</v>
      </c>
      <c r="R465" s="1229"/>
      <c r="S465" s="1229"/>
      <c r="T465" s="1230"/>
      <c r="U465" s="1208" t="s">
        <v>396</v>
      </c>
      <c r="V465" s="1208"/>
      <c r="W465" s="1208"/>
      <c r="X465" s="1410">
        <f>'Costos Equip y Consul'!E328</f>
        <v>0</v>
      </c>
      <c r="Y465" s="1410"/>
      <c r="Z465" s="1410"/>
      <c r="AA465" s="1278" t="str">
        <f t="shared" si="11"/>
        <v>Documento</v>
      </c>
      <c r="AB465" s="1279"/>
      <c r="AC465" s="1280"/>
      <c r="AD465" s="1514">
        <f t="shared" si="12"/>
        <v>0</v>
      </c>
      <c r="AE465" s="1515"/>
      <c r="AF465" s="1516"/>
      <c r="AG465" s="1519">
        <f>'Costos Equip y Consul'!I328</f>
        <v>0</v>
      </c>
      <c r="AH465" s="1519"/>
      <c r="AI465" s="1519"/>
      <c r="AJ465" s="1519"/>
      <c r="AK465" s="1316"/>
      <c r="AL465" s="1316"/>
      <c r="AM465" s="1316"/>
      <c r="AN465" s="1316"/>
      <c r="AO465" s="1316"/>
      <c r="AP465" s="1316"/>
      <c r="AQ465" s="1316"/>
      <c r="AR465" s="1316"/>
      <c r="AS465" s="1316"/>
      <c r="AT465" s="1316"/>
      <c r="AU465" s="1316"/>
      <c r="AV465" s="1316"/>
      <c r="AW465" s="1316"/>
      <c r="AX465" s="1316"/>
      <c r="AY465" s="1316"/>
      <c r="AZ465" s="1316"/>
    </row>
    <row r="466" spans="1:52" s="291" customFormat="1" ht="25.5" customHeight="1">
      <c r="A466" s="294"/>
      <c r="B466" s="1371">
        <f t="shared" si="9"/>
        <v>0</v>
      </c>
      <c r="C466" s="1372"/>
      <c r="D466" s="1372"/>
      <c r="E466" s="1372"/>
      <c r="F466" s="1372"/>
      <c r="G466" s="1372"/>
      <c r="H466" s="1372"/>
      <c r="I466" s="1372"/>
      <c r="J466" s="1372"/>
      <c r="K466" s="1372"/>
      <c r="L466" s="1372"/>
      <c r="M466" s="1372"/>
      <c r="N466" s="1372"/>
      <c r="O466" s="1372"/>
      <c r="P466" s="1373"/>
      <c r="Q466" s="1228" t="str">
        <f t="shared" si="10"/>
        <v>Intangibles</v>
      </c>
      <c r="R466" s="1229"/>
      <c r="S466" s="1229"/>
      <c r="T466" s="1230"/>
      <c r="U466" s="1208" t="s">
        <v>396</v>
      </c>
      <c r="V466" s="1208"/>
      <c r="W466" s="1208"/>
      <c r="X466" s="1410">
        <f>'Costos Equip y Consul'!E329</f>
        <v>0</v>
      </c>
      <c r="Y466" s="1410"/>
      <c r="Z466" s="1410"/>
      <c r="AA466" s="1278" t="str">
        <f t="shared" si="11"/>
        <v>Documento</v>
      </c>
      <c r="AB466" s="1279"/>
      <c r="AC466" s="1280"/>
      <c r="AD466" s="1514">
        <f t="shared" si="12"/>
        <v>0</v>
      </c>
      <c r="AE466" s="1515"/>
      <c r="AF466" s="1516"/>
      <c r="AG466" s="1519">
        <f>'Costos Equip y Consul'!I329</f>
        <v>0</v>
      </c>
      <c r="AH466" s="1519"/>
      <c r="AI466" s="1519"/>
      <c r="AJ466" s="1519"/>
      <c r="AK466" s="1316"/>
      <c r="AL466" s="1316"/>
      <c r="AM466" s="1316"/>
      <c r="AN466" s="1316"/>
      <c r="AO466" s="1316"/>
      <c r="AP466" s="1316"/>
      <c r="AQ466" s="1316"/>
      <c r="AR466" s="1316"/>
      <c r="AS466" s="1316"/>
      <c r="AT466" s="1316"/>
      <c r="AU466" s="1316"/>
      <c r="AV466" s="1316"/>
      <c r="AW466" s="1316"/>
      <c r="AX466" s="1316"/>
      <c r="AY466" s="1316"/>
      <c r="AZ466" s="1316"/>
    </row>
    <row r="467" spans="1:52" s="291" customFormat="1" ht="25.5" customHeight="1">
      <c r="A467" s="294"/>
      <c r="B467" s="1371">
        <f t="shared" si="9"/>
        <v>0</v>
      </c>
      <c r="C467" s="1372"/>
      <c r="D467" s="1372"/>
      <c r="E467" s="1372"/>
      <c r="F467" s="1372"/>
      <c r="G467" s="1372"/>
      <c r="H467" s="1372"/>
      <c r="I467" s="1372"/>
      <c r="J467" s="1372"/>
      <c r="K467" s="1372"/>
      <c r="L467" s="1372"/>
      <c r="M467" s="1372"/>
      <c r="N467" s="1372"/>
      <c r="O467" s="1372"/>
      <c r="P467" s="1373"/>
      <c r="Q467" s="1228" t="str">
        <f t="shared" si="10"/>
        <v>Intangibles</v>
      </c>
      <c r="R467" s="1229"/>
      <c r="S467" s="1229"/>
      <c r="T467" s="1230"/>
      <c r="U467" s="1208" t="s">
        <v>396</v>
      </c>
      <c r="V467" s="1208"/>
      <c r="W467" s="1208"/>
      <c r="X467" s="1410">
        <f>'Costos Equip y Consul'!E330</f>
        <v>0</v>
      </c>
      <c r="Y467" s="1410"/>
      <c r="Z467" s="1410"/>
      <c r="AA467" s="1278" t="str">
        <f t="shared" si="11"/>
        <v>Documento</v>
      </c>
      <c r="AB467" s="1279"/>
      <c r="AC467" s="1280"/>
      <c r="AD467" s="1514">
        <f t="shared" si="12"/>
        <v>0</v>
      </c>
      <c r="AE467" s="1515"/>
      <c r="AF467" s="1516"/>
      <c r="AG467" s="1519">
        <f>'Costos Equip y Consul'!I330</f>
        <v>0</v>
      </c>
      <c r="AH467" s="1519"/>
      <c r="AI467" s="1519"/>
      <c r="AJ467" s="1519"/>
      <c r="AK467" s="1316"/>
      <c r="AL467" s="1316"/>
      <c r="AM467" s="1316"/>
      <c r="AN467" s="1316"/>
      <c r="AO467" s="1316"/>
      <c r="AP467" s="1316"/>
      <c r="AQ467" s="1316"/>
      <c r="AR467" s="1316"/>
      <c r="AS467" s="1316"/>
      <c r="AT467" s="1316"/>
      <c r="AU467" s="1316"/>
      <c r="AV467" s="1316"/>
      <c r="AW467" s="1316"/>
      <c r="AX467" s="1316"/>
      <c r="AY467" s="1316"/>
      <c r="AZ467" s="1316"/>
    </row>
    <row r="468" spans="1:52" s="291" customFormat="1" ht="25.5" customHeight="1">
      <c r="A468" s="294"/>
      <c r="B468" s="1371">
        <f t="shared" si="9"/>
        <v>0</v>
      </c>
      <c r="C468" s="1372"/>
      <c r="D468" s="1372"/>
      <c r="E468" s="1372"/>
      <c r="F468" s="1372"/>
      <c r="G468" s="1372"/>
      <c r="H468" s="1372"/>
      <c r="I468" s="1372"/>
      <c r="J468" s="1372"/>
      <c r="K468" s="1372"/>
      <c r="L468" s="1372"/>
      <c r="M468" s="1372"/>
      <c r="N468" s="1372"/>
      <c r="O468" s="1372"/>
      <c r="P468" s="1373"/>
      <c r="Q468" s="1228" t="str">
        <f t="shared" si="10"/>
        <v>Intangibles</v>
      </c>
      <c r="R468" s="1229"/>
      <c r="S468" s="1229"/>
      <c r="T468" s="1230"/>
      <c r="U468" s="1208" t="s">
        <v>396</v>
      </c>
      <c r="V468" s="1208"/>
      <c r="W468" s="1208"/>
      <c r="X468" s="1410">
        <f>'Costos Equip y Consul'!E331</f>
        <v>0</v>
      </c>
      <c r="Y468" s="1410"/>
      <c r="Z468" s="1410"/>
      <c r="AA468" s="1278" t="str">
        <f t="shared" si="11"/>
        <v>Documento</v>
      </c>
      <c r="AB468" s="1279"/>
      <c r="AC468" s="1280"/>
      <c r="AD468" s="1514">
        <f t="shared" si="12"/>
        <v>0</v>
      </c>
      <c r="AE468" s="1515"/>
      <c r="AF468" s="1516"/>
      <c r="AG468" s="1519">
        <f>'Costos Equip y Consul'!I331</f>
        <v>0</v>
      </c>
      <c r="AH468" s="1519"/>
      <c r="AI468" s="1519"/>
      <c r="AJ468" s="1519"/>
      <c r="AK468" s="1316"/>
      <c r="AL468" s="1316"/>
      <c r="AM468" s="1316"/>
      <c r="AN468" s="1316"/>
      <c r="AO468" s="1316"/>
      <c r="AP468" s="1316"/>
      <c r="AQ468" s="1316"/>
      <c r="AR468" s="1316"/>
      <c r="AS468" s="1316"/>
      <c r="AT468" s="1316"/>
      <c r="AU468" s="1316"/>
      <c r="AV468" s="1316"/>
      <c r="AW468" s="1316"/>
      <c r="AX468" s="1316"/>
      <c r="AY468" s="1316"/>
      <c r="AZ468" s="1316"/>
    </row>
    <row r="469" spans="1:52" s="291" customFormat="1" ht="25.5" customHeight="1">
      <c r="A469" s="294"/>
      <c r="B469" s="1371">
        <f t="shared" si="9"/>
        <v>0</v>
      </c>
      <c r="C469" s="1372"/>
      <c r="D469" s="1372"/>
      <c r="E469" s="1372"/>
      <c r="F469" s="1372"/>
      <c r="G469" s="1372"/>
      <c r="H469" s="1372"/>
      <c r="I469" s="1372"/>
      <c r="J469" s="1372"/>
      <c r="K469" s="1372"/>
      <c r="L469" s="1372"/>
      <c r="M469" s="1372"/>
      <c r="N469" s="1372"/>
      <c r="O469" s="1372"/>
      <c r="P469" s="1373"/>
      <c r="Q469" s="1228" t="str">
        <f t="shared" si="10"/>
        <v>Intangibles</v>
      </c>
      <c r="R469" s="1229"/>
      <c r="S469" s="1229"/>
      <c r="T469" s="1230"/>
      <c r="U469" s="1208" t="s">
        <v>396</v>
      </c>
      <c r="V469" s="1208"/>
      <c r="W469" s="1208"/>
      <c r="X469" s="1410">
        <f>'Costos Equip y Consul'!E332</f>
        <v>0</v>
      </c>
      <c r="Y469" s="1410"/>
      <c r="Z469" s="1410"/>
      <c r="AA469" s="1278" t="str">
        <f t="shared" si="11"/>
        <v>Documento</v>
      </c>
      <c r="AB469" s="1279"/>
      <c r="AC469" s="1280"/>
      <c r="AD469" s="1514">
        <f t="shared" si="12"/>
        <v>0</v>
      </c>
      <c r="AE469" s="1515"/>
      <c r="AF469" s="1516"/>
      <c r="AG469" s="1519">
        <f>'Costos Equip y Consul'!I332</f>
        <v>0</v>
      </c>
      <c r="AH469" s="1519"/>
      <c r="AI469" s="1519"/>
      <c r="AJ469" s="1519"/>
      <c r="AK469" s="1316"/>
      <c r="AL469" s="1316"/>
      <c r="AM469" s="1316"/>
      <c r="AN469" s="1316"/>
      <c r="AO469" s="1316"/>
      <c r="AP469" s="1316"/>
      <c r="AQ469" s="1316"/>
      <c r="AR469" s="1316"/>
      <c r="AS469" s="1316"/>
      <c r="AT469" s="1316"/>
      <c r="AU469" s="1316"/>
      <c r="AV469" s="1316"/>
      <c r="AW469" s="1316"/>
      <c r="AX469" s="1316"/>
      <c r="AY469" s="1316"/>
      <c r="AZ469" s="1316"/>
    </row>
    <row r="470" spans="1:52" s="291" customFormat="1" ht="25.5" customHeight="1">
      <c r="A470" s="294"/>
      <c r="B470" s="1371">
        <f t="shared" si="9"/>
        <v>0</v>
      </c>
      <c r="C470" s="1372"/>
      <c r="D470" s="1372"/>
      <c r="E470" s="1372"/>
      <c r="F470" s="1372"/>
      <c r="G470" s="1372"/>
      <c r="H470" s="1372"/>
      <c r="I470" s="1372"/>
      <c r="J470" s="1372"/>
      <c r="K470" s="1372"/>
      <c r="L470" s="1372"/>
      <c r="M470" s="1372"/>
      <c r="N470" s="1372"/>
      <c r="O470" s="1372"/>
      <c r="P470" s="1373"/>
      <c r="Q470" s="1228" t="str">
        <f t="shared" ref="Q470:Q476" si="13">Y406</f>
        <v>Intangibles</v>
      </c>
      <c r="R470" s="1229"/>
      <c r="S470" s="1229"/>
      <c r="T470" s="1230"/>
      <c r="U470" s="1208" t="s">
        <v>396</v>
      </c>
      <c r="V470" s="1208"/>
      <c r="W470" s="1208"/>
      <c r="X470" s="1410">
        <f>'Costos Equip y Consul'!E333</f>
        <v>0</v>
      </c>
      <c r="Y470" s="1410"/>
      <c r="Z470" s="1410"/>
      <c r="AA470" s="1278" t="str">
        <f t="shared" si="11"/>
        <v>Documento</v>
      </c>
      <c r="AB470" s="1279"/>
      <c r="AC470" s="1280"/>
      <c r="AD470" s="1514">
        <f t="shared" si="12"/>
        <v>0</v>
      </c>
      <c r="AE470" s="1515"/>
      <c r="AF470" s="1516"/>
      <c r="AG470" s="1519">
        <f>'Costos Equip y Consul'!I333</f>
        <v>0</v>
      </c>
      <c r="AH470" s="1519"/>
      <c r="AI470" s="1519"/>
      <c r="AJ470" s="1519"/>
      <c r="AK470" s="1316"/>
      <c r="AL470" s="1316"/>
      <c r="AM470" s="1316"/>
      <c r="AN470" s="1316"/>
      <c r="AO470" s="1316"/>
      <c r="AP470" s="1316"/>
      <c r="AQ470" s="1316"/>
      <c r="AR470" s="1316"/>
      <c r="AS470" s="1316"/>
      <c r="AT470" s="1316"/>
      <c r="AU470" s="1316"/>
      <c r="AV470" s="1316"/>
      <c r="AW470" s="1316"/>
      <c r="AX470" s="1316"/>
      <c r="AY470" s="1316"/>
      <c r="AZ470" s="1316"/>
    </row>
    <row r="471" spans="1:52" s="291" customFormat="1" ht="35.25" customHeight="1">
      <c r="A471" s="294"/>
      <c r="B471" s="1371">
        <f t="shared" si="9"/>
        <v>0</v>
      </c>
      <c r="C471" s="1372"/>
      <c r="D471" s="1372"/>
      <c r="E471" s="1372"/>
      <c r="F471" s="1372"/>
      <c r="G471" s="1372"/>
      <c r="H471" s="1372"/>
      <c r="I471" s="1372"/>
      <c r="J471" s="1372"/>
      <c r="K471" s="1372"/>
      <c r="L471" s="1372"/>
      <c r="M471" s="1372"/>
      <c r="N471" s="1372"/>
      <c r="O471" s="1372"/>
      <c r="P471" s="1373"/>
      <c r="Q471" s="1228" t="str">
        <f t="shared" si="13"/>
        <v>Equipamiento</v>
      </c>
      <c r="R471" s="1229"/>
      <c r="S471" s="1229"/>
      <c r="T471" s="1230"/>
      <c r="U471" s="1208" t="s">
        <v>2232</v>
      </c>
      <c r="V471" s="1208"/>
      <c r="W471" s="1208"/>
      <c r="X471" s="1410">
        <f>'Costos Equip y Consul'!E334</f>
        <v>0</v>
      </c>
      <c r="Y471" s="1410"/>
      <c r="Z471" s="1410"/>
      <c r="AA471" s="1183" t="s">
        <v>2602</v>
      </c>
      <c r="AB471" s="1184"/>
      <c r="AC471" s="1245"/>
      <c r="AD471" s="1514">
        <f t="shared" si="12"/>
        <v>0</v>
      </c>
      <c r="AE471" s="1515"/>
      <c r="AF471" s="1516"/>
      <c r="AG471" s="1519">
        <f>'Costos Equip y Consul'!I334</f>
        <v>0</v>
      </c>
      <c r="AH471" s="1519"/>
      <c r="AI471" s="1519"/>
      <c r="AJ471" s="1519"/>
      <c r="AK471" s="1316"/>
      <c r="AL471" s="1316"/>
      <c r="AM471" s="1316"/>
      <c r="AN471" s="1316"/>
      <c r="AO471" s="1316"/>
      <c r="AP471" s="1316"/>
      <c r="AQ471" s="1316"/>
      <c r="AR471" s="1316"/>
      <c r="AS471" s="1316"/>
      <c r="AT471" s="1316"/>
      <c r="AU471" s="1316"/>
      <c r="AV471" s="1316"/>
      <c r="AW471" s="1316"/>
      <c r="AX471" s="1316"/>
      <c r="AY471" s="1316"/>
      <c r="AZ471" s="1316"/>
    </row>
    <row r="472" spans="1:52" s="291" customFormat="1" ht="36.75" customHeight="1">
      <c r="A472" s="294"/>
      <c r="B472" s="1371">
        <f t="shared" si="9"/>
        <v>0</v>
      </c>
      <c r="C472" s="1372"/>
      <c r="D472" s="1372"/>
      <c r="E472" s="1372"/>
      <c r="F472" s="1372"/>
      <c r="G472" s="1372"/>
      <c r="H472" s="1372"/>
      <c r="I472" s="1372"/>
      <c r="J472" s="1372"/>
      <c r="K472" s="1372"/>
      <c r="L472" s="1372"/>
      <c r="M472" s="1372"/>
      <c r="N472" s="1372"/>
      <c r="O472" s="1372"/>
      <c r="P472" s="1373"/>
      <c r="Q472" s="1228" t="str">
        <f t="shared" si="13"/>
        <v>Equipamiento</v>
      </c>
      <c r="R472" s="1229"/>
      <c r="S472" s="1229"/>
      <c r="T472" s="1230"/>
      <c r="U472" s="1208" t="s">
        <v>2231</v>
      </c>
      <c r="V472" s="1208"/>
      <c r="W472" s="1208"/>
      <c r="X472" s="1410">
        <f>'Costos Equip y Consul'!E335</f>
        <v>0</v>
      </c>
      <c r="Y472" s="1410"/>
      <c r="Z472" s="1410"/>
      <c r="AA472" s="1278" t="str">
        <f>+AA471</f>
        <v>Unidades de equipamiento</v>
      </c>
      <c r="AB472" s="1279"/>
      <c r="AC472" s="1280"/>
      <c r="AD472" s="1514">
        <f>X472</f>
        <v>0</v>
      </c>
      <c r="AE472" s="1515"/>
      <c r="AF472" s="1516"/>
      <c r="AG472" s="1519">
        <f>'Costos Equip y Consul'!I335</f>
        <v>0</v>
      </c>
      <c r="AH472" s="1519"/>
      <c r="AI472" s="1519"/>
      <c r="AJ472" s="1519"/>
      <c r="AK472" s="1316"/>
      <c r="AL472" s="1316"/>
      <c r="AM472" s="1316"/>
      <c r="AN472" s="1316"/>
      <c r="AO472" s="1316"/>
      <c r="AP472" s="1316"/>
      <c r="AQ472" s="1316"/>
      <c r="AR472" s="1316"/>
      <c r="AS472" s="1316"/>
      <c r="AT472" s="1316"/>
      <c r="AU472" s="1316"/>
      <c r="AV472" s="1316"/>
      <c r="AW472" s="1316"/>
      <c r="AX472" s="1316"/>
      <c r="AY472" s="1316"/>
      <c r="AZ472" s="1316"/>
    </row>
    <row r="473" spans="1:52" s="291" customFormat="1" ht="23.25" customHeight="1">
      <c r="A473" s="294"/>
      <c r="B473" s="1371">
        <f t="shared" si="9"/>
        <v>0</v>
      </c>
      <c r="C473" s="1372"/>
      <c r="D473" s="1372"/>
      <c r="E473" s="1372"/>
      <c r="F473" s="1372"/>
      <c r="G473" s="1372"/>
      <c r="H473" s="1372"/>
      <c r="I473" s="1372"/>
      <c r="J473" s="1372"/>
      <c r="K473" s="1372"/>
      <c r="L473" s="1372"/>
      <c r="M473" s="1372"/>
      <c r="N473" s="1372"/>
      <c r="O473" s="1372"/>
      <c r="P473" s="1373"/>
      <c r="Q473" s="1228" t="str">
        <f t="shared" si="13"/>
        <v>Vehículo</v>
      </c>
      <c r="R473" s="1229"/>
      <c r="S473" s="1229"/>
      <c r="T473" s="1230"/>
      <c r="U473" s="1208" t="s">
        <v>2305</v>
      </c>
      <c r="V473" s="1208"/>
      <c r="W473" s="1208"/>
      <c r="X473" s="1410">
        <f>'Costos Equip y Consul'!E336</f>
        <v>0</v>
      </c>
      <c r="Y473" s="1410"/>
      <c r="Z473" s="1410"/>
      <c r="AA473" s="1208" t="s">
        <v>2305</v>
      </c>
      <c r="AB473" s="1208"/>
      <c r="AC473" s="1208"/>
      <c r="AD473" s="1514">
        <f>X473</f>
        <v>0</v>
      </c>
      <c r="AE473" s="1515"/>
      <c r="AF473" s="1516"/>
      <c r="AG473" s="1519">
        <f>'Costos Equip y Consul'!I336</f>
        <v>0</v>
      </c>
      <c r="AH473" s="1519"/>
      <c r="AI473" s="1519"/>
      <c r="AJ473" s="1519"/>
      <c r="AK473" s="1316"/>
      <c r="AL473" s="1316"/>
      <c r="AM473" s="1316"/>
      <c r="AN473" s="1316"/>
      <c r="AO473" s="1316"/>
      <c r="AP473" s="1316"/>
      <c r="AQ473" s="1316"/>
      <c r="AR473" s="1316"/>
      <c r="AS473" s="1316"/>
      <c r="AT473" s="1316"/>
      <c r="AU473" s="1316"/>
      <c r="AV473" s="1316"/>
      <c r="AW473" s="1316"/>
      <c r="AX473" s="1316"/>
      <c r="AY473" s="1316"/>
      <c r="AZ473" s="1316"/>
    </row>
    <row r="474" spans="1:52" s="291" customFormat="1" ht="23.25" customHeight="1">
      <c r="A474" s="294"/>
      <c r="B474" s="1225">
        <f t="shared" si="9"/>
        <v>0</v>
      </c>
      <c r="C474" s="1225"/>
      <c r="D474" s="1225"/>
      <c r="E474" s="1225"/>
      <c r="F474" s="1225"/>
      <c r="G474" s="1225"/>
      <c r="H474" s="1225"/>
      <c r="I474" s="1225"/>
      <c r="J474" s="1225"/>
      <c r="K474" s="1225"/>
      <c r="L474" s="1225"/>
      <c r="M474" s="1225"/>
      <c r="N474" s="1225"/>
      <c r="O474" s="1225"/>
      <c r="P474" s="1225"/>
      <c r="Q474" s="1379" t="str">
        <f t="shared" si="13"/>
        <v>Intangibles</v>
      </c>
      <c r="R474" s="1379"/>
      <c r="S474" s="1379"/>
      <c r="T474" s="1379"/>
      <c r="U474" s="1208" t="s">
        <v>396</v>
      </c>
      <c r="V474" s="1208"/>
      <c r="W474" s="1208"/>
      <c r="X474" s="1410">
        <f>'Costos Equip y Consul'!E337</f>
        <v>0</v>
      </c>
      <c r="Y474" s="1410"/>
      <c r="Z474" s="1410"/>
      <c r="AA474" s="1257" t="str">
        <f>U474</f>
        <v>Documento</v>
      </c>
      <c r="AB474" s="1257"/>
      <c r="AC474" s="1257"/>
      <c r="AD474" s="1410">
        <f>X474</f>
        <v>0</v>
      </c>
      <c r="AE474" s="1208"/>
      <c r="AF474" s="1208"/>
      <c r="AG474" s="1519">
        <f>'Costos Equip y Consul'!I337</f>
        <v>0</v>
      </c>
      <c r="AH474" s="1519"/>
      <c r="AI474" s="1519"/>
      <c r="AJ474" s="1519"/>
      <c r="AK474" s="1316"/>
      <c r="AL474" s="1316"/>
      <c r="AM474" s="1316"/>
      <c r="AN474" s="1316"/>
      <c r="AO474" s="1316"/>
      <c r="AP474" s="1316"/>
      <c r="AQ474" s="1316"/>
      <c r="AR474" s="1316"/>
      <c r="AS474" s="1316"/>
      <c r="AT474" s="1316"/>
      <c r="AU474" s="1316"/>
      <c r="AV474" s="1316"/>
      <c r="AW474" s="1316"/>
      <c r="AX474" s="1316"/>
      <c r="AY474" s="1316"/>
      <c r="AZ474" s="1316"/>
    </row>
    <row r="475" spans="1:52" s="291" customFormat="1" ht="23.25" customHeight="1">
      <c r="A475" s="294"/>
      <c r="B475" s="1225">
        <f t="shared" si="9"/>
        <v>0</v>
      </c>
      <c r="C475" s="1225"/>
      <c r="D475" s="1225"/>
      <c r="E475" s="1225"/>
      <c r="F475" s="1225"/>
      <c r="G475" s="1225"/>
      <c r="H475" s="1225"/>
      <c r="I475" s="1225"/>
      <c r="J475" s="1225"/>
      <c r="K475" s="1225"/>
      <c r="L475" s="1225"/>
      <c r="M475" s="1225"/>
      <c r="N475" s="1225"/>
      <c r="O475" s="1225"/>
      <c r="P475" s="1225"/>
      <c r="Q475" s="1379" t="str">
        <f t="shared" si="13"/>
        <v>Intangibles</v>
      </c>
      <c r="R475" s="1379"/>
      <c r="S475" s="1379"/>
      <c r="T475" s="1379"/>
      <c r="U475" s="1208" t="s">
        <v>396</v>
      </c>
      <c r="V475" s="1208"/>
      <c r="W475" s="1208"/>
      <c r="X475" s="1410">
        <f>'Costos Equip y Consul'!E338</f>
        <v>0</v>
      </c>
      <c r="Y475" s="1410"/>
      <c r="Z475" s="1410"/>
      <c r="AA475" s="1257" t="str">
        <f>U475</f>
        <v>Documento</v>
      </c>
      <c r="AB475" s="1257"/>
      <c r="AC475" s="1257"/>
      <c r="AD475" s="1410">
        <f>X475</f>
        <v>0</v>
      </c>
      <c r="AE475" s="1208"/>
      <c r="AF475" s="1208"/>
      <c r="AG475" s="1519">
        <f>'Costos Equip y Consul'!I338</f>
        <v>0</v>
      </c>
      <c r="AH475" s="1519"/>
      <c r="AI475" s="1519"/>
      <c r="AJ475" s="1519"/>
      <c r="AK475" s="1316"/>
      <c r="AL475" s="1316"/>
      <c r="AM475" s="1316"/>
      <c r="AN475" s="1316"/>
      <c r="AO475" s="1316"/>
      <c r="AP475" s="1316"/>
      <c r="AQ475" s="1316"/>
      <c r="AR475" s="1316"/>
      <c r="AS475" s="1316"/>
      <c r="AT475" s="1316"/>
      <c r="AU475" s="1316"/>
      <c r="AV475" s="1316"/>
      <c r="AW475" s="1316"/>
      <c r="AX475" s="1316"/>
      <c r="AY475" s="1316"/>
      <c r="AZ475" s="1316"/>
    </row>
    <row r="476" spans="1:52" s="291" customFormat="1" ht="23.25" customHeight="1">
      <c r="A476" s="294"/>
      <c r="B476" s="1225">
        <f>AK412</f>
        <v>0</v>
      </c>
      <c r="C476" s="1225"/>
      <c r="D476" s="1225"/>
      <c r="E476" s="1225"/>
      <c r="F476" s="1225"/>
      <c r="G476" s="1225"/>
      <c r="H476" s="1225"/>
      <c r="I476" s="1225"/>
      <c r="J476" s="1225"/>
      <c r="K476" s="1225"/>
      <c r="L476" s="1225"/>
      <c r="M476" s="1225"/>
      <c r="N476" s="1225"/>
      <c r="O476" s="1225"/>
      <c r="P476" s="1225"/>
      <c r="Q476" s="1379" t="str">
        <f t="shared" si="13"/>
        <v>Intangibles</v>
      </c>
      <c r="R476" s="1379"/>
      <c r="S476" s="1379"/>
      <c r="T476" s="1379"/>
      <c r="U476" s="1208" t="s">
        <v>396</v>
      </c>
      <c r="V476" s="1208"/>
      <c r="W476" s="1208"/>
      <c r="X476" s="1410">
        <f>'Costos Equip y Consul'!E339</f>
        <v>0</v>
      </c>
      <c r="Y476" s="1410"/>
      <c r="Z476" s="1410"/>
      <c r="AA476" s="1257" t="str">
        <f>U476</f>
        <v>Documento</v>
      </c>
      <c r="AB476" s="1257"/>
      <c r="AC476" s="1257"/>
      <c r="AD476" s="1410">
        <f>X476</f>
        <v>0</v>
      </c>
      <c r="AE476" s="1208"/>
      <c r="AF476" s="1208"/>
      <c r="AG476" s="1519">
        <f>'Costos Equip y Consul'!I339</f>
        <v>0</v>
      </c>
      <c r="AH476" s="1519"/>
      <c r="AI476" s="1519"/>
      <c r="AJ476" s="1519"/>
      <c r="AK476" s="1316"/>
      <c r="AL476" s="1316"/>
      <c r="AM476" s="1316"/>
      <c r="AN476" s="1316"/>
      <c r="AO476" s="1316"/>
      <c r="AP476" s="1316"/>
      <c r="AQ476" s="1316"/>
      <c r="AR476" s="1316"/>
      <c r="AS476" s="1316"/>
      <c r="AT476" s="1316"/>
      <c r="AU476" s="1316"/>
      <c r="AV476" s="1316"/>
      <c r="AW476" s="1316"/>
      <c r="AX476" s="1316"/>
      <c r="AY476" s="1316"/>
      <c r="AZ476" s="1316"/>
    </row>
    <row r="477" spans="1:52" s="291" customFormat="1" ht="30.75" customHeight="1">
      <c r="A477" s="294"/>
      <c r="B477" s="1325" t="str">
        <f>C413</f>
        <v>Adecuada educación y cultura ambiental de la población</v>
      </c>
      <c r="C477" s="1326"/>
      <c r="D477" s="1326"/>
      <c r="E477" s="1326"/>
      <c r="F477" s="1326"/>
      <c r="G477" s="1326"/>
      <c r="H477" s="1326"/>
      <c r="I477" s="1326"/>
      <c r="J477" s="1326"/>
      <c r="K477" s="1326"/>
      <c r="L477" s="1326"/>
      <c r="M477" s="1326"/>
      <c r="N477" s="1326"/>
      <c r="O477" s="1326"/>
      <c r="P477" s="1326"/>
      <c r="Q477" s="1326"/>
      <c r="R477" s="1326"/>
      <c r="S477" s="1326"/>
      <c r="T477" s="1326"/>
      <c r="U477" s="1326"/>
      <c r="V477" s="1326"/>
      <c r="W477" s="1326"/>
      <c r="X477" s="1326"/>
      <c r="Y477" s="1326"/>
      <c r="Z477" s="1326"/>
      <c r="AA477" s="1326"/>
      <c r="AB477" s="1326"/>
      <c r="AC477" s="1326"/>
      <c r="AD477" s="1326"/>
      <c r="AE477" s="1326"/>
      <c r="AF477" s="1326"/>
      <c r="AG477" s="1326"/>
      <c r="AH477" s="1326"/>
      <c r="AI477" s="1326"/>
      <c r="AJ477" s="1326"/>
      <c r="AK477" s="1326"/>
      <c r="AL477" s="1326"/>
      <c r="AM477" s="1326"/>
      <c r="AN477" s="1326"/>
      <c r="AO477" s="1326"/>
      <c r="AP477" s="1326"/>
      <c r="AQ477" s="1326"/>
      <c r="AR477" s="1326"/>
      <c r="AS477" s="1326"/>
      <c r="AT477" s="1326"/>
      <c r="AU477" s="1326"/>
      <c r="AV477" s="1326"/>
      <c r="AW477" s="1326"/>
      <c r="AX477" s="1326"/>
      <c r="AY477" s="1326"/>
      <c r="AZ477" s="1327"/>
    </row>
    <row r="478" spans="1:52" s="291" customFormat="1" ht="24.75" customHeight="1">
      <c r="A478" s="294"/>
      <c r="B478" s="1371">
        <f t="shared" ref="B478:B484" si="14">AK413</f>
        <v>0</v>
      </c>
      <c r="C478" s="1372"/>
      <c r="D478" s="1372"/>
      <c r="E478" s="1372"/>
      <c r="F478" s="1372"/>
      <c r="G478" s="1372"/>
      <c r="H478" s="1372"/>
      <c r="I478" s="1372"/>
      <c r="J478" s="1372"/>
      <c r="K478" s="1372"/>
      <c r="L478" s="1372"/>
      <c r="M478" s="1372"/>
      <c r="N478" s="1372"/>
      <c r="O478" s="1372"/>
      <c r="P478" s="1373"/>
      <c r="Q478" s="1228" t="str">
        <f t="shared" ref="Q478:Q484" si="15">Y413</f>
        <v>Intangibles</v>
      </c>
      <c r="R478" s="1229"/>
      <c r="S478" s="1229"/>
      <c r="T478" s="1230"/>
      <c r="U478" s="1208" t="s">
        <v>396</v>
      </c>
      <c r="V478" s="1208"/>
      <c r="W478" s="1208"/>
      <c r="X478" s="1410">
        <f>'Costos Equip y Consul'!E344</f>
        <v>0</v>
      </c>
      <c r="Y478" s="1410"/>
      <c r="Z478" s="1410"/>
      <c r="AA478" s="1278" t="str">
        <f>U478</f>
        <v>Documento</v>
      </c>
      <c r="AB478" s="1279"/>
      <c r="AC478" s="1280"/>
      <c r="AD478" s="1632">
        <f>X478</f>
        <v>0</v>
      </c>
      <c r="AE478" s="1279"/>
      <c r="AF478" s="1280"/>
      <c r="AG478" s="1519">
        <f>'Costos Equip y Consul'!I344</f>
        <v>0</v>
      </c>
      <c r="AH478" s="1519"/>
      <c r="AI478" s="1519"/>
      <c r="AJ478" s="1519"/>
      <c r="AK478" s="1316"/>
      <c r="AL478" s="1316"/>
      <c r="AM478" s="1316"/>
      <c r="AN478" s="1316"/>
      <c r="AO478" s="1316"/>
      <c r="AP478" s="1316"/>
      <c r="AQ478" s="1316"/>
      <c r="AR478" s="1316"/>
      <c r="AS478" s="1316"/>
      <c r="AT478" s="1316"/>
      <c r="AU478" s="1316"/>
      <c r="AV478" s="1316"/>
      <c r="AW478" s="1316"/>
      <c r="AX478" s="1316"/>
      <c r="AY478" s="1316"/>
      <c r="AZ478" s="1316"/>
    </row>
    <row r="479" spans="1:52" s="291" customFormat="1" ht="24.75" customHeight="1">
      <c r="A479" s="294"/>
      <c r="B479" s="1371">
        <f t="shared" si="14"/>
        <v>0</v>
      </c>
      <c r="C479" s="1372"/>
      <c r="D479" s="1372"/>
      <c r="E479" s="1372"/>
      <c r="F479" s="1372"/>
      <c r="G479" s="1372"/>
      <c r="H479" s="1372"/>
      <c r="I479" s="1372"/>
      <c r="J479" s="1372"/>
      <c r="K479" s="1372"/>
      <c r="L479" s="1372"/>
      <c r="M479" s="1372"/>
      <c r="N479" s="1372"/>
      <c r="O479" s="1372"/>
      <c r="P479" s="1373"/>
      <c r="Q479" s="1228" t="str">
        <f t="shared" si="15"/>
        <v>Intangibles</v>
      </c>
      <c r="R479" s="1229"/>
      <c r="S479" s="1229"/>
      <c r="T479" s="1230"/>
      <c r="U479" s="1208" t="s">
        <v>396</v>
      </c>
      <c r="V479" s="1208"/>
      <c r="W479" s="1208"/>
      <c r="X479" s="1410">
        <f>'Costos Equip y Consul'!E345</f>
        <v>0</v>
      </c>
      <c r="Y479" s="1410"/>
      <c r="Z479" s="1410"/>
      <c r="AA479" s="1278" t="str">
        <f t="shared" ref="AA479:AA484" si="16">U479</f>
        <v>Documento</v>
      </c>
      <c r="AB479" s="1279"/>
      <c r="AC479" s="1280"/>
      <c r="AD479" s="1632">
        <f t="shared" ref="AD479:AD484" si="17">X479</f>
        <v>0</v>
      </c>
      <c r="AE479" s="1279"/>
      <c r="AF479" s="1280"/>
      <c r="AG479" s="1519">
        <f>'Costos Equip y Consul'!I345</f>
        <v>0</v>
      </c>
      <c r="AH479" s="1519"/>
      <c r="AI479" s="1519"/>
      <c r="AJ479" s="1519"/>
      <c r="AK479" s="1316"/>
      <c r="AL479" s="1316"/>
      <c r="AM479" s="1316"/>
      <c r="AN479" s="1316"/>
      <c r="AO479" s="1316"/>
      <c r="AP479" s="1316"/>
      <c r="AQ479" s="1316"/>
      <c r="AR479" s="1316"/>
      <c r="AS479" s="1316"/>
      <c r="AT479" s="1316"/>
      <c r="AU479" s="1316"/>
      <c r="AV479" s="1316"/>
      <c r="AW479" s="1316"/>
      <c r="AX479" s="1316"/>
      <c r="AY479" s="1316"/>
      <c r="AZ479" s="1316"/>
    </row>
    <row r="480" spans="1:52" s="291" customFormat="1" ht="24.75" customHeight="1">
      <c r="A480" s="294"/>
      <c r="B480" s="1371">
        <f t="shared" si="14"/>
        <v>0</v>
      </c>
      <c r="C480" s="1372"/>
      <c r="D480" s="1372"/>
      <c r="E480" s="1372"/>
      <c r="F480" s="1372"/>
      <c r="G480" s="1372"/>
      <c r="H480" s="1372"/>
      <c r="I480" s="1372"/>
      <c r="J480" s="1372"/>
      <c r="K480" s="1372"/>
      <c r="L480" s="1372"/>
      <c r="M480" s="1372"/>
      <c r="N480" s="1372"/>
      <c r="O480" s="1372"/>
      <c r="P480" s="1373"/>
      <c r="Q480" s="1228" t="str">
        <f t="shared" si="15"/>
        <v>Intangibles</v>
      </c>
      <c r="R480" s="1229"/>
      <c r="S480" s="1229"/>
      <c r="T480" s="1230"/>
      <c r="U480" s="1208" t="s">
        <v>396</v>
      </c>
      <c r="V480" s="1208"/>
      <c r="W480" s="1208"/>
      <c r="X480" s="1410">
        <f>'Costos Equip y Consul'!E346</f>
        <v>0</v>
      </c>
      <c r="Y480" s="1410"/>
      <c r="Z480" s="1410"/>
      <c r="AA480" s="1278" t="str">
        <f t="shared" si="16"/>
        <v>Documento</v>
      </c>
      <c r="AB480" s="1279"/>
      <c r="AC480" s="1280"/>
      <c r="AD480" s="1632">
        <f t="shared" si="17"/>
        <v>0</v>
      </c>
      <c r="AE480" s="1279"/>
      <c r="AF480" s="1280"/>
      <c r="AG480" s="1519">
        <f>'Costos Equip y Consul'!I346</f>
        <v>0</v>
      </c>
      <c r="AH480" s="1519"/>
      <c r="AI480" s="1519"/>
      <c r="AJ480" s="1519"/>
      <c r="AK480" s="1316"/>
      <c r="AL480" s="1316"/>
      <c r="AM480" s="1316"/>
      <c r="AN480" s="1316"/>
      <c r="AO480" s="1316"/>
      <c r="AP480" s="1316"/>
      <c r="AQ480" s="1316"/>
      <c r="AR480" s="1316"/>
      <c r="AS480" s="1316"/>
      <c r="AT480" s="1316"/>
      <c r="AU480" s="1316"/>
      <c r="AV480" s="1316"/>
      <c r="AW480" s="1316"/>
      <c r="AX480" s="1316"/>
      <c r="AY480" s="1316"/>
      <c r="AZ480" s="1316"/>
    </row>
    <row r="481" spans="1:69" s="291" customFormat="1" ht="24.75" customHeight="1">
      <c r="A481" s="294"/>
      <c r="B481" s="1225">
        <f t="shared" si="14"/>
        <v>0</v>
      </c>
      <c r="C481" s="1225"/>
      <c r="D481" s="1225"/>
      <c r="E481" s="1225"/>
      <c r="F481" s="1225"/>
      <c r="G481" s="1225"/>
      <c r="H481" s="1225"/>
      <c r="I481" s="1225"/>
      <c r="J481" s="1225"/>
      <c r="K481" s="1225"/>
      <c r="L481" s="1225"/>
      <c r="M481" s="1225"/>
      <c r="N481" s="1225"/>
      <c r="O481" s="1225"/>
      <c r="P481" s="1225"/>
      <c r="Q481" s="1379" t="str">
        <f t="shared" si="15"/>
        <v>Intangibles</v>
      </c>
      <c r="R481" s="1379"/>
      <c r="S481" s="1379"/>
      <c r="T481" s="1379"/>
      <c r="U481" s="1208" t="s">
        <v>396</v>
      </c>
      <c r="V481" s="1208"/>
      <c r="W481" s="1208"/>
      <c r="X481" s="1410">
        <f>'Costos Equip y Consul'!E347</f>
        <v>0</v>
      </c>
      <c r="Y481" s="1410"/>
      <c r="Z481" s="1410"/>
      <c r="AA481" s="1278" t="str">
        <f t="shared" si="16"/>
        <v>Documento</v>
      </c>
      <c r="AB481" s="1279"/>
      <c r="AC481" s="1280"/>
      <c r="AD481" s="1632">
        <f t="shared" si="17"/>
        <v>0</v>
      </c>
      <c r="AE481" s="1279"/>
      <c r="AF481" s="1280"/>
      <c r="AG481" s="1519">
        <f>'Costos Equip y Consul'!I347</f>
        <v>0</v>
      </c>
      <c r="AH481" s="1519"/>
      <c r="AI481" s="1519"/>
      <c r="AJ481" s="1519"/>
      <c r="AK481" s="1316"/>
      <c r="AL481" s="1316"/>
      <c r="AM481" s="1316"/>
      <c r="AN481" s="1316"/>
      <c r="AO481" s="1316"/>
      <c r="AP481" s="1316"/>
      <c r="AQ481" s="1316"/>
      <c r="AR481" s="1316"/>
      <c r="AS481" s="1316"/>
      <c r="AT481" s="1316"/>
      <c r="AU481" s="1316"/>
      <c r="AV481" s="1316"/>
      <c r="AW481" s="1316"/>
      <c r="AX481" s="1316"/>
      <c r="AY481" s="1316"/>
      <c r="AZ481" s="1316"/>
    </row>
    <row r="482" spans="1:69" s="291" customFormat="1" ht="24.75" customHeight="1">
      <c r="A482" s="294"/>
      <c r="B482" s="1225">
        <f t="shared" si="14"/>
        <v>0</v>
      </c>
      <c r="C482" s="1225"/>
      <c r="D482" s="1225"/>
      <c r="E482" s="1225"/>
      <c r="F482" s="1225"/>
      <c r="G482" s="1225"/>
      <c r="H482" s="1225"/>
      <c r="I482" s="1225"/>
      <c r="J482" s="1225"/>
      <c r="K482" s="1225"/>
      <c r="L482" s="1225"/>
      <c r="M482" s="1225"/>
      <c r="N482" s="1225"/>
      <c r="O482" s="1225"/>
      <c r="P482" s="1225"/>
      <c r="Q482" s="1379" t="str">
        <f t="shared" si="15"/>
        <v>Intangibles</v>
      </c>
      <c r="R482" s="1379"/>
      <c r="S482" s="1379"/>
      <c r="T482" s="1379"/>
      <c r="U482" s="1208" t="s">
        <v>396</v>
      </c>
      <c r="V482" s="1208"/>
      <c r="W482" s="1208"/>
      <c r="X482" s="1410">
        <f>'Costos Equip y Consul'!E348</f>
        <v>0</v>
      </c>
      <c r="Y482" s="1410"/>
      <c r="Z482" s="1410"/>
      <c r="AA482" s="1257" t="str">
        <f t="shared" si="16"/>
        <v>Documento</v>
      </c>
      <c r="AB482" s="1257"/>
      <c r="AC482" s="1257"/>
      <c r="AD482" s="1628">
        <f t="shared" si="17"/>
        <v>0</v>
      </c>
      <c r="AE482" s="1257"/>
      <c r="AF482" s="1257"/>
      <c r="AG482" s="1519">
        <f>'Costos Equip y Consul'!I348</f>
        <v>0</v>
      </c>
      <c r="AH482" s="1519"/>
      <c r="AI482" s="1519"/>
      <c r="AJ482" s="1519"/>
      <c r="AK482" s="1316"/>
      <c r="AL482" s="1316"/>
      <c r="AM482" s="1316"/>
      <c r="AN482" s="1316"/>
      <c r="AO482" s="1316"/>
      <c r="AP482" s="1316"/>
      <c r="AQ482" s="1316"/>
      <c r="AR482" s="1316"/>
      <c r="AS482" s="1316"/>
      <c r="AT482" s="1316"/>
      <c r="AU482" s="1316"/>
      <c r="AV482" s="1316"/>
      <c r="AW482" s="1316"/>
      <c r="AX482" s="1316"/>
      <c r="AY482" s="1316"/>
      <c r="AZ482" s="1316"/>
    </row>
    <row r="483" spans="1:69" s="291" customFormat="1" ht="24.75" customHeight="1">
      <c r="A483" s="297"/>
      <c r="B483" s="1225">
        <f t="shared" si="14"/>
        <v>0</v>
      </c>
      <c r="C483" s="1225"/>
      <c r="D483" s="1225"/>
      <c r="E483" s="1225"/>
      <c r="F483" s="1225"/>
      <c r="G483" s="1225"/>
      <c r="H483" s="1225"/>
      <c r="I483" s="1225"/>
      <c r="J483" s="1225"/>
      <c r="K483" s="1225"/>
      <c r="L483" s="1225"/>
      <c r="M483" s="1225"/>
      <c r="N483" s="1225"/>
      <c r="O483" s="1225"/>
      <c r="P483" s="1225"/>
      <c r="Q483" s="1379" t="str">
        <f t="shared" si="15"/>
        <v>Intangibles</v>
      </c>
      <c r="R483" s="1379"/>
      <c r="S483" s="1379"/>
      <c r="T483" s="1379"/>
      <c r="U483" s="1208" t="s">
        <v>396</v>
      </c>
      <c r="V483" s="1208"/>
      <c r="W483" s="1208"/>
      <c r="X483" s="1410">
        <f>'Costos Equip y Consul'!E349</f>
        <v>0</v>
      </c>
      <c r="Y483" s="1410"/>
      <c r="Z483" s="1410"/>
      <c r="AA483" s="1257" t="str">
        <f t="shared" si="16"/>
        <v>Documento</v>
      </c>
      <c r="AB483" s="1257"/>
      <c r="AC483" s="1257"/>
      <c r="AD483" s="1628">
        <f t="shared" si="17"/>
        <v>0</v>
      </c>
      <c r="AE483" s="1257"/>
      <c r="AF483" s="1257"/>
      <c r="AG483" s="1519">
        <f>'Costos Equip y Consul'!I349</f>
        <v>0</v>
      </c>
      <c r="AH483" s="1519"/>
      <c r="AI483" s="1519"/>
      <c r="AJ483" s="1519"/>
      <c r="AK483" s="1316"/>
      <c r="AL483" s="1316"/>
      <c r="AM483" s="1316"/>
      <c r="AN483" s="1316"/>
      <c r="AO483" s="1316"/>
      <c r="AP483" s="1316"/>
      <c r="AQ483" s="1316"/>
      <c r="AR483" s="1316"/>
      <c r="AS483" s="1316"/>
      <c r="AT483" s="1316"/>
      <c r="AU483" s="1316"/>
      <c r="AV483" s="1316"/>
      <c r="AW483" s="1316"/>
      <c r="AX483" s="1316"/>
      <c r="AY483" s="1316"/>
      <c r="AZ483" s="1316"/>
    </row>
    <row r="484" spans="1:69" s="291" customFormat="1" ht="24.75" customHeight="1">
      <c r="A484" s="297"/>
      <c r="B484" s="1225">
        <f t="shared" si="14"/>
        <v>0</v>
      </c>
      <c r="C484" s="1225"/>
      <c r="D484" s="1225"/>
      <c r="E484" s="1225"/>
      <c r="F484" s="1225"/>
      <c r="G484" s="1225"/>
      <c r="H484" s="1225"/>
      <c r="I484" s="1225"/>
      <c r="J484" s="1225"/>
      <c r="K484" s="1225"/>
      <c r="L484" s="1225"/>
      <c r="M484" s="1225"/>
      <c r="N484" s="1225"/>
      <c r="O484" s="1225"/>
      <c r="P484" s="1225"/>
      <c r="Q484" s="1379" t="str">
        <f t="shared" si="15"/>
        <v>Intangibles</v>
      </c>
      <c r="R484" s="1379"/>
      <c r="S484" s="1379"/>
      <c r="T484" s="1379"/>
      <c r="U484" s="1208" t="s">
        <v>396</v>
      </c>
      <c r="V484" s="1208"/>
      <c r="W484" s="1208"/>
      <c r="X484" s="1410">
        <f>'Costos Equip y Consul'!E350</f>
        <v>0</v>
      </c>
      <c r="Y484" s="1410"/>
      <c r="Z484" s="1410"/>
      <c r="AA484" s="1257" t="str">
        <f t="shared" si="16"/>
        <v>Documento</v>
      </c>
      <c r="AB484" s="1257"/>
      <c r="AC484" s="1257"/>
      <c r="AD484" s="1628">
        <f t="shared" si="17"/>
        <v>0</v>
      </c>
      <c r="AE484" s="1257"/>
      <c r="AF484" s="1257"/>
      <c r="AG484" s="1519">
        <f>'Costos Equip y Consul'!I350</f>
        <v>0</v>
      </c>
      <c r="AH484" s="1519"/>
      <c r="AI484" s="1519"/>
      <c r="AJ484" s="1519"/>
      <c r="AK484" s="1316"/>
      <c r="AL484" s="1316"/>
      <c r="AM484" s="1316"/>
      <c r="AN484" s="1316"/>
      <c r="AO484" s="1316"/>
      <c r="AP484" s="1316"/>
      <c r="AQ484" s="1316"/>
      <c r="AR484" s="1316"/>
      <c r="AS484" s="1316"/>
      <c r="AT484" s="1316"/>
      <c r="AU484" s="1316"/>
      <c r="AV484" s="1316"/>
      <c r="AW484" s="1316"/>
      <c r="AX484" s="1316"/>
      <c r="AY484" s="1316"/>
      <c r="AZ484" s="1316"/>
    </row>
    <row r="485" spans="1:69" s="291" customFormat="1" ht="18" customHeight="1">
      <c r="A485" s="297"/>
      <c r="B485" s="288"/>
      <c r="C485" s="323"/>
      <c r="D485" s="323"/>
      <c r="E485" s="323"/>
      <c r="F485" s="323"/>
      <c r="G485" s="323"/>
      <c r="H485" s="323"/>
      <c r="I485" s="323"/>
      <c r="J485" s="323"/>
      <c r="K485" s="323"/>
      <c r="L485" s="323"/>
      <c r="M485" s="323"/>
      <c r="N485" s="323"/>
      <c r="O485" s="323"/>
      <c r="P485" s="323"/>
      <c r="Q485" s="487"/>
      <c r="R485" s="487"/>
      <c r="S485" s="323"/>
      <c r="T485" s="323"/>
      <c r="U485" s="323"/>
      <c r="V485" s="323"/>
      <c r="W485" s="323"/>
      <c r="X485" s="323"/>
      <c r="Y485" s="323"/>
      <c r="Z485" s="323"/>
      <c r="AA485" s="323"/>
      <c r="AB485" s="323"/>
      <c r="AC485" s="323"/>
      <c r="AD485" s="323"/>
      <c r="AE485" s="323"/>
      <c r="AF485" s="323"/>
      <c r="AG485" s="323"/>
      <c r="AH485" s="323"/>
      <c r="AI485" s="323"/>
      <c r="AJ485" s="323"/>
      <c r="AK485" s="323"/>
      <c r="AL485" s="323"/>
      <c r="AM485" s="323"/>
      <c r="AN485" s="323"/>
      <c r="AO485" s="323"/>
      <c r="AP485" s="323"/>
      <c r="AQ485" s="323"/>
      <c r="AR485" s="323"/>
      <c r="AS485" s="323"/>
      <c r="AT485" s="323"/>
      <c r="AU485" s="323"/>
      <c r="AV485" s="323"/>
      <c r="AW485" s="323"/>
      <c r="AX485" s="323"/>
      <c r="AY485" s="323"/>
      <c r="AZ485" s="323"/>
    </row>
    <row r="486" spans="1:69" s="291" customFormat="1" ht="18" customHeight="1">
      <c r="A486" s="297"/>
      <c r="B486" s="323"/>
      <c r="C486" s="323"/>
      <c r="D486" s="323"/>
      <c r="E486" s="323"/>
      <c r="F486" s="323"/>
      <c r="G486" s="323"/>
      <c r="H486" s="323"/>
      <c r="I486" s="323"/>
      <c r="J486" s="323"/>
      <c r="K486" s="323"/>
      <c r="L486" s="323"/>
      <c r="M486" s="323"/>
      <c r="N486" s="323"/>
      <c r="O486" s="323"/>
      <c r="P486" s="323"/>
      <c r="Q486" s="487"/>
      <c r="R486" s="487"/>
      <c r="S486" s="323"/>
      <c r="T486" s="323"/>
      <c r="U486" s="323"/>
      <c r="V486" s="323"/>
      <c r="W486" s="323"/>
      <c r="X486" s="323"/>
      <c r="Y486" s="323"/>
      <c r="Z486" s="323"/>
      <c r="AA486" s="323"/>
      <c r="AB486" s="323"/>
      <c r="AC486" s="323"/>
      <c r="AD486" s="323"/>
      <c r="AE486" s="323"/>
      <c r="AF486" s="323"/>
      <c r="AG486" s="323"/>
      <c r="AI486" s="323"/>
      <c r="AJ486" s="323"/>
      <c r="AK486" s="323"/>
      <c r="AL486" s="323"/>
      <c r="AM486" s="323"/>
      <c r="AN486" s="323"/>
      <c r="AO486" s="323"/>
      <c r="AP486" s="323"/>
      <c r="AQ486" s="323"/>
      <c r="AR486" s="323"/>
      <c r="AS486" s="323"/>
      <c r="AT486" s="323"/>
      <c r="AU486" s="323"/>
      <c r="AV486" s="323"/>
      <c r="AW486" s="323"/>
      <c r="AX486" s="323"/>
      <c r="AY486" s="323"/>
      <c r="AZ486" s="323"/>
    </row>
    <row r="487" spans="1:69" s="291" customFormat="1" ht="18" customHeight="1">
      <c r="A487" s="297"/>
      <c r="B487" s="295" t="s">
        <v>2576</v>
      </c>
      <c r="C487" s="295"/>
      <c r="D487" s="295"/>
      <c r="E487" s="295"/>
      <c r="F487" s="295"/>
      <c r="G487" s="295"/>
      <c r="H487" s="295"/>
      <c r="I487" s="295"/>
      <c r="J487" s="295"/>
      <c r="K487" s="295"/>
      <c r="L487" s="295"/>
      <c r="M487" s="295"/>
      <c r="N487" s="295"/>
      <c r="O487" s="295"/>
      <c r="P487" s="295"/>
      <c r="Q487" s="303"/>
      <c r="R487" s="303"/>
      <c r="S487" s="295"/>
      <c r="T487" s="295"/>
      <c r="U487" s="318"/>
      <c r="V487" s="318"/>
      <c r="W487" s="318"/>
      <c r="X487" s="318"/>
      <c r="Y487" s="295"/>
      <c r="Z487" s="295"/>
      <c r="AA487" s="295"/>
      <c r="AB487" s="318"/>
      <c r="AC487" s="318"/>
      <c r="AD487" s="318"/>
      <c r="AE487" s="318"/>
      <c r="AF487" s="318"/>
      <c r="AG487" s="318"/>
      <c r="AH487" s="318"/>
      <c r="AI487" s="318"/>
      <c r="AJ487" s="318"/>
      <c r="AK487" s="318"/>
      <c r="AL487" s="318"/>
      <c r="AM487" s="318"/>
      <c r="AN487" s="318"/>
      <c r="AO487" s="318"/>
      <c r="AP487" s="318"/>
      <c r="AQ487" s="318"/>
      <c r="AR487" s="318"/>
      <c r="AS487" s="318"/>
      <c r="AT487" s="318"/>
      <c r="AU487" s="318"/>
      <c r="AV487" s="290"/>
      <c r="AW487" s="290"/>
      <c r="AX487" s="290"/>
      <c r="AY487" s="290"/>
      <c r="AZ487" s="290"/>
    </row>
    <row r="488" spans="1:69" s="291" customFormat="1" ht="18" customHeight="1">
      <c r="A488" s="297"/>
      <c r="B488" s="295"/>
      <c r="C488" s="295"/>
      <c r="D488" s="295"/>
      <c r="E488" s="295"/>
      <c r="F488" s="295"/>
      <c r="G488" s="295"/>
      <c r="H488" s="295"/>
      <c r="I488" s="295"/>
      <c r="J488" s="295"/>
      <c r="K488" s="295"/>
      <c r="L488" s="295"/>
      <c r="M488" s="295"/>
      <c r="N488" s="295"/>
      <c r="O488" s="295"/>
      <c r="P488" s="295"/>
      <c r="Q488" s="303"/>
      <c r="R488" s="303"/>
      <c r="S488" s="295"/>
      <c r="T488" s="295"/>
      <c r="U488" s="318"/>
      <c r="V488" s="318"/>
      <c r="W488" s="318"/>
      <c r="X488" s="318"/>
      <c r="Y488" s="295"/>
      <c r="Z488" s="295"/>
      <c r="AA488" s="295"/>
      <c r="AB488" s="318"/>
      <c r="AC488" s="318"/>
      <c r="AD488" s="318"/>
      <c r="AE488" s="318"/>
      <c r="AF488" s="318"/>
      <c r="AG488" s="318"/>
      <c r="AH488" s="318"/>
      <c r="AI488" s="318"/>
      <c r="AJ488" s="318"/>
      <c r="AK488" s="318"/>
      <c r="AL488" s="318"/>
      <c r="AM488" s="318"/>
      <c r="AN488" s="318"/>
      <c r="AO488" s="318"/>
      <c r="AP488" s="318"/>
      <c r="AQ488" s="318"/>
      <c r="AR488" s="318"/>
      <c r="AS488" s="318"/>
      <c r="AT488" s="318"/>
      <c r="AU488" s="318"/>
      <c r="AV488" s="290"/>
      <c r="AW488" s="290"/>
      <c r="AX488" s="290"/>
      <c r="AY488" s="290"/>
      <c r="AZ488" s="290"/>
    </row>
    <row r="489" spans="1:69" s="325" customFormat="1" ht="18" customHeight="1">
      <c r="A489" s="308"/>
      <c r="B489" s="287"/>
      <c r="C489" s="287" t="s">
        <v>802</v>
      </c>
      <c r="D489" s="287"/>
      <c r="E489" s="287"/>
      <c r="F489" s="1155"/>
      <c r="G489" s="1156"/>
      <c r="H489" s="288"/>
      <c r="I489" s="1158"/>
      <c r="J489" s="1155"/>
      <c r="K489" s="287"/>
      <c r="L489" s="288"/>
      <c r="M489" s="308"/>
      <c r="N489" s="308"/>
      <c r="O489" s="1649" t="s">
        <v>803</v>
      </c>
      <c r="P489" s="1649"/>
      <c r="Q489" s="1354"/>
      <c r="R489" s="1354"/>
      <c r="S489" s="1354"/>
      <c r="T489" s="1354"/>
      <c r="U489" s="1647" t="s">
        <v>804</v>
      </c>
      <c r="V489" s="1648"/>
      <c r="W489" s="1172"/>
      <c r="X489" s="1173"/>
      <c r="Y489" s="1173"/>
      <c r="Z489" s="1173"/>
      <c r="AA489" s="1174"/>
      <c r="AB489" s="289"/>
      <c r="AC489" s="289"/>
      <c r="AD489" s="289"/>
      <c r="AE489" s="289"/>
      <c r="AF489" s="289"/>
      <c r="AG489" s="339"/>
      <c r="AH489" s="289"/>
      <c r="AI489" s="289"/>
      <c r="AJ489" s="289"/>
      <c r="AK489" s="289"/>
      <c r="AL489" s="289"/>
      <c r="AM489" s="339"/>
      <c r="AN489" s="289"/>
      <c r="AO489" s="289"/>
      <c r="AP489" s="289"/>
      <c r="AQ489" s="289"/>
      <c r="AR489" s="289"/>
      <c r="AS489" s="289"/>
      <c r="AT489" s="289"/>
      <c r="AU489" s="289"/>
      <c r="AV489" s="289"/>
      <c r="AW489" s="289"/>
      <c r="AX489" s="289"/>
      <c r="AY489" s="289"/>
      <c r="AZ489" s="289"/>
      <c r="BA489" s="308"/>
      <c r="BB489" s="308"/>
      <c r="BC489" s="308"/>
      <c r="BD489" s="308"/>
      <c r="BE489" s="308"/>
      <c r="BF489" s="308"/>
      <c r="BG489" s="308"/>
      <c r="BH489" s="308"/>
      <c r="BI489" s="308"/>
      <c r="BJ489" s="308"/>
      <c r="BK489" s="308"/>
      <c r="BL489" s="308"/>
      <c r="BM489" s="308"/>
      <c r="BN489" s="308"/>
      <c r="BO489" s="308"/>
      <c r="BP489" s="308"/>
      <c r="BQ489" s="308"/>
    </row>
    <row r="490" spans="1:69" s="325" customFormat="1" ht="18" customHeight="1">
      <c r="A490" s="308"/>
      <c r="B490" s="308"/>
      <c r="C490" s="308"/>
      <c r="D490" s="308"/>
      <c r="E490" s="308"/>
      <c r="F490" s="308"/>
      <c r="G490" s="308"/>
      <c r="H490" s="308"/>
      <c r="I490" s="308"/>
      <c r="J490" s="308"/>
      <c r="K490" s="502"/>
      <c r="L490" s="308"/>
      <c r="M490" s="289"/>
      <c r="N490" s="289"/>
      <c r="O490" s="289"/>
      <c r="P490" s="289"/>
      <c r="Q490" s="487"/>
      <c r="R490" s="309"/>
      <c r="S490" s="308"/>
      <c r="T490" s="308"/>
      <c r="U490" s="289"/>
      <c r="V490" s="289"/>
      <c r="W490" s="289"/>
      <c r="X490" s="289"/>
      <c r="Y490" s="308"/>
      <c r="Z490" s="308"/>
      <c r="AA490" s="308"/>
      <c r="AB490" s="289"/>
      <c r="AC490" s="289"/>
      <c r="AD490" s="289"/>
      <c r="AE490" s="289"/>
      <c r="AF490" s="289"/>
      <c r="AG490" s="339"/>
      <c r="AH490" s="289"/>
      <c r="AI490" s="289"/>
      <c r="AJ490" s="289"/>
      <c r="AK490" s="289"/>
      <c r="AL490" s="289"/>
      <c r="AM490" s="339"/>
      <c r="AN490" s="289"/>
      <c r="AO490" s="289"/>
      <c r="AP490" s="289"/>
      <c r="AQ490" s="289"/>
      <c r="AR490" s="289"/>
      <c r="AS490" s="289"/>
      <c r="AT490" s="289"/>
      <c r="AU490" s="289"/>
      <c r="AV490" s="289"/>
      <c r="AW490" s="289"/>
      <c r="AX490" s="289"/>
      <c r="AY490" s="289"/>
      <c r="AZ490" s="289"/>
      <c r="BA490" s="308"/>
      <c r="BB490" s="308"/>
      <c r="BC490" s="308"/>
      <c r="BD490" s="308"/>
      <c r="BE490" s="308"/>
      <c r="BF490" s="308"/>
      <c r="BG490" s="308"/>
      <c r="BH490" s="308"/>
      <c r="BI490" s="308"/>
      <c r="BJ490" s="308"/>
      <c r="BK490" s="308"/>
      <c r="BL490" s="308"/>
      <c r="BM490" s="308"/>
      <c r="BN490" s="308"/>
      <c r="BO490" s="308"/>
      <c r="BP490" s="308"/>
      <c r="BQ490" s="308"/>
    </row>
    <row r="491" spans="1:69" s="325" customFormat="1" ht="28.5" customHeight="1">
      <c r="A491" s="308"/>
      <c r="B491" s="308"/>
      <c r="C491" s="308" t="s">
        <v>805</v>
      </c>
      <c r="D491" s="308"/>
      <c r="E491" s="308"/>
      <c r="F491" s="1401" t="s">
        <v>2278</v>
      </c>
      <c r="G491" s="1401"/>
      <c r="H491" s="1401"/>
      <c r="I491" s="1401"/>
      <c r="J491" s="308"/>
      <c r="K491" s="502"/>
      <c r="L491" s="1517" t="s">
        <v>3283</v>
      </c>
      <c r="M491" s="1517"/>
      <c r="N491" s="1517"/>
      <c r="O491" s="1518"/>
      <c r="P491" s="1354"/>
      <c r="Q491" s="1354"/>
      <c r="R491" s="309"/>
      <c r="S491" s="525"/>
      <c r="T491" s="289"/>
      <c r="U491" s="289"/>
      <c r="V491" s="289"/>
      <c r="W491" s="289"/>
      <c r="X491" s="289"/>
      <c r="Y491" s="289"/>
      <c r="Z491" s="289"/>
      <c r="AA491" s="289"/>
      <c r="AB491" s="289"/>
      <c r="AC491" s="289"/>
      <c r="AD491" s="289"/>
      <c r="AE491" s="289"/>
      <c r="AF491" s="289"/>
      <c r="AG491" s="289"/>
      <c r="AH491" s="289"/>
      <c r="AI491" s="289"/>
      <c r="AJ491" s="289"/>
      <c r="AK491" s="289"/>
      <c r="AL491" s="289"/>
      <c r="AM491" s="289"/>
      <c r="AN491" s="289"/>
      <c r="AO491" s="289"/>
      <c r="AP491" s="289"/>
      <c r="AQ491" s="289"/>
      <c r="AR491" s="289"/>
      <c r="AS491" s="289"/>
      <c r="AT491" s="289"/>
      <c r="AU491" s="1217"/>
      <c r="AV491" s="1217"/>
      <c r="AW491" s="1217"/>
      <c r="AX491" s="1217"/>
      <c r="AY491" s="1217"/>
      <c r="AZ491" s="1217"/>
      <c r="BA491" s="1217"/>
      <c r="BB491" s="1217"/>
      <c r="BC491" s="308"/>
      <c r="BD491" s="308"/>
      <c r="BE491" s="308"/>
      <c r="BF491" s="308"/>
      <c r="BG491" s="308"/>
      <c r="BH491" s="308"/>
      <c r="BI491" s="308"/>
      <c r="BJ491" s="308"/>
      <c r="BK491" s="308"/>
      <c r="BL491" s="308"/>
      <c r="BM491" s="308"/>
      <c r="BN491" s="308"/>
      <c r="BO491" s="308"/>
      <c r="BP491" s="308"/>
      <c r="BQ491" s="308"/>
    </row>
    <row r="492" spans="1:69" s="291" customFormat="1" ht="18" customHeight="1">
      <c r="A492" s="297"/>
      <c r="B492" s="295"/>
      <c r="C492" s="295"/>
      <c r="D492" s="295"/>
      <c r="E492" s="295"/>
      <c r="F492" s="295"/>
      <c r="G492" s="295"/>
      <c r="H492" s="295"/>
      <c r="I492" s="295"/>
      <c r="J492" s="295"/>
      <c r="K492" s="295"/>
      <c r="L492" s="295"/>
      <c r="M492" s="295"/>
      <c r="N492" s="295"/>
      <c r="O492" s="295"/>
      <c r="P492" s="295"/>
      <c r="Q492" s="303"/>
      <c r="R492" s="303"/>
      <c r="S492" s="295"/>
      <c r="T492" s="295"/>
      <c r="U492" s="318"/>
      <c r="V492" s="1664" t="s">
        <v>2608</v>
      </c>
      <c r="W492" s="1664"/>
      <c r="X492" s="1664"/>
      <c r="Y492" s="1664"/>
      <c r="Z492" s="1664"/>
      <c r="AA492" s="1664"/>
      <c r="AB492" s="1664"/>
      <c r="AC492" s="1664"/>
      <c r="AD492" s="1664"/>
      <c r="AE492" s="1664"/>
      <c r="AF492" s="1664"/>
      <c r="AG492" s="1664"/>
      <c r="AH492" s="1664"/>
      <c r="AI492" s="1664"/>
      <c r="AJ492" s="1664"/>
      <c r="AK492" s="1664"/>
      <c r="AL492" s="1664"/>
      <c r="AM492" s="1664"/>
      <c r="AN492" s="1664"/>
      <c r="AO492" s="1664"/>
      <c r="AP492" s="1664"/>
      <c r="AQ492" s="1664"/>
      <c r="AR492" s="1664"/>
      <c r="AS492" s="1664"/>
      <c r="AT492" s="318"/>
      <c r="AU492" s="318"/>
      <c r="AV492" s="318"/>
      <c r="AW492" s="318"/>
      <c r="AX492" s="318"/>
      <c r="AY492" s="318"/>
      <c r="AZ492" s="318"/>
    </row>
    <row r="493" spans="1:69" s="291" customFormat="1" ht="15.75">
      <c r="A493" s="294"/>
      <c r="B493" s="1256" t="s">
        <v>544</v>
      </c>
      <c r="C493" s="1256"/>
      <c r="D493" s="1256"/>
      <c r="E493" s="1256"/>
      <c r="F493" s="1256"/>
      <c r="G493" s="1256"/>
      <c r="H493" s="1256"/>
      <c r="I493" s="1256"/>
      <c r="J493" s="1256"/>
      <c r="K493" s="1256"/>
      <c r="L493" s="1256"/>
      <c r="M493" s="1256"/>
      <c r="N493" s="1256"/>
      <c r="O493" s="1256"/>
      <c r="P493" s="1221" t="s">
        <v>545</v>
      </c>
      <c r="Q493" s="1221"/>
      <c r="R493" s="1221"/>
      <c r="S493" s="1221"/>
      <c r="T493" s="1221"/>
      <c r="U493" s="1221"/>
      <c r="V493" s="1256" t="s">
        <v>806</v>
      </c>
      <c r="W493" s="1256"/>
      <c r="X493" s="1256"/>
      <c r="Y493" s="1256"/>
      <c r="Z493" s="1256"/>
      <c r="AA493" s="1256"/>
      <c r="AB493" s="1256"/>
      <c r="AC493" s="1256"/>
      <c r="AD493" s="1256"/>
      <c r="AE493" s="1256"/>
      <c r="AF493" s="1256"/>
      <c r="AG493" s="1256"/>
      <c r="AH493" s="1256"/>
      <c r="AI493" s="1256"/>
      <c r="AJ493" s="1256"/>
      <c r="AK493" s="1256"/>
      <c r="AL493" s="1256"/>
      <c r="AM493" s="1256"/>
      <c r="AN493" s="1256"/>
      <c r="AO493" s="1256"/>
      <c r="AP493" s="1256"/>
      <c r="AQ493" s="1256"/>
      <c r="AR493" s="1256"/>
      <c r="AS493" s="1256"/>
      <c r="AT493" s="1256" t="s">
        <v>552</v>
      </c>
      <c r="AU493" s="1256"/>
      <c r="AV493" s="1256"/>
      <c r="AW493" s="1256"/>
      <c r="AX493" s="1256"/>
      <c r="AY493" s="1256"/>
      <c r="AZ493" s="1256"/>
    </row>
    <row r="494" spans="1:69" s="291" customFormat="1" ht="15.75">
      <c r="A494" s="294"/>
      <c r="B494" s="1256"/>
      <c r="C494" s="1256"/>
      <c r="D494" s="1256"/>
      <c r="E494" s="1256"/>
      <c r="F494" s="1256"/>
      <c r="G494" s="1256"/>
      <c r="H494" s="1256"/>
      <c r="I494" s="1256"/>
      <c r="J494" s="1256"/>
      <c r="K494" s="1256"/>
      <c r="L494" s="1256"/>
      <c r="M494" s="1256"/>
      <c r="N494" s="1256"/>
      <c r="O494" s="1256"/>
      <c r="P494" s="1221"/>
      <c r="Q494" s="1221"/>
      <c r="R494" s="1221"/>
      <c r="S494" s="1221"/>
      <c r="T494" s="1221"/>
      <c r="U494" s="1221"/>
      <c r="V494" s="1256" t="str">
        <f>F491</f>
        <v>Trimestres</v>
      </c>
      <c r="W494" s="1256"/>
      <c r="X494" s="1256"/>
      <c r="Y494" s="1256"/>
      <c r="Z494" s="1256"/>
      <c r="AA494" s="1256"/>
      <c r="AB494" s="1256"/>
      <c r="AC494" s="1256"/>
      <c r="AD494" s="1256"/>
      <c r="AE494" s="1256"/>
      <c r="AF494" s="1256"/>
      <c r="AG494" s="1256"/>
      <c r="AH494" s="1256"/>
      <c r="AI494" s="1256"/>
      <c r="AJ494" s="1256"/>
      <c r="AK494" s="1256"/>
      <c r="AL494" s="1256"/>
      <c r="AM494" s="1256"/>
      <c r="AN494" s="1256"/>
      <c r="AO494" s="1256"/>
      <c r="AP494" s="1256"/>
      <c r="AQ494" s="1256"/>
      <c r="AR494" s="1256"/>
      <c r="AS494" s="1256"/>
      <c r="AT494" s="1256"/>
      <c r="AU494" s="1256"/>
      <c r="AV494" s="1256"/>
      <c r="AW494" s="1256"/>
      <c r="AX494" s="1256"/>
      <c r="AY494" s="1256"/>
      <c r="AZ494" s="1256"/>
    </row>
    <row r="495" spans="1:69" s="291" customFormat="1" ht="25.5" customHeight="1">
      <c r="A495" s="294"/>
      <c r="B495" s="1256"/>
      <c r="C495" s="1256"/>
      <c r="D495" s="1256"/>
      <c r="E495" s="1256"/>
      <c r="F495" s="1256"/>
      <c r="G495" s="1256"/>
      <c r="H495" s="1256"/>
      <c r="I495" s="1256"/>
      <c r="J495" s="1256"/>
      <c r="K495" s="1256"/>
      <c r="L495" s="1256"/>
      <c r="M495" s="1256"/>
      <c r="N495" s="1256"/>
      <c r="O495" s="1256"/>
      <c r="P495" s="1221"/>
      <c r="Q495" s="1221"/>
      <c r="R495" s="1221"/>
      <c r="S495" s="1221"/>
      <c r="T495" s="1221"/>
      <c r="U495" s="1221"/>
      <c r="V495" s="1256">
        <v>1</v>
      </c>
      <c r="W495" s="1256"/>
      <c r="X495" s="1221">
        <v>2</v>
      </c>
      <c r="Y495" s="1221"/>
      <c r="Z495" s="1221">
        <v>3</v>
      </c>
      <c r="AA495" s="1221"/>
      <c r="AB495" s="1256">
        <v>4</v>
      </c>
      <c r="AC495" s="1256"/>
      <c r="AD495" s="1256">
        <v>5</v>
      </c>
      <c r="AE495" s="1256"/>
      <c r="AF495" s="1256">
        <v>6</v>
      </c>
      <c r="AG495" s="1256"/>
      <c r="AH495" s="1256">
        <v>7</v>
      </c>
      <c r="AI495" s="1256"/>
      <c r="AJ495" s="1256">
        <v>8</v>
      </c>
      <c r="AK495" s="1256"/>
      <c r="AL495" s="1256">
        <v>9</v>
      </c>
      <c r="AM495" s="1256"/>
      <c r="AN495" s="1256">
        <v>10</v>
      </c>
      <c r="AO495" s="1256"/>
      <c r="AP495" s="1256">
        <v>11</v>
      </c>
      <c r="AQ495" s="1256"/>
      <c r="AR495" s="1256">
        <v>12</v>
      </c>
      <c r="AS495" s="1256"/>
      <c r="AT495" s="1256"/>
      <c r="AU495" s="1256"/>
      <c r="AV495" s="1256"/>
      <c r="AW495" s="1256"/>
      <c r="AX495" s="1256"/>
      <c r="AY495" s="1256"/>
      <c r="AZ495" s="1256"/>
    </row>
    <row r="496" spans="1:69" s="291" customFormat="1" ht="24" customHeight="1">
      <c r="A496" s="311"/>
      <c r="B496" s="1322" t="str">
        <f>C372</f>
        <v>Adecuado almacenamiento en vías urbanas y áreas públicas</v>
      </c>
      <c r="C496" s="1322"/>
      <c r="D496" s="1322"/>
      <c r="E496" s="1322"/>
      <c r="F496" s="1322"/>
      <c r="G496" s="1322"/>
      <c r="H496" s="1322"/>
      <c r="I496" s="1322"/>
      <c r="J496" s="1322"/>
      <c r="K496" s="1322"/>
      <c r="L496" s="1322"/>
      <c r="M496" s="1322"/>
      <c r="N496" s="1322"/>
      <c r="O496" s="1322"/>
      <c r="P496" s="1521" t="s">
        <v>407</v>
      </c>
      <c r="Q496" s="1521"/>
      <c r="R496" s="1521"/>
      <c r="S496" s="1521"/>
      <c r="T496" s="1521"/>
      <c r="U496" s="1521"/>
      <c r="V496" s="1316"/>
      <c r="W496" s="1316"/>
      <c r="X496" s="1317"/>
      <c r="Y496" s="1317"/>
      <c r="Z496" s="1317"/>
      <c r="AA496" s="1317"/>
      <c r="AB496" s="1316"/>
      <c r="AC496" s="1316"/>
      <c r="AD496" s="1316"/>
      <c r="AE496" s="1316"/>
      <c r="AF496" s="1316"/>
      <c r="AG496" s="1316"/>
      <c r="AH496" s="1316"/>
      <c r="AI496" s="1316"/>
      <c r="AJ496" s="1316"/>
      <c r="AK496" s="1316"/>
      <c r="AL496" s="1316"/>
      <c r="AM496" s="1316"/>
      <c r="AN496" s="1316"/>
      <c r="AO496" s="1316"/>
      <c r="AP496" s="1316"/>
      <c r="AQ496" s="1316"/>
      <c r="AR496" s="1316"/>
      <c r="AS496" s="1316"/>
      <c r="AT496" s="1520">
        <f>SUMIF(Q431,FICHA!P496,AG431)</f>
        <v>0</v>
      </c>
      <c r="AU496" s="1520"/>
      <c r="AV496" s="1520"/>
      <c r="AW496" s="1520"/>
      <c r="AX496" s="1520"/>
      <c r="AY496" s="1520"/>
      <c r="AZ496" s="1520"/>
    </row>
    <row r="497" spans="1:54" s="291" customFormat="1" ht="24" customHeight="1">
      <c r="A497" s="311"/>
      <c r="B497" s="1322" t="str">
        <f>C373</f>
        <v>Adecuado barrido de vías urbanas y áreas públicas</v>
      </c>
      <c r="C497" s="1322"/>
      <c r="D497" s="1322"/>
      <c r="E497" s="1322"/>
      <c r="F497" s="1322"/>
      <c r="G497" s="1322"/>
      <c r="H497" s="1322"/>
      <c r="I497" s="1322"/>
      <c r="J497" s="1322"/>
      <c r="K497" s="1322"/>
      <c r="L497" s="1322"/>
      <c r="M497" s="1322"/>
      <c r="N497" s="1322"/>
      <c r="O497" s="1322"/>
      <c r="P497" s="1522" t="s">
        <v>407</v>
      </c>
      <c r="Q497" s="1523"/>
      <c r="R497" s="1523"/>
      <c r="S497" s="1523"/>
      <c r="T497" s="1523"/>
      <c r="U497" s="1524"/>
      <c r="V497" s="1316"/>
      <c r="W497" s="1316"/>
      <c r="X497" s="1317"/>
      <c r="Y497" s="1317"/>
      <c r="Z497" s="1317"/>
      <c r="AA497" s="1317"/>
      <c r="AB497" s="1316"/>
      <c r="AC497" s="1316"/>
      <c r="AD497" s="1316"/>
      <c r="AE497" s="1316"/>
      <c r="AF497" s="1316"/>
      <c r="AG497" s="1316"/>
      <c r="AH497" s="1316"/>
      <c r="AI497" s="1316"/>
      <c r="AJ497" s="1316"/>
      <c r="AK497" s="1316"/>
      <c r="AL497" s="1316"/>
      <c r="AM497" s="1316"/>
      <c r="AN497" s="1316"/>
      <c r="AO497" s="1316"/>
      <c r="AP497" s="1316"/>
      <c r="AQ497" s="1316"/>
      <c r="AR497" s="1316"/>
      <c r="AS497" s="1316"/>
      <c r="AT497" s="1520">
        <f>SUMIF(Q433:T435,FICHA!P497,AG433:AJ435)</f>
        <v>0</v>
      </c>
      <c r="AU497" s="1520"/>
      <c r="AV497" s="1520"/>
      <c r="AW497" s="1520"/>
      <c r="AX497" s="1520"/>
      <c r="AY497" s="1520"/>
      <c r="AZ497" s="1520"/>
    </row>
    <row r="498" spans="1:54" s="291" customFormat="1" ht="24" customHeight="1">
      <c r="A498" s="311"/>
      <c r="B498" s="1322" t="str">
        <f>C376</f>
        <v>Adecuada capacidad para la recolección y transporte</v>
      </c>
      <c r="C498" s="1322"/>
      <c r="D498" s="1322"/>
      <c r="E498" s="1322"/>
      <c r="F498" s="1322"/>
      <c r="G498" s="1322"/>
      <c r="H498" s="1322"/>
      <c r="I498" s="1322"/>
      <c r="J498" s="1322"/>
      <c r="K498" s="1322"/>
      <c r="L498" s="1322"/>
      <c r="M498" s="1322"/>
      <c r="N498" s="1322"/>
      <c r="O498" s="1322"/>
      <c r="P498" s="1521" t="s">
        <v>407</v>
      </c>
      <c r="Q498" s="1521"/>
      <c r="R498" s="1521"/>
      <c r="S498" s="1521"/>
      <c r="T498" s="1521"/>
      <c r="U498" s="1521"/>
      <c r="V498" s="1316"/>
      <c r="W498" s="1316"/>
      <c r="X498" s="1317"/>
      <c r="Y498" s="1317"/>
      <c r="Z498" s="1317"/>
      <c r="AA498" s="1317"/>
      <c r="AB498" s="1316"/>
      <c r="AC498" s="1316"/>
      <c r="AD498" s="1316"/>
      <c r="AE498" s="1316"/>
      <c r="AF498" s="1316"/>
      <c r="AG498" s="1316"/>
      <c r="AH498" s="1316"/>
      <c r="AI498" s="1316"/>
      <c r="AJ498" s="1316"/>
      <c r="AK498" s="1316"/>
      <c r="AL498" s="1316"/>
      <c r="AM498" s="1316"/>
      <c r="AN498" s="1316"/>
      <c r="AO498" s="1316"/>
      <c r="AP498" s="1316"/>
      <c r="AQ498" s="1316"/>
      <c r="AR498" s="1316"/>
      <c r="AS498" s="1316"/>
      <c r="AT498" s="1520">
        <f>SUMIF(Q437:T443,FICHA!P498,AG437:AJ443)</f>
        <v>0</v>
      </c>
      <c r="AU498" s="1520"/>
      <c r="AV498" s="1520"/>
      <c r="AW498" s="1520"/>
      <c r="AX498" s="1520"/>
      <c r="AY498" s="1520"/>
      <c r="AZ498" s="1520"/>
    </row>
    <row r="499" spans="1:54" s="291" customFormat="1" ht="24" customHeight="1">
      <c r="A499" s="311"/>
      <c r="B499" s="1322"/>
      <c r="C499" s="1322"/>
      <c r="D499" s="1322"/>
      <c r="E499" s="1322"/>
      <c r="F499" s="1322"/>
      <c r="G499" s="1322"/>
      <c r="H499" s="1322"/>
      <c r="I499" s="1322"/>
      <c r="J499" s="1322"/>
      <c r="K499" s="1322"/>
      <c r="L499" s="1322"/>
      <c r="M499" s="1322"/>
      <c r="N499" s="1322"/>
      <c r="O499" s="1322"/>
      <c r="P499" s="1521" t="s">
        <v>538</v>
      </c>
      <c r="Q499" s="1521"/>
      <c r="R499" s="1521"/>
      <c r="S499" s="1521"/>
      <c r="T499" s="1521"/>
      <c r="U499" s="1521"/>
      <c r="V499" s="1316"/>
      <c r="W499" s="1316"/>
      <c r="X499" s="1317"/>
      <c r="Y499" s="1317"/>
      <c r="Z499" s="1317"/>
      <c r="AA499" s="1317"/>
      <c r="AB499" s="1316"/>
      <c r="AC499" s="1316"/>
      <c r="AD499" s="1316"/>
      <c r="AE499" s="1316"/>
      <c r="AF499" s="1316"/>
      <c r="AG499" s="1316"/>
      <c r="AH499" s="1316"/>
      <c r="AI499" s="1316"/>
      <c r="AJ499" s="1316"/>
      <c r="AK499" s="1316"/>
      <c r="AL499" s="1316"/>
      <c r="AM499" s="1316"/>
      <c r="AN499" s="1316"/>
      <c r="AO499" s="1316"/>
      <c r="AP499" s="1316"/>
      <c r="AQ499" s="1316"/>
      <c r="AR499" s="1316"/>
      <c r="AS499" s="1316"/>
      <c r="AT499" s="1520">
        <f>SUMIF(Q437:T443,FICHA!P499,AG437:AJ443)</f>
        <v>0</v>
      </c>
      <c r="AU499" s="1520"/>
      <c r="AV499" s="1520"/>
      <c r="AW499" s="1520"/>
      <c r="AX499" s="1520"/>
      <c r="AY499" s="1520"/>
      <c r="AZ499" s="1520"/>
    </row>
    <row r="500" spans="1:54" s="291" customFormat="1" ht="24" customHeight="1">
      <c r="A500" s="311"/>
      <c r="B500" s="1322" t="str">
        <f>C383</f>
        <v>Adecuada valorización de los residuos sólidos</v>
      </c>
      <c r="C500" s="1322"/>
      <c r="D500" s="1322"/>
      <c r="E500" s="1322"/>
      <c r="F500" s="1322"/>
      <c r="G500" s="1322"/>
      <c r="H500" s="1322"/>
      <c r="I500" s="1322"/>
      <c r="J500" s="1322"/>
      <c r="K500" s="1322"/>
      <c r="L500" s="1322"/>
      <c r="M500" s="1322"/>
      <c r="N500" s="1322"/>
      <c r="O500" s="1322"/>
      <c r="P500" s="1521" t="s">
        <v>407</v>
      </c>
      <c r="Q500" s="1521"/>
      <c r="R500" s="1521"/>
      <c r="S500" s="1521"/>
      <c r="T500" s="1521"/>
      <c r="U500" s="1521"/>
      <c r="V500" s="1316"/>
      <c r="W500" s="1316"/>
      <c r="X500" s="1317"/>
      <c r="Y500" s="1317"/>
      <c r="Z500" s="1317"/>
      <c r="AA500" s="1317"/>
      <c r="AB500" s="1316"/>
      <c r="AC500" s="1316"/>
      <c r="AD500" s="1316"/>
      <c r="AE500" s="1316"/>
      <c r="AF500" s="1316"/>
      <c r="AG500" s="1316"/>
      <c r="AH500" s="1316"/>
      <c r="AI500" s="1316"/>
      <c r="AJ500" s="1316"/>
      <c r="AK500" s="1316"/>
      <c r="AL500" s="1316"/>
      <c r="AM500" s="1316"/>
      <c r="AN500" s="1316"/>
      <c r="AO500" s="1316"/>
      <c r="AP500" s="1316"/>
      <c r="AQ500" s="1316"/>
      <c r="AR500" s="1316"/>
      <c r="AS500" s="1316"/>
      <c r="AT500" s="1520">
        <f>SUMIF(Q445:T454,FICHA!P500,AG445:AJ454)</f>
        <v>0</v>
      </c>
      <c r="AU500" s="1520"/>
      <c r="AV500" s="1520"/>
      <c r="AW500" s="1520"/>
      <c r="AX500" s="1520"/>
      <c r="AY500" s="1520"/>
      <c r="AZ500" s="1520"/>
    </row>
    <row r="501" spans="1:54" s="291" customFormat="1" ht="24" customHeight="1">
      <c r="A501" s="311"/>
      <c r="B501" s="1322"/>
      <c r="C501" s="1322"/>
      <c r="D501" s="1322"/>
      <c r="E501" s="1322"/>
      <c r="F501" s="1322"/>
      <c r="G501" s="1322"/>
      <c r="H501" s="1322"/>
      <c r="I501" s="1322"/>
      <c r="J501" s="1322"/>
      <c r="K501" s="1322"/>
      <c r="L501" s="1322"/>
      <c r="M501" s="1322"/>
      <c r="N501" s="1322"/>
      <c r="O501" s="1322"/>
      <c r="P501" s="1521" t="s">
        <v>538</v>
      </c>
      <c r="Q501" s="1521"/>
      <c r="R501" s="1521"/>
      <c r="S501" s="1521"/>
      <c r="T501" s="1521"/>
      <c r="U501" s="1521"/>
      <c r="V501" s="1316"/>
      <c r="W501" s="1316"/>
      <c r="X501" s="1317"/>
      <c r="Y501" s="1317"/>
      <c r="Z501" s="1317"/>
      <c r="AA501" s="1317"/>
      <c r="AB501" s="1316"/>
      <c r="AC501" s="1316"/>
      <c r="AD501" s="1316"/>
      <c r="AE501" s="1316"/>
      <c r="AF501" s="1316"/>
      <c r="AG501" s="1316"/>
      <c r="AH501" s="1316"/>
      <c r="AI501" s="1316"/>
      <c r="AJ501" s="1316"/>
      <c r="AK501" s="1316"/>
      <c r="AL501" s="1316"/>
      <c r="AM501" s="1316"/>
      <c r="AN501" s="1316"/>
      <c r="AO501" s="1316"/>
      <c r="AP501" s="1316"/>
      <c r="AQ501" s="1316"/>
      <c r="AR501" s="1316"/>
      <c r="AS501" s="1316"/>
      <c r="AT501" s="1520">
        <f>SUMIF(Q445:T454,FICHA!P501,AG445:AJ454)</f>
        <v>0</v>
      </c>
      <c r="AU501" s="1520"/>
      <c r="AV501" s="1520"/>
      <c r="AW501" s="1520"/>
      <c r="AX501" s="1520"/>
      <c r="AY501" s="1520"/>
      <c r="AZ501" s="1520"/>
    </row>
    <row r="502" spans="1:54" s="291" customFormat="1" ht="24" customHeight="1">
      <c r="A502" s="311"/>
      <c r="B502" s="1322"/>
      <c r="C502" s="1322"/>
      <c r="D502" s="1322"/>
      <c r="E502" s="1322"/>
      <c r="F502" s="1322"/>
      <c r="G502" s="1322"/>
      <c r="H502" s="1322"/>
      <c r="I502" s="1322"/>
      <c r="J502" s="1322"/>
      <c r="K502" s="1322"/>
      <c r="L502" s="1322"/>
      <c r="M502" s="1322"/>
      <c r="N502" s="1322"/>
      <c r="O502" s="1322"/>
      <c r="P502" s="1521" t="s">
        <v>408</v>
      </c>
      <c r="Q502" s="1521"/>
      <c r="R502" s="1521"/>
      <c r="S502" s="1521"/>
      <c r="T502" s="1521"/>
      <c r="U502" s="1521"/>
      <c r="V502" s="1316"/>
      <c r="W502" s="1316"/>
      <c r="X502" s="1317"/>
      <c r="Y502" s="1317"/>
      <c r="Z502" s="1317"/>
      <c r="AA502" s="1317"/>
      <c r="AB502" s="1316"/>
      <c r="AC502" s="1316"/>
      <c r="AD502" s="1316"/>
      <c r="AE502" s="1316"/>
      <c r="AF502" s="1316"/>
      <c r="AG502" s="1316"/>
      <c r="AH502" s="1316"/>
      <c r="AI502" s="1316"/>
      <c r="AJ502" s="1316"/>
      <c r="AK502" s="1316"/>
      <c r="AL502" s="1316"/>
      <c r="AM502" s="1316"/>
      <c r="AN502" s="1316"/>
      <c r="AO502" s="1316"/>
      <c r="AP502" s="1316"/>
      <c r="AQ502" s="1316"/>
      <c r="AR502" s="1316"/>
      <c r="AS502" s="1316"/>
      <c r="AT502" s="1520">
        <f>IFERROR(SUMIF(Q445:T454,FICHA!P502,AG445:AJ454),"")</f>
        <v>0</v>
      </c>
      <c r="AU502" s="1520"/>
      <c r="AV502" s="1520"/>
      <c r="AW502" s="1520"/>
      <c r="AX502" s="1520"/>
      <c r="AY502" s="1520"/>
      <c r="AZ502" s="1520"/>
    </row>
    <row r="503" spans="1:54" s="291" customFormat="1" ht="24" customHeight="1">
      <c r="A503" s="311"/>
      <c r="B503" s="1322" t="str">
        <f>C393</f>
        <v>Adecuada disposición final de los residuos sólidos</v>
      </c>
      <c r="C503" s="1322"/>
      <c r="D503" s="1322"/>
      <c r="E503" s="1322"/>
      <c r="F503" s="1322"/>
      <c r="G503" s="1322"/>
      <c r="H503" s="1322"/>
      <c r="I503" s="1322"/>
      <c r="J503" s="1322"/>
      <c r="K503" s="1322"/>
      <c r="L503" s="1322"/>
      <c r="M503" s="1322"/>
      <c r="N503" s="1322"/>
      <c r="O503" s="1322"/>
      <c r="P503" s="1521" t="s">
        <v>407</v>
      </c>
      <c r="Q503" s="1521"/>
      <c r="R503" s="1521"/>
      <c r="S503" s="1521"/>
      <c r="T503" s="1521"/>
      <c r="U503" s="1521"/>
      <c r="V503" s="1316"/>
      <c r="W503" s="1316"/>
      <c r="X503" s="1317"/>
      <c r="Y503" s="1317"/>
      <c r="Z503" s="1317"/>
      <c r="AA503" s="1317"/>
      <c r="AB503" s="1316"/>
      <c r="AC503" s="1316"/>
      <c r="AD503" s="1316"/>
      <c r="AE503" s="1316"/>
      <c r="AF503" s="1316"/>
      <c r="AG503" s="1316"/>
      <c r="AH503" s="1316"/>
      <c r="AI503" s="1316"/>
      <c r="AJ503" s="1316"/>
      <c r="AK503" s="1316"/>
      <c r="AL503" s="1316"/>
      <c r="AM503" s="1316"/>
      <c r="AN503" s="1316"/>
      <c r="AO503" s="1316"/>
      <c r="AP503" s="1316"/>
      <c r="AQ503" s="1316"/>
      <c r="AR503" s="1316"/>
      <c r="AS503" s="1316"/>
      <c r="AT503" s="1623">
        <f>SUMIF(Q456:T461,FICHA!P503,AG456:AJ461)</f>
        <v>0</v>
      </c>
      <c r="AU503" s="1624"/>
      <c r="AV503" s="1624"/>
      <c r="AW503" s="1624"/>
      <c r="AX503" s="1624"/>
      <c r="AY503" s="1624"/>
      <c r="AZ503" s="1625"/>
    </row>
    <row r="504" spans="1:54" s="291" customFormat="1" ht="24" customHeight="1">
      <c r="A504" s="311"/>
      <c r="B504" s="1322"/>
      <c r="C504" s="1322"/>
      <c r="D504" s="1322"/>
      <c r="E504" s="1322"/>
      <c r="F504" s="1322"/>
      <c r="G504" s="1322"/>
      <c r="H504" s="1322"/>
      <c r="I504" s="1322"/>
      <c r="J504" s="1322"/>
      <c r="K504" s="1322"/>
      <c r="L504" s="1322"/>
      <c r="M504" s="1322"/>
      <c r="N504" s="1322"/>
      <c r="O504" s="1322"/>
      <c r="P504" s="1521" t="s">
        <v>29</v>
      </c>
      <c r="Q504" s="1521"/>
      <c r="R504" s="1521"/>
      <c r="S504" s="1521"/>
      <c r="T504" s="1521"/>
      <c r="U504" s="1521"/>
      <c r="V504" s="1316"/>
      <c r="W504" s="1316"/>
      <c r="X504" s="1317"/>
      <c r="Y504" s="1317"/>
      <c r="Z504" s="1317"/>
      <c r="AA504" s="1317"/>
      <c r="AB504" s="1316"/>
      <c r="AC504" s="1316"/>
      <c r="AD504" s="1316"/>
      <c r="AE504" s="1316"/>
      <c r="AF504" s="1316"/>
      <c r="AG504" s="1316"/>
      <c r="AH504" s="1316"/>
      <c r="AI504" s="1316"/>
      <c r="AJ504" s="1316"/>
      <c r="AK504" s="1316"/>
      <c r="AL504" s="1316"/>
      <c r="AM504" s="1316"/>
      <c r="AN504" s="1316"/>
      <c r="AO504" s="1316"/>
      <c r="AP504" s="1316"/>
      <c r="AQ504" s="1316"/>
      <c r="AR504" s="1316"/>
      <c r="AS504" s="1316"/>
      <c r="AT504" s="1623">
        <f>SUMIF(Q456:T461,FICHA!P504,AG456:AJ461)</f>
        <v>0</v>
      </c>
      <c r="AU504" s="1624"/>
      <c r="AV504" s="1624"/>
      <c r="AW504" s="1624"/>
      <c r="AX504" s="1624"/>
      <c r="AY504" s="1624"/>
      <c r="AZ504" s="1625"/>
    </row>
    <row r="505" spans="1:54" s="291" customFormat="1" ht="24" customHeight="1">
      <c r="A505" s="311"/>
      <c r="B505" s="1322"/>
      <c r="C505" s="1322"/>
      <c r="D505" s="1322"/>
      <c r="E505" s="1322"/>
      <c r="F505" s="1322"/>
      <c r="G505" s="1322"/>
      <c r="H505" s="1322"/>
      <c r="I505" s="1322"/>
      <c r="J505" s="1322"/>
      <c r="K505" s="1322"/>
      <c r="L505" s="1322"/>
      <c r="M505" s="1322"/>
      <c r="N505" s="1322"/>
      <c r="O505" s="1322"/>
      <c r="P505" s="1521" t="s">
        <v>538</v>
      </c>
      <c r="Q505" s="1521"/>
      <c r="R505" s="1521"/>
      <c r="S505" s="1521"/>
      <c r="T505" s="1521"/>
      <c r="U505" s="1521"/>
      <c r="V505" s="1316"/>
      <c r="W505" s="1316"/>
      <c r="X505" s="1317"/>
      <c r="Y505" s="1317"/>
      <c r="Z505" s="1317"/>
      <c r="AA505" s="1317"/>
      <c r="AB505" s="1316"/>
      <c r="AC505" s="1316"/>
      <c r="AD505" s="1316"/>
      <c r="AE505" s="1316"/>
      <c r="AF505" s="1316"/>
      <c r="AG505" s="1316"/>
      <c r="AH505" s="1316"/>
      <c r="AI505" s="1316"/>
      <c r="AJ505" s="1316"/>
      <c r="AK505" s="1316"/>
      <c r="AL505" s="1316"/>
      <c r="AM505" s="1316"/>
      <c r="AN505" s="1316"/>
      <c r="AO505" s="1316"/>
      <c r="AP505" s="1316"/>
      <c r="AQ505" s="1316"/>
      <c r="AR505" s="1316"/>
      <c r="AS505" s="1316"/>
      <c r="AT505" s="1623">
        <f>SUMIF(Q456:T461,FICHA!P505,AG456:AJ461)</f>
        <v>0</v>
      </c>
      <c r="AU505" s="1624"/>
      <c r="AV505" s="1624"/>
      <c r="AW505" s="1624"/>
      <c r="AX505" s="1624"/>
      <c r="AY505" s="1624"/>
      <c r="AZ505" s="1625"/>
    </row>
    <row r="506" spans="1:54" s="291" customFormat="1" ht="24" customHeight="1">
      <c r="A506" s="311"/>
      <c r="B506" s="1322"/>
      <c r="C506" s="1322"/>
      <c r="D506" s="1322"/>
      <c r="E506" s="1322"/>
      <c r="F506" s="1322"/>
      <c r="G506" s="1322"/>
      <c r="H506" s="1322"/>
      <c r="I506" s="1322"/>
      <c r="J506" s="1322"/>
      <c r="K506" s="1322"/>
      <c r="L506" s="1322"/>
      <c r="M506" s="1322"/>
      <c r="N506" s="1322"/>
      <c r="O506" s="1322"/>
      <c r="P506" s="1521" t="s">
        <v>408</v>
      </c>
      <c r="Q506" s="1521"/>
      <c r="R506" s="1521"/>
      <c r="S506" s="1521"/>
      <c r="T506" s="1521"/>
      <c r="U506" s="1521"/>
      <c r="V506" s="1316"/>
      <c r="W506" s="1316"/>
      <c r="X506" s="1317"/>
      <c r="Y506" s="1317"/>
      <c r="Z506" s="1317"/>
      <c r="AA506" s="1317"/>
      <c r="AB506" s="1316"/>
      <c r="AC506" s="1316"/>
      <c r="AD506" s="1316"/>
      <c r="AE506" s="1316"/>
      <c r="AF506" s="1316"/>
      <c r="AG506" s="1316"/>
      <c r="AH506" s="1316"/>
      <c r="AI506" s="1316"/>
      <c r="AJ506" s="1316"/>
      <c r="AK506" s="1316"/>
      <c r="AL506" s="1316"/>
      <c r="AM506" s="1316"/>
      <c r="AN506" s="1316"/>
      <c r="AO506" s="1316"/>
      <c r="AP506" s="1316"/>
      <c r="AQ506" s="1316"/>
      <c r="AR506" s="1316"/>
      <c r="AS506" s="1316"/>
      <c r="AT506" s="1623">
        <f>SUMIF(Q456:T461,FICHA!P506,AG456:AJ461)</f>
        <v>0</v>
      </c>
      <c r="AU506" s="1624"/>
      <c r="AV506" s="1624"/>
      <c r="AW506" s="1624"/>
      <c r="AX506" s="1624"/>
      <c r="AY506" s="1624"/>
      <c r="AZ506" s="1625"/>
    </row>
    <row r="507" spans="1:54" s="291" customFormat="1" ht="24" customHeight="1">
      <c r="A507" s="311"/>
      <c r="B507" s="1322" t="str">
        <f>C399</f>
        <v>Eficiente gestión técnica, administrativa, económica y financiera del servicio de limpieza pública</v>
      </c>
      <c r="C507" s="1322"/>
      <c r="D507" s="1322"/>
      <c r="E507" s="1322"/>
      <c r="F507" s="1322"/>
      <c r="G507" s="1322"/>
      <c r="H507" s="1322"/>
      <c r="I507" s="1322"/>
      <c r="J507" s="1322"/>
      <c r="K507" s="1322"/>
      <c r="L507" s="1322"/>
      <c r="M507" s="1322"/>
      <c r="N507" s="1322"/>
      <c r="O507" s="1322"/>
      <c r="P507" s="1521" t="s">
        <v>407</v>
      </c>
      <c r="Q507" s="1521"/>
      <c r="R507" s="1521"/>
      <c r="S507" s="1521"/>
      <c r="T507" s="1521"/>
      <c r="U507" s="1521"/>
      <c r="V507" s="1316"/>
      <c r="W507" s="1316"/>
      <c r="X507" s="1317"/>
      <c r="Y507" s="1317"/>
      <c r="Z507" s="1317"/>
      <c r="AA507" s="1317"/>
      <c r="AB507" s="1316"/>
      <c r="AC507" s="1316"/>
      <c r="AD507" s="1316"/>
      <c r="AE507" s="1316"/>
      <c r="AF507" s="1316"/>
      <c r="AG507" s="1316"/>
      <c r="AH507" s="1316"/>
      <c r="AI507" s="1316"/>
      <c r="AJ507" s="1316"/>
      <c r="AK507" s="1316"/>
      <c r="AL507" s="1316"/>
      <c r="AM507" s="1316"/>
      <c r="AN507" s="1316"/>
      <c r="AO507" s="1316"/>
      <c r="AP507" s="1316"/>
      <c r="AQ507" s="1316"/>
      <c r="AR507" s="1316"/>
      <c r="AS507" s="1316"/>
      <c r="AT507" s="1623">
        <f>SUMIF(Q463:T476,FICHA!P507,AG463:AJ476)</f>
        <v>0</v>
      </c>
      <c r="AU507" s="1624"/>
      <c r="AV507" s="1624"/>
      <c r="AW507" s="1624"/>
      <c r="AX507" s="1624"/>
      <c r="AY507" s="1624"/>
      <c r="AZ507" s="1625"/>
    </row>
    <row r="508" spans="1:54" s="291" customFormat="1" ht="24" customHeight="1">
      <c r="A508" s="311"/>
      <c r="B508" s="1322"/>
      <c r="C508" s="1322"/>
      <c r="D508" s="1322"/>
      <c r="E508" s="1322"/>
      <c r="F508" s="1322"/>
      <c r="G508" s="1322"/>
      <c r="H508" s="1322"/>
      <c r="I508" s="1322"/>
      <c r="J508" s="1322"/>
      <c r="K508" s="1322"/>
      <c r="L508" s="1322"/>
      <c r="M508" s="1322"/>
      <c r="N508" s="1322"/>
      <c r="O508" s="1322"/>
      <c r="P508" s="1521" t="s">
        <v>538</v>
      </c>
      <c r="Q508" s="1521"/>
      <c r="R508" s="1521"/>
      <c r="S508" s="1521"/>
      <c r="T508" s="1521"/>
      <c r="U508" s="1521"/>
      <c r="V508" s="1316"/>
      <c r="W508" s="1316"/>
      <c r="X508" s="1317"/>
      <c r="Y508" s="1317"/>
      <c r="Z508" s="1317"/>
      <c r="AA508" s="1317"/>
      <c r="AB508" s="1316"/>
      <c r="AC508" s="1316"/>
      <c r="AD508" s="1316"/>
      <c r="AE508" s="1316"/>
      <c r="AF508" s="1316"/>
      <c r="AG508" s="1316"/>
      <c r="AH508" s="1316"/>
      <c r="AI508" s="1316"/>
      <c r="AJ508" s="1316"/>
      <c r="AK508" s="1316"/>
      <c r="AL508" s="1316"/>
      <c r="AM508" s="1316"/>
      <c r="AN508" s="1316"/>
      <c r="AO508" s="1316"/>
      <c r="AP508" s="1316"/>
      <c r="AQ508" s="1316"/>
      <c r="AR508" s="1316"/>
      <c r="AS508" s="1316"/>
      <c r="AT508" s="1623">
        <f>SUMIF(Q463:T476,FICHA!P508,AG463:AJ476)</f>
        <v>0</v>
      </c>
      <c r="AU508" s="1624"/>
      <c r="AV508" s="1624"/>
      <c r="AW508" s="1624"/>
      <c r="AX508" s="1624"/>
      <c r="AY508" s="1624"/>
      <c r="AZ508" s="1625"/>
    </row>
    <row r="509" spans="1:54" s="291" customFormat="1" ht="24" customHeight="1">
      <c r="A509" s="311"/>
      <c r="B509" s="1322"/>
      <c r="C509" s="1322"/>
      <c r="D509" s="1322"/>
      <c r="E509" s="1322"/>
      <c r="F509" s="1322"/>
      <c r="G509" s="1322"/>
      <c r="H509" s="1322"/>
      <c r="I509" s="1322"/>
      <c r="J509" s="1322"/>
      <c r="K509" s="1322"/>
      <c r="L509" s="1322"/>
      <c r="M509" s="1322"/>
      <c r="N509" s="1322"/>
      <c r="O509" s="1322"/>
      <c r="P509" s="1521" t="s">
        <v>540</v>
      </c>
      <c r="Q509" s="1521"/>
      <c r="R509" s="1521"/>
      <c r="S509" s="1521"/>
      <c r="T509" s="1521"/>
      <c r="U509" s="1521"/>
      <c r="V509" s="1316"/>
      <c r="W509" s="1316"/>
      <c r="X509" s="1317"/>
      <c r="Y509" s="1317"/>
      <c r="Z509" s="1317"/>
      <c r="AA509" s="1317"/>
      <c r="AB509" s="1316"/>
      <c r="AC509" s="1316"/>
      <c r="AD509" s="1316"/>
      <c r="AE509" s="1316"/>
      <c r="AF509" s="1316"/>
      <c r="AG509" s="1316"/>
      <c r="AH509" s="1316"/>
      <c r="AI509" s="1316"/>
      <c r="AJ509" s="1316"/>
      <c r="AK509" s="1316"/>
      <c r="AL509" s="1316"/>
      <c r="AM509" s="1316"/>
      <c r="AN509" s="1316"/>
      <c r="AO509" s="1316"/>
      <c r="AP509" s="1316"/>
      <c r="AQ509" s="1316"/>
      <c r="AR509" s="1316"/>
      <c r="AS509" s="1316"/>
      <c r="AT509" s="1623">
        <f>SUMIF(Q463:T476,FICHA!P509,AG463:AJ476)</f>
        <v>0</v>
      </c>
      <c r="AU509" s="1624"/>
      <c r="AV509" s="1624"/>
      <c r="AW509" s="1624"/>
      <c r="AX509" s="1624"/>
      <c r="AY509" s="1624"/>
      <c r="AZ509" s="1625"/>
    </row>
    <row r="510" spans="1:54" s="291" customFormat="1" ht="24" customHeight="1">
      <c r="A510" s="311"/>
      <c r="B510" s="1322" t="str">
        <f>C413</f>
        <v>Adecuada educación y cultura ambiental de la población</v>
      </c>
      <c r="C510" s="1322"/>
      <c r="D510" s="1322"/>
      <c r="E510" s="1322"/>
      <c r="F510" s="1322"/>
      <c r="G510" s="1322"/>
      <c r="H510" s="1322"/>
      <c r="I510" s="1322"/>
      <c r="J510" s="1322"/>
      <c r="K510" s="1322"/>
      <c r="L510" s="1322"/>
      <c r="M510" s="1322"/>
      <c r="N510" s="1322"/>
      <c r="O510" s="1322"/>
      <c r="P510" s="1521" t="s">
        <v>540</v>
      </c>
      <c r="Q510" s="1521"/>
      <c r="R510" s="1521"/>
      <c r="S510" s="1521"/>
      <c r="T510" s="1521"/>
      <c r="U510" s="1521"/>
      <c r="V510" s="1316"/>
      <c r="W510" s="1316"/>
      <c r="X510" s="1317"/>
      <c r="Y510" s="1317"/>
      <c r="Z510" s="1317"/>
      <c r="AA510" s="1317"/>
      <c r="AB510" s="1316"/>
      <c r="AC510" s="1316"/>
      <c r="AD510" s="1316"/>
      <c r="AE510" s="1316"/>
      <c r="AF510" s="1316"/>
      <c r="AG510" s="1316"/>
      <c r="AH510" s="1316"/>
      <c r="AI510" s="1316"/>
      <c r="AJ510" s="1316"/>
      <c r="AK510" s="1316"/>
      <c r="AL510" s="1316"/>
      <c r="AM510" s="1316"/>
      <c r="AN510" s="1316"/>
      <c r="AO510" s="1316"/>
      <c r="AP510" s="1316"/>
      <c r="AQ510" s="1316"/>
      <c r="AR510" s="1316"/>
      <c r="AS510" s="1316"/>
      <c r="AT510" s="1623">
        <f>SUMIF(Q478:T484,FICHA!P510,AG478:AJ484)</f>
        <v>0</v>
      </c>
      <c r="AU510" s="1624"/>
      <c r="AV510" s="1624"/>
      <c r="AW510" s="1624"/>
      <c r="AX510" s="1624"/>
      <c r="AY510" s="1624"/>
      <c r="AZ510" s="1625"/>
      <c r="BB510" s="472"/>
    </row>
    <row r="511" spans="1:54" s="291" customFormat="1" ht="24" customHeight="1">
      <c r="A511" s="297"/>
      <c r="B511" s="1329" t="s">
        <v>553</v>
      </c>
      <c r="C511" s="1329"/>
      <c r="D511" s="1329"/>
      <c r="E511" s="1329"/>
      <c r="F511" s="1329"/>
      <c r="G511" s="1329"/>
      <c r="H511" s="1329"/>
      <c r="I511" s="1329"/>
      <c r="J511" s="1329"/>
      <c r="K511" s="1329"/>
      <c r="L511" s="1329"/>
      <c r="M511" s="1329"/>
      <c r="N511" s="1329"/>
      <c r="O511" s="1329"/>
      <c r="P511" s="1521" t="s">
        <v>540</v>
      </c>
      <c r="Q511" s="1521"/>
      <c r="R511" s="1521"/>
      <c r="S511" s="1521"/>
      <c r="T511" s="1521"/>
      <c r="U511" s="1521"/>
      <c r="V511" s="1316"/>
      <c r="W511" s="1316"/>
      <c r="X511" s="1317"/>
      <c r="Y511" s="1317"/>
      <c r="Z511" s="1317"/>
      <c r="AA511" s="1317"/>
      <c r="AB511" s="1316"/>
      <c r="AC511" s="1316"/>
      <c r="AD511" s="1316"/>
      <c r="AE511" s="1316"/>
      <c r="AF511" s="1316"/>
      <c r="AG511" s="1316"/>
      <c r="AH511" s="1316"/>
      <c r="AI511" s="1316"/>
      <c r="AJ511" s="1316"/>
      <c r="AK511" s="1316"/>
      <c r="AL511" s="1316"/>
      <c r="AM511" s="1316"/>
      <c r="AN511" s="1316"/>
      <c r="AO511" s="1316"/>
      <c r="AP511" s="1316"/>
      <c r="AQ511" s="1316"/>
      <c r="AR511" s="1316"/>
      <c r="AS511" s="1316"/>
      <c r="AT511" s="1529">
        <f>'Exp Técnico y otros'!G20</f>
        <v>0</v>
      </c>
      <c r="AU511" s="1529"/>
      <c r="AV511" s="1529"/>
      <c r="AW511" s="1529"/>
      <c r="AX511" s="1529"/>
      <c r="AY511" s="1529"/>
      <c r="AZ511" s="1529"/>
      <c r="BB511" s="471"/>
    </row>
    <row r="512" spans="1:54" s="291" customFormat="1" ht="24" customHeight="1">
      <c r="A512" s="297"/>
      <c r="B512" s="1329" t="s">
        <v>3236</v>
      </c>
      <c r="C512" s="1329"/>
      <c r="D512" s="1329"/>
      <c r="E512" s="1329"/>
      <c r="F512" s="1329"/>
      <c r="G512" s="1329"/>
      <c r="H512" s="1329"/>
      <c r="I512" s="1329"/>
      <c r="J512" s="1329"/>
      <c r="K512" s="1329"/>
      <c r="L512" s="1329"/>
      <c r="M512" s="1329"/>
      <c r="N512" s="1329"/>
      <c r="O512" s="1329"/>
      <c r="P512" s="1521" t="s">
        <v>540</v>
      </c>
      <c r="Q512" s="1521"/>
      <c r="R512" s="1521"/>
      <c r="S512" s="1521"/>
      <c r="T512" s="1521"/>
      <c r="U512" s="1521"/>
      <c r="V512" s="1316"/>
      <c r="W512" s="1316"/>
      <c r="X512" s="1317"/>
      <c r="Y512" s="1317"/>
      <c r="Z512" s="1317"/>
      <c r="AA512" s="1317"/>
      <c r="AB512" s="1316"/>
      <c r="AC512" s="1316"/>
      <c r="AD512" s="1316"/>
      <c r="AE512" s="1316"/>
      <c r="AF512" s="1316"/>
      <c r="AG512" s="1316"/>
      <c r="AH512" s="1316"/>
      <c r="AI512" s="1316"/>
      <c r="AJ512" s="1316"/>
      <c r="AK512" s="1316"/>
      <c r="AL512" s="1316"/>
      <c r="AM512" s="1316"/>
      <c r="AN512" s="1316"/>
      <c r="AO512" s="1316"/>
      <c r="AP512" s="1316"/>
      <c r="AQ512" s="1316"/>
      <c r="AR512" s="1316"/>
      <c r="AS512" s="1316"/>
      <c r="AT512" s="1529">
        <f>'Exp Técnico y otros'!G55</f>
        <v>0</v>
      </c>
      <c r="AU512" s="1529"/>
      <c r="AV512" s="1529"/>
      <c r="AW512" s="1529"/>
      <c r="AX512" s="1529"/>
      <c r="AY512" s="1529"/>
      <c r="AZ512" s="1529"/>
      <c r="BB512" s="473"/>
    </row>
    <row r="513" spans="1:54" s="291" customFormat="1" ht="24.75" customHeight="1">
      <c r="A513" s="297"/>
      <c r="B513" s="1329" t="s">
        <v>3237</v>
      </c>
      <c r="C513" s="1329"/>
      <c r="D513" s="1329"/>
      <c r="E513" s="1329"/>
      <c r="F513" s="1329"/>
      <c r="G513" s="1329"/>
      <c r="H513" s="1329"/>
      <c r="I513" s="1329"/>
      <c r="J513" s="1329"/>
      <c r="K513" s="1329"/>
      <c r="L513" s="1329"/>
      <c r="M513" s="1329"/>
      <c r="N513" s="1329"/>
      <c r="O513" s="1329"/>
      <c r="P513" s="1521" t="s">
        <v>540</v>
      </c>
      <c r="Q513" s="1521"/>
      <c r="R513" s="1521"/>
      <c r="S513" s="1521"/>
      <c r="T513" s="1521"/>
      <c r="U513" s="1521"/>
      <c r="V513" s="1316"/>
      <c r="W513" s="1316"/>
      <c r="X513" s="1317"/>
      <c r="Y513" s="1317"/>
      <c r="Z513" s="1317"/>
      <c r="AA513" s="1317"/>
      <c r="AB513" s="1316"/>
      <c r="AC513" s="1316"/>
      <c r="AD513" s="1316"/>
      <c r="AE513" s="1316"/>
      <c r="AF513" s="1316"/>
      <c r="AG513" s="1316"/>
      <c r="AH513" s="1316"/>
      <c r="AI513" s="1316"/>
      <c r="AJ513" s="1316"/>
      <c r="AK513" s="1316"/>
      <c r="AL513" s="1316"/>
      <c r="AM513" s="1316"/>
      <c r="AN513" s="1316"/>
      <c r="AO513" s="1316"/>
      <c r="AP513" s="1316"/>
      <c r="AQ513" s="1316"/>
      <c r="AR513" s="1316"/>
      <c r="AS513" s="1316"/>
      <c r="AT513" s="1529">
        <f>'Exp Técnico y otros'!G66</f>
        <v>0</v>
      </c>
      <c r="AU513" s="1529"/>
      <c r="AV513" s="1529"/>
      <c r="AW513" s="1529"/>
      <c r="AX513" s="1529"/>
      <c r="AY513" s="1529"/>
      <c r="AZ513" s="1529"/>
      <c r="BB513" s="472"/>
    </row>
    <row r="514" spans="1:54" s="291" customFormat="1" ht="24" customHeight="1">
      <c r="A514" s="297"/>
      <c r="B514" s="1329" t="s">
        <v>3250</v>
      </c>
      <c r="C514" s="1329"/>
      <c r="D514" s="1329"/>
      <c r="E514" s="1329"/>
      <c r="F514" s="1329"/>
      <c r="G514" s="1329"/>
      <c r="H514" s="1329"/>
      <c r="I514" s="1329"/>
      <c r="J514" s="1329"/>
      <c r="K514" s="1329"/>
      <c r="L514" s="1329"/>
      <c r="M514" s="1329"/>
      <c r="N514" s="1329"/>
      <c r="O514" s="1329"/>
      <c r="P514" s="1521" t="s">
        <v>540</v>
      </c>
      <c r="Q514" s="1521"/>
      <c r="R514" s="1521"/>
      <c r="S514" s="1521"/>
      <c r="T514" s="1521"/>
      <c r="U514" s="1521"/>
      <c r="V514" s="1316"/>
      <c r="W514" s="1316"/>
      <c r="X514" s="1317"/>
      <c r="Y514" s="1317"/>
      <c r="Z514" s="1317"/>
      <c r="AA514" s="1317"/>
      <c r="AB514" s="1316"/>
      <c r="AC514" s="1316"/>
      <c r="AD514" s="1316"/>
      <c r="AE514" s="1316"/>
      <c r="AF514" s="1316"/>
      <c r="AG514" s="1316"/>
      <c r="AH514" s="1316"/>
      <c r="AI514" s="1316"/>
      <c r="AJ514" s="1316"/>
      <c r="AK514" s="1316"/>
      <c r="AL514" s="1316"/>
      <c r="AM514" s="1316"/>
      <c r="AN514" s="1316"/>
      <c r="AO514" s="1316"/>
      <c r="AP514" s="1316"/>
      <c r="AQ514" s="1316"/>
      <c r="AR514" s="1316"/>
      <c r="AS514" s="1316"/>
      <c r="AT514" s="1529">
        <f>'Exp Técnico y otros'!G86</f>
        <v>0</v>
      </c>
      <c r="AU514" s="1529"/>
      <c r="AV514" s="1529"/>
      <c r="AW514" s="1529"/>
      <c r="AX514" s="1529"/>
      <c r="AY514" s="1529"/>
      <c r="AZ514" s="1529"/>
    </row>
    <row r="515" spans="1:54" s="291" customFormat="1" ht="24" customHeight="1">
      <c r="A515" s="297"/>
      <c r="B515" s="1329" t="s">
        <v>3251</v>
      </c>
      <c r="C515" s="1329"/>
      <c r="D515" s="1329"/>
      <c r="E515" s="1329"/>
      <c r="F515" s="1329"/>
      <c r="G515" s="1329"/>
      <c r="H515" s="1329"/>
      <c r="I515" s="1329"/>
      <c r="J515" s="1329"/>
      <c r="K515" s="1329"/>
      <c r="L515" s="1329"/>
      <c r="M515" s="1329"/>
      <c r="N515" s="1329"/>
      <c r="O515" s="1329"/>
      <c r="P515" s="1521" t="s">
        <v>540</v>
      </c>
      <c r="Q515" s="1521"/>
      <c r="R515" s="1521"/>
      <c r="S515" s="1521"/>
      <c r="T515" s="1521"/>
      <c r="U515" s="1521"/>
      <c r="V515" s="1316"/>
      <c r="W515" s="1316"/>
      <c r="X515" s="1317"/>
      <c r="Y515" s="1317"/>
      <c r="Z515" s="1317"/>
      <c r="AA515" s="1317"/>
      <c r="AB515" s="1316"/>
      <c r="AC515" s="1316"/>
      <c r="AD515" s="1316"/>
      <c r="AE515" s="1316"/>
      <c r="AF515" s="1316"/>
      <c r="AG515" s="1316"/>
      <c r="AH515" s="1316"/>
      <c r="AI515" s="1316"/>
      <c r="AJ515" s="1316"/>
      <c r="AK515" s="1316"/>
      <c r="AL515" s="1316"/>
      <c r="AM515" s="1316"/>
      <c r="AN515" s="1316"/>
      <c r="AO515" s="1316"/>
      <c r="AP515" s="1316"/>
      <c r="AQ515" s="1316"/>
      <c r="AR515" s="1316"/>
      <c r="AS515" s="1316"/>
      <c r="AT515" s="1529">
        <f>'Exp Técnico y otros'!G100</f>
        <v>0</v>
      </c>
      <c r="AU515" s="1529"/>
      <c r="AV515" s="1529"/>
      <c r="AW515" s="1529"/>
      <c r="AX515" s="1529"/>
      <c r="AY515" s="1529"/>
      <c r="AZ515" s="1529"/>
    </row>
    <row r="516" spans="1:54" s="291" customFormat="1" ht="18.75" customHeight="1">
      <c r="A516" s="297"/>
      <c r="B516" s="1177" t="s">
        <v>10</v>
      </c>
      <c r="C516" s="1178"/>
      <c r="D516" s="1178"/>
      <c r="E516" s="1178"/>
      <c r="F516" s="1178"/>
      <c r="G516" s="1178"/>
      <c r="H516" s="1178"/>
      <c r="I516" s="1178"/>
      <c r="J516" s="1178"/>
      <c r="K516" s="1178"/>
      <c r="L516" s="1178"/>
      <c r="M516" s="1178"/>
      <c r="N516" s="1178"/>
      <c r="O516" s="1178"/>
      <c r="P516" s="1178"/>
      <c r="Q516" s="1178"/>
      <c r="R516" s="1178"/>
      <c r="S516" s="1178"/>
      <c r="T516" s="1178"/>
      <c r="U516" s="1191"/>
      <c r="V516" s="1362">
        <f>SUM(V496:W515)</f>
        <v>0</v>
      </c>
      <c r="W516" s="1362"/>
      <c r="X516" s="1527">
        <f>SUM(X496:Y515)</f>
        <v>0</v>
      </c>
      <c r="Y516" s="1527"/>
      <c r="Z516" s="1527">
        <f>SUM(Z496:AA515)</f>
        <v>0</v>
      </c>
      <c r="AA516" s="1527"/>
      <c r="AB516" s="1527">
        <f>SUM(AB496:AC515)</f>
        <v>0</v>
      </c>
      <c r="AC516" s="1527"/>
      <c r="AD516" s="1527">
        <f>SUM(AD496:AE515)</f>
        <v>0</v>
      </c>
      <c r="AE516" s="1527"/>
      <c r="AF516" s="1527">
        <f>SUM(AF496:AG515)</f>
        <v>0</v>
      </c>
      <c r="AG516" s="1527"/>
      <c r="AH516" s="1527">
        <f>SUM(AH496:AI515)</f>
        <v>0</v>
      </c>
      <c r="AI516" s="1527"/>
      <c r="AJ516" s="1527">
        <f>SUM(AJ496:AK515)</f>
        <v>0</v>
      </c>
      <c r="AK516" s="1527"/>
      <c r="AL516" s="1527">
        <f>SUM(AL496:AM515)</f>
        <v>0</v>
      </c>
      <c r="AM516" s="1527"/>
      <c r="AN516" s="1527">
        <f>SUM(AN496:AO515)</f>
        <v>0</v>
      </c>
      <c r="AO516" s="1527"/>
      <c r="AP516" s="1527">
        <f>SUM(AP496:AQ515)</f>
        <v>0</v>
      </c>
      <c r="AQ516" s="1527"/>
      <c r="AR516" s="1527">
        <f>SUM(AR496:AS515)</f>
        <v>0</v>
      </c>
      <c r="AS516" s="1527"/>
      <c r="AT516" s="1529">
        <f>SUM(AT496:AZ515)</f>
        <v>0</v>
      </c>
      <c r="AU516" s="1529"/>
      <c r="AV516" s="1529"/>
      <c r="AW516" s="1529"/>
      <c r="AX516" s="1529"/>
      <c r="AY516" s="1529"/>
      <c r="AZ516" s="1529"/>
    </row>
    <row r="517" spans="1:54" s="291" customFormat="1" ht="15.75">
      <c r="A517" s="297"/>
      <c r="B517" s="1668" t="s">
        <v>3240</v>
      </c>
      <c r="C517" s="1668"/>
      <c r="D517" s="1668"/>
      <c r="E517" s="1668"/>
      <c r="F517" s="1668"/>
      <c r="G517" s="1668"/>
      <c r="H517" s="1668"/>
      <c r="I517" s="1668"/>
      <c r="J517" s="1668"/>
      <c r="K517" s="1668"/>
      <c r="L517" s="1668"/>
      <c r="M517" s="1668"/>
      <c r="N517" s="1668"/>
      <c r="O517" s="1668"/>
      <c r="P517" s="1668"/>
      <c r="Q517" s="1668"/>
      <c r="R517" s="1668"/>
      <c r="S517" s="1668"/>
      <c r="T517" s="1668"/>
      <c r="U517" s="1668"/>
      <c r="V517" s="1668"/>
      <c r="W517" s="1668"/>
      <c r="X517" s="1668"/>
      <c r="Y517" s="1668"/>
      <c r="Z517" s="1668"/>
      <c r="AA517" s="1668"/>
      <c r="AB517" s="1668"/>
      <c r="AC517" s="1668"/>
      <c r="AD517" s="1668"/>
      <c r="AE517" s="1668"/>
      <c r="AF517" s="1668"/>
      <c r="AG517" s="1668"/>
      <c r="AH517" s="1668"/>
      <c r="AI517" s="1668"/>
      <c r="AJ517" s="1668"/>
      <c r="AK517" s="1668"/>
      <c r="AL517" s="1668"/>
      <c r="AM517" s="1668"/>
      <c r="AN517" s="1668"/>
      <c r="AO517" s="1668"/>
      <c r="AP517" s="1668"/>
      <c r="AQ517" s="1668"/>
      <c r="AR517" s="1668"/>
      <c r="AS517" s="1668"/>
      <c r="AT517" s="1668"/>
      <c r="AU517" s="1668"/>
      <c r="AV517" s="1668"/>
      <c r="AW517" s="1668"/>
      <c r="AX517" s="1668"/>
      <c r="AY517" s="1668"/>
      <c r="AZ517" s="1668"/>
    </row>
    <row r="518" spans="1:54" s="291" customFormat="1" ht="30.75" customHeight="1">
      <c r="A518" s="297"/>
      <c r="B518" s="1626" t="s">
        <v>555</v>
      </c>
      <c r="C518" s="1626"/>
      <c r="D518" s="1626"/>
      <c r="E518" s="1626"/>
      <c r="F518" s="1626"/>
      <c r="G518" s="1626"/>
      <c r="H518" s="1626"/>
      <c r="I518" s="1626"/>
      <c r="J518" s="1626"/>
      <c r="K518" s="1626"/>
      <c r="L518" s="1626"/>
      <c r="M518" s="1626"/>
      <c r="N518" s="1626"/>
      <c r="O518" s="1626"/>
      <c r="P518" s="1626"/>
      <c r="Q518" s="1626"/>
      <c r="R518" s="1626"/>
      <c r="S518" s="1626"/>
      <c r="T518" s="1626"/>
      <c r="U518" s="1626"/>
      <c r="V518" s="1626"/>
      <c r="W518" s="1626"/>
      <c r="X518" s="1626"/>
      <c r="Y518" s="1626"/>
      <c r="Z518" s="1626"/>
      <c r="AA518" s="1626"/>
      <c r="AB518" s="1626"/>
      <c r="AC518" s="1626"/>
      <c r="AD518" s="1626"/>
      <c r="AE518" s="1626"/>
      <c r="AF518" s="1626"/>
      <c r="AG518" s="1626"/>
      <c r="AH518" s="1626"/>
      <c r="AI518" s="1626"/>
      <c r="AJ518" s="1626"/>
      <c r="AK518" s="1626"/>
      <c r="AL518" s="1626"/>
      <c r="AM518" s="1626"/>
      <c r="AN518" s="1626"/>
      <c r="AO518" s="1626"/>
      <c r="AP518" s="1626"/>
      <c r="AQ518" s="1626"/>
      <c r="AR518" s="1626"/>
      <c r="AS518" s="1626"/>
      <c r="AT518" s="1626"/>
      <c r="AU518" s="1626"/>
      <c r="AV518" s="1626"/>
      <c r="AW518" s="1626"/>
      <c r="AX518" s="1626"/>
      <c r="AY518" s="1626"/>
      <c r="AZ518" s="1626"/>
    </row>
    <row r="519" spans="1:54" s="291" customFormat="1" ht="18.75" customHeight="1">
      <c r="A519" s="298"/>
      <c r="B519" s="298"/>
      <c r="C519" s="298"/>
      <c r="D519" s="298"/>
      <c r="E519" s="298"/>
      <c r="F519" s="298"/>
      <c r="G519" s="298"/>
      <c r="H519" s="298"/>
      <c r="I519" s="298"/>
      <c r="J519" s="298"/>
      <c r="K519" s="298"/>
      <c r="L519" s="298"/>
      <c r="M519" s="298"/>
      <c r="N519" s="298"/>
      <c r="O519" s="298"/>
      <c r="P519" s="298"/>
      <c r="Q519" s="301"/>
      <c r="R519" s="301"/>
      <c r="S519" s="298"/>
      <c r="T519" s="298"/>
      <c r="U519" s="302"/>
      <c r="V519" s="302"/>
      <c r="W519" s="302"/>
      <c r="X519" s="302"/>
      <c r="Y519" s="302"/>
      <c r="Z519" s="302"/>
      <c r="AA519" s="302"/>
      <c r="AB519" s="302"/>
      <c r="AC519" s="302"/>
      <c r="AD519" s="302"/>
      <c r="AE519" s="302"/>
      <c r="AF519" s="302"/>
      <c r="AG519" s="302"/>
      <c r="AH519" s="302"/>
      <c r="AI519" s="302"/>
      <c r="AJ519" s="302"/>
      <c r="AK519" s="302"/>
      <c r="AL519" s="302"/>
      <c r="AM519" s="302"/>
      <c r="AN519" s="302"/>
      <c r="AO519" s="302"/>
      <c r="AP519" s="302"/>
      <c r="AQ519" s="302"/>
      <c r="AR519" s="302"/>
      <c r="AS519" s="302"/>
      <c r="AT519" s="302"/>
      <c r="AU519" s="302"/>
      <c r="AV519" s="302"/>
      <c r="AW519" s="302"/>
      <c r="AX519" s="302"/>
      <c r="AY519" s="302"/>
      <c r="AZ519" s="302"/>
    </row>
    <row r="520" spans="1:54" s="291" customFormat="1" ht="20.25" customHeight="1">
      <c r="A520" s="298"/>
      <c r="B520" s="1627" t="s">
        <v>2819</v>
      </c>
      <c r="C520" s="1627"/>
      <c r="D520" s="1627"/>
      <c r="E520" s="1627"/>
      <c r="F520" s="1627"/>
      <c r="G520" s="1627"/>
      <c r="H520" s="1627"/>
      <c r="I520" s="1627"/>
      <c r="J520" s="1627"/>
      <c r="K520" s="1627"/>
      <c r="L520" s="1627"/>
      <c r="M520" s="1627"/>
      <c r="N520" s="1627"/>
      <c r="O520" s="1627"/>
      <c r="P520" s="1627"/>
      <c r="Q520" s="1627"/>
      <c r="R520" s="1627"/>
      <c r="S520" s="1627"/>
      <c r="T520" s="1627"/>
      <c r="U520" s="1528" t="str">
        <f>V493</f>
        <v>AÑO 20_____</v>
      </c>
      <c r="V520" s="1528"/>
      <c r="W520" s="1528"/>
      <c r="X520" s="1528"/>
      <c r="Y520" s="1528"/>
      <c r="Z520" s="1528"/>
      <c r="AA520" s="1528"/>
      <c r="AB520" s="1528"/>
      <c r="AC520" s="1528"/>
      <c r="AD520" s="1528"/>
      <c r="AE520" s="1528"/>
      <c r="AF520" s="1528"/>
      <c r="AG520" s="1528"/>
      <c r="AH520" s="1528"/>
      <c r="AI520" s="1528"/>
      <c r="AJ520" s="1528"/>
      <c r="AK520" s="1528"/>
      <c r="AL520" s="1528"/>
      <c r="AM520" s="1528"/>
      <c r="AN520" s="1528"/>
      <c r="AO520" s="1528"/>
      <c r="AP520" s="1528"/>
      <c r="AQ520" s="1528"/>
      <c r="AR520" s="1528"/>
      <c r="AS520" s="1525" t="s">
        <v>552</v>
      </c>
      <c r="AT520" s="1525"/>
      <c r="AU520" s="1525"/>
      <c r="AV520" s="1525"/>
      <c r="AW520" s="1525"/>
      <c r="AX520" s="1525"/>
      <c r="AY520" s="1525"/>
      <c r="AZ520" s="1525"/>
    </row>
    <row r="521" spans="1:54" s="291" customFormat="1" ht="20.25" customHeight="1">
      <c r="A521" s="298"/>
      <c r="B521" s="1627"/>
      <c r="C521" s="1627"/>
      <c r="D521" s="1627"/>
      <c r="E521" s="1627"/>
      <c r="F521" s="1627"/>
      <c r="G521" s="1627"/>
      <c r="H521" s="1627"/>
      <c r="I521" s="1627"/>
      <c r="J521" s="1627"/>
      <c r="K521" s="1627"/>
      <c r="L521" s="1627"/>
      <c r="M521" s="1627"/>
      <c r="N521" s="1627"/>
      <c r="O521" s="1627"/>
      <c r="P521" s="1627"/>
      <c r="Q521" s="1627"/>
      <c r="R521" s="1627"/>
      <c r="S521" s="1627"/>
      <c r="T521" s="1627"/>
      <c r="U521" s="1528" t="str">
        <f>V494</f>
        <v>Trimestres</v>
      </c>
      <c r="V521" s="1528"/>
      <c r="W521" s="1528"/>
      <c r="X521" s="1528"/>
      <c r="Y521" s="1528"/>
      <c r="Z521" s="1528"/>
      <c r="AA521" s="1528"/>
      <c r="AB521" s="1528"/>
      <c r="AC521" s="1528"/>
      <c r="AD521" s="1528"/>
      <c r="AE521" s="1528"/>
      <c r="AF521" s="1528"/>
      <c r="AG521" s="1528"/>
      <c r="AH521" s="1528"/>
      <c r="AI521" s="1528"/>
      <c r="AJ521" s="1528"/>
      <c r="AK521" s="1528"/>
      <c r="AL521" s="1528"/>
      <c r="AM521" s="1528"/>
      <c r="AN521" s="1528"/>
      <c r="AO521" s="1528"/>
      <c r="AP521" s="1528"/>
      <c r="AQ521" s="1528"/>
      <c r="AR521" s="1528"/>
      <c r="AS521" s="1525"/>
      <c r="AT521" s="1525"/>
      <c r="AU521" s="1525"/>
      <c r="AV521" s="1525"/>
      <c r="AW521" s="1525"/>
      <c r="AX521" s="1525"/>
      <c r="AY521" s="1525"/>
      <c r="AZ521" s="1525"/>
    </row>
    <row r="522" spans="1:54" s="291" customFormat="1" ht="21.75" customHeight="1">
      <c r="A522" s="298"/>
      <c r="B522" s="1627"/>
      <c r="C522" s="1627"/>
      <c r="D522" s="1627"/>
      <c r="E522" s="1627"/>
      <c r="F522" s="1627"/>
      <c r="G522" s="1627"/>
      <c r="H522" s="1627"/>
      <c r="I522" s="1627"/>
      <c r="J522" s="1627"/>
      <c r="K522" s="1627"/>
      <c r="L522" s="1627"/>
      <c r="M522" s="1627"/>
      <c r="N522" s="1627"/>
      <c r="O522" s="1627"/>
      <c r="P522" s="1627"/>
      <c r="Q522" s="1627"/>
      <c r="R522" s="1627"/>
      <c r="S522" s="1627"/>
      <c r="T522" s="1627"/>
      <c r="U522" s="1526" t="s">
        <v>556</v>
      </c>
      <c r="V522" s="1526"/>
      <c r="W522" s="1526" t="s">
        <v>557</v>
      </c>
      <c r="X522" s="1526"/>
      <c r="Y522" s="1526" t="s">
        <v>558</v>
      </c>
      <c r="Z522" s="1526"/>
      <c r="AA522" s="1526" t="s">
        <v>559</v>
      </c>
      <c r="AB522" s="1526"/>
      <c r="AC522" s="1526" t="s">
        <v>560</v>
      </c>
      <c r="AD522" s="1526"/>
      <c r="AE522" s="1526" t="s">
        <v>561</v>
      </c>
      <c r="AF522" s="1526"/>
      <c r="AG522" s="1526" t="s">
        <v>562</v>
      </c>
      <c r="AH522" s="1526"/>
      <c r="AI522" s="1526" t="s">
        <v>563</v>
      </c>
      <c r="AJ522" s="1526"/>
      <c r="AK522" s="1526" t="s">
        <v>564</v>
      </c>
      <c r="AL522" s="1526"/>
      <c r="AM522" s="1526" t="s">
        <v>565</v>
      </c>
      <c r="AN522" s="1526"/>
      <c r="AO522" s="1526" t="s">
        <v>566</v>
      </c>
      <c r="AP522" s="1526"/>
      <c r="AQ522" s="1526" t="s">
        <v>567</v>
      </c>
      <c r="AR522" s="1526"/>
      <c r="AS522" s="1525"/>
      <c r="AT522" s="1525"/>
      <c r="AU522" s="1525"/>
      <c r="AV522" s="1525"/>
      <c r="AW522" s="1525"/>
      <c r="AX522" s="1525"/>
      <c r="AY522" s="1525"/>
      <c r="AZ522" s="1525"/>
    </row>
    <row r="523" spans="1:54" s="291" customFormat="1" ht="18" customHeight="1">
      <c r="A523" s="298"/>
      <c r="B523" s="1530" t="s">
        <v>407</v>
      </c>
      <c r="C523" s="1530"/>
      <c r="D523" s="1530"/>
      <c r="E523" s="1530"/>
      <c r="F523" s="1530"/>
      <c r="G523" s="1530"/>
      <c r="H523" s="1530"/>
      <c r="I523" s="1530"/>
      <c r="J523" s="1530"/>
      <c r="K523" s="1530"/>
      <c r="L523" s="1530"/>
      <c r="M523" s="1530"/>
      <c r="N523" s="1530"/>
      <c r="O523" s="1530"/>
      <c r="P523" s="1530"/>
      <c r="Q523" s="1530"/>
      <c r="R523" s="1530"/>
      <c r="S523" s="1530"/>
      <c r="T523" s="1530"/>
      <c r="U523" s="1297">
        <f ca="1">SUMIF($P$496:$U$510,$B$523,V496:W510)</f>
        <v>0</v>
      </c>
      <c r="V523" s="1297"/>
      <c r="W523" s="1297">
        <f ca="1">SUMIF($P$496:$U$510,$B$523,X496:Y510)</f>
        <v>0</v>
      </c>
      <c r="X523" s="1297"/>
      <c r="Y523" s="1297">
        <f ca="1">SUMIF($P$496:$U$510,$B$523,Z496:AA510)</f>
        <v>0</v>
      </c>
      <c r="Z523" s="1297"/>
      <c r="AA523" s="1297">
        <f ca="1">SUMIF($P$496:$U$510,$B$523,AB496:AC510)</f>
        <v>0</v>
      </c>
      <c r="AB523" s="1297"/>
      <c r="AC523" s="1297">
        <f ca="1">SUMIF($P$496:$U$510,$B$523,AD496:AE510)</f>
        <v>0</v>
      </c>
      <c r="AD523" s="1297"/>
      <c r="AE523" s="1297">
        <f ca="1">SUMIF($P$496:$U$510,$B$523,AF496:AG510)</f>
        <v>0</v>
      </c>
      <c r="AF523" s="1297"/>
      <c r="AG523" s="1297">
        <f ca="1">SUMIF($P$496:$U$510,$B$523,AH496:AI510)</f>
        <v>0</v>
      </c>
      <c r="AH523" s="1297"/>
      <c r="AI523" s="1297">
        <f ca="1">SUMIF($P$496:$U$510,$B$523,AJ496:AK510)</f>
        <v>0</v>
      </c>
      <c r="AJ523" s="1297"/>
      <c r="AK523" s="1297">
        <f ca="1">SUMIF($P$496:$U$510,$B$523,AL496:AM510)</f>
        <v>0</v>
      </c>
      <c r="AL523" s="1297"/>
      <c r="AM523" s="1297">
        <f ca="1">SUMIF($P$496:$U$510,$B$523,AN496:AO510)</f>
        <v>0</v>
      </c>
      <c r="AN523" s="1297"/>
      <c r="AO523" s="1297">
        <f ca="1">SUMIF($P$496:$U$510,$B$523,AP496:AQ510)</f>
        <v>0</v>
      </c>
      <c r="AP523" s="1297"/>
      <c r="AQ523" s="1297">
        <f ca="1">SUMIF($P$496:$U$510,$B$523,AR496:AS510)</f>
        <v>0</v>
      </c>
      <c r="AR523" s="1297"/>
      <c r="AS523" s="1537">
        <f>SUMIF($P$496:$U$510,B523,$AT$496:$AZ$510)</f>
        <v>0</v>
      </c>
      <c r="AT523" s="1537"/>
      <c r="AU523" s="1537"/>
      <c r="AV523" s="1537"/>
      <c r="AW523" s="1537"/>
      <c r="AX523" s="1537"/>
      <c r="AY523" s="1537"/>
      <c r="AZ523" s="1537"/>
    </row>
    <row r="524" spans="1:54" s="291" customFormat="1" ht="18" customHeight="1">
      <c r="A524" s="298"/>
      <c r="B524" s="1530" t="s">
        <v>538</v>
      </c>
      <c r="C524" s="1530"/>
      <c r="D524" s="1530"/>
      <c r="E524" s="1530"/>
      <c r="F524" s="1530"/>
      <c r="G524" s="1530"/>
      <c r="H524" s="1530"/>
      <c r="I524" s="1530"/>
      <c r="J524" s="1530"/>
      <c r="K524" s="1530"/>
      <c r="L524" s="1530"/>
      <c r="M524" s="1530"/>
      <c r="N524" s="1530"/>
      <c r="O524" s="1530"/>
      <c r="P524" s="1530"/>
      <c r="Q524" s="1530"/>
      <c r="R524" s="1530"/>
      <c r="S524" s="1530"/>
      <c r="T524" s="1530"/>
      <c r="U524" s="1297">
        <f ca="1">SUMIF($P$496:$U$510,$B$524,V496:W510)</f>
        <v>0</v>
      </c>
      <c r="V524" s="1297"/>
      <c r="W524" s="1297">
        <f ca="1">SUMIF($P$496:$U$510,$B$524,X496:Y510)</f>
        <v>0</v>
      </c>
      <c r="X524" s="1297"/>
      <c r="Y524" s="1297">
        <f ca="1">SUMIF($P$496:$U$510,$B$524,Z496:AA510)</f>
        <v>0</v>
      </c>
      <c r="Z524" s="1297"/>
      <c r="AA524" s="1297">
        <f ca="1">SUMIF($P$496:$U$510,$B$524,AB496:AC510)</f>
        <v>0</v>
      </c>
      <c r="AB524" s="1297"/>
      <c r="AC524" s="1297">
        <f ca="1">SUMIF($P$496:$U$510,$B$524,AD496:AE510)</f>
        <v>0</v>
      </c>
      <c r="AD524" s="1297"/>
      <c r="AE524" s="1297">
        <f ca="1">SUMIF($P$496:$U$510,$B$524,AF496:AG510)</f>
        <v>0</v>
      </c>
      <c r="AF524" s="1297"/>
      <c r="AG524" s="1297">
        <f ca="1">SUMIF($P$496:$U$510,$B$524,AH496:AI510)</f>
        <v>0</v>
      </c>
      <c r="AH524" s="1297"/>
      <c r="AI524" s="1297">
        <f ca="1">SUMIF($P$496:$U$510,$B$524,AJ496:AK510)</f>
        <v>0</v>
      </c>
      <c r="AJ524" s="1297"/>
      <c r="AK524" s="1297">
        <f ca="1">SUMIF($P$496:$U$510,$B$524,AL496:AM510)</f>
        <v>0</v>
      </c>
      <c r="AL524" s="1297"/>
      <c r="AM524" s="1297">
        <f ca="1">SUMIF($P$496:$U$510,$B$524,AN496:AO510)</f>
        <v>0</v>
      </c>
      <c r="AN524" s="1297"/>
      <c r="AO524" s="1297">
        <f ca="1">SUMIF($P$496:$U$510,$B$524,AP496:AQ510)</f>
        <v>0</v>
      </c>
      <c r="AP524" s="1297"/>
      <c r="AQ524" s="1297">
        <f ca="1">SUMIF($P$496:$U$510,$B$524,AR496:AS510)</f>
        <v>0</v>
      </c>
      <c r="AR524" s="1297"/>
      <c r="AS524" s="1537">
        <f>SUMIF($P$496:$U$510,B524,$AT$496:$AZ$510)</f>
        <v>0</v>
      </c>
      <c r="AT524" s="1537"/>
      <c r="AU524" s="1537"/>
      <c r="AV524" s="1537"/>
      <c r="AW524" s="1537"/>
      <c r="AX524" s="1537"/>
      <c r="AY524" s="1537"/>
      <c r="AZ524" s="1537"/>
    </row>
    <row r="525" spans="1:54" s="291" customFormat="1" ht="18" customHeight="1">
      <c r="A525" s="298"/>
      <c r="B525" s="1530" t="s">
        <v>408</v>
      </c>
      <c r="C525" s="1530"/>
      <c r="D525" s="1530"/>
      <c r="E525" s="1530"/>
      <c r="F525" s="1530"/>
      <c r="G525" s="1530"/>
      <c r="H525" s="1530"/>
      <c r="I525" s="1530"/>
      <c r="J525" s="1530"/>
      <c r="K525" s="1530"/>
      <c r="L525" s="1530"/>
      <c r="M525" s="1530"/>
      <c r="N525" s="1530"/>
      <c r="O525" s="1530"/>
      <c r="P525" s="1530"/>
      <c r="Q525" s="1530"/>
      <c r="R525" s="1530"/>
      <c r="S525" s="1530"/>
      <c r="T525" s="1530"/>
      <c r="U525" s="1297">
        <f ca="1">SUMIF($P$496:$U$510,$B$525,V496:W510)</f>
        <v>0</v>
      </c>
      <c r="V525" s="1297"/>
      <c r="W525" s="1297">
        <f ca="1">SUMIF($P$496:$U$510,$B$525,X496:Y510)</f>
        <v>0</v>
      </c>
      <c r="X525" s="1297"/>
      <c r="Y525" s="1297">
        <f ca="1">SUMIF($P$496:$U$510,$B$525,Z496:AA510)</f>
        <v>0</v>
      </c>
      <c r="Z525" s="1297"/>
      <c r="AA525" s="1297">
        <f ca="1">SUMIF($P$496:$U$510,$B$525,AB496:AC510)</f>
        <v>0</v>
      </c>
      <c r="AB525" s="1297"/>
      <c r="AC525" s="1297">
        <f ca="1">SUMIF($P$496:$U$510,$B$525,AD496:AE510)</f>
        <v>0</v>
      </c>
      <c r="AD525" s="1297"/>
      <c r="AE525" s="1297">
        <f ca="1">SUMIF($P$496:$U$510,$B$525,AF496:AG510)</f>
        <v>0</v>
      </c>
      <c r="AF525" s="1297"/>
      <c r="AG525" s="1297">
        <f ca="1">SUMIF($P$496:$U$510,$B$525,AH496:AI510)</f>
        <v>0</v>
      </c>
      <c r="AH525" s="1297"/>
      <c r="AI525" s="1297">
        <f ca="1">SUMIF($P$496:$U$510,$B$525,AJ496:AK510)</f>
        <v>0</v>
      </c>
      <c r="AJ525" s="1297"/>
      <c r="AK525" s="1297">
        <f ca="1">SUMIF($P$496:$U$510,$B$525,AL496:AM510)</f>
        <v>0</v>
      </c>
      <c r="AL525" s="1297"/>
      <c r="AM525" s="1297">
        <f ca="1">SUMIF($P$496:$U$510,$B$525,AN496:AO510)</f>
        <v>0</v>
      </c>
      <c r="AN525" s="1297"/>
      <c r="AO525" s="1297">
        <f ca="1">SUMIF($P$496:$U$510,$B$525,AP496:AQ510)</f>
        <v>0</v>
      </c>
      <c r="AP525" s="1297"/>
      <c r="AQ525" s="1297">
        <f ca="1">SUMIF($P$496:$U$510,$B$525,AR496:AS510)</f>
        <v>0</v>
      </c>
      <c r="AR525" s="1297"/>
      <c r="AS525" s="1537">
        <f>SUMIF($P$496:$U$510,B525,$AT$496:$AZ$510)</f>
        <v>0</v>
      </c>
      <c r="AT525" s="1537"/>
      <c r="AU525" s="1537"/>
      <c r="AV525" s="1537"/>
      <c r="AW525" s="1537"/>
      <c r="AX525" s="1537"/>
      <c r="AY525" s="1537"/>
      <c r="AZ525" s="1537"/>
    </row>
    <row r="526" spans="1:54" s="291" customFormat="1" ht="18" customHeight="1">
      <c r="A526" s="298"/>
      <c r="B526" s="1530" t="s">
        <v>29</v>
      </c>
      <c r="C526" s="1530"/>
      <c r="D526" s="1530"/>
      <c r="E526" s="1530"/>
      <c r="F526" s="1530"/>
      <c r="G526" s="1530"/>
      <c r="H526" s="1530"/>
      <c r="I526" s="1530"/>
      <c r="J526" s="1530"/>
      <c r="K526" s="1530"/>
      <c r="L526" s="1530"/>
      <c r="M526" s="1530"/>
      <c r="N526" s="1530"/>
      <c r="O526" s="1530"/>
      <c r="P526" s="1530"/>
      <c r="Q526" s="1530"/>
      <c r="R526" s="1530"/>
      <c r="S526" s="1530"/>
      <c r="T526" s="1530"/>
      <c r="U526" s="1297">
        <f ca="1">SUMIF($P$496:$U$510,$B$526,V496:W510)</f>
        <v>0</v>
      </c>
      <c r="V526" s="1297"/>
      <c r="W526" s="1297">
        <f ca="1">SUMIF($P$496:$U$510,$B$526,X496:Y510)</f>
        <v>0</v>
      </c>
      <c r="X526" s="1297"/>
      <c r="Y526" s="1297">
        <f ca="1">SUMIF($P$496:$U$510,$B$526,Z496:AA510)</f>
        <v>0</v>
      </c>
      <c r="Z526" s="1297"/>
      <c r="AA526" s="1297">
        <f ca="1">SUMIF($P$496:$U$510,$B$526,AB496:AC510)</f>
        <v>0</v>
      </c>
      <c r="AB526" s="1297"/>
      <c r="AC526" s="1297">
        <f ca="1">SUMIF($P$496:$U$510,$B$526,AD496:AE510)</f>
        <v>0</v>
      </c>
      <c r="AD526" s="1297"/>
      <c r="AE526" s="1297">
        <f ca="1">SUMIF($P$496:$U$510,$B$526,AF496:AG510)</f>
        <v>0</v>
      </c>
      <c r="AF526" s="1297"/>
      <c r="AG526" s="1297">
        <f ca="1">SUMIF($P$496:$U$510,$B$526,AH496:AI510)</f>
        <v>0</v>
      </c>
      <c r="AH526" s="1297"/>
      <c r="AI526" s="1297">
        <f ca="1">SUMIF($P$496:$U$510,$B$526,AJ496:AK510)</f>
        <v>0</v>
      </c>
      <c r="AJ526" s="1297"/>
      <c r="AK526" s="1297">
        <f ca="1">SUMIF($P$496:$U$510,$B$526,AL496:AM510)</f>
        <v>0</v>
      </c>
      <c r="AL526" s="1297"/>
      <c r="AM526" s="1297">
        <f ca="1">SUMIF($P$496:$U$510,$B$526,AN496:AO510)</f>
        <v>0</v>
      </c>
      <c r="AN526" s="1297"/>
      <c r="AO526" s="1297">
        <f ca="1">SUMIF($P$496:$U$510,$B$526,AP496:AQ510)</f>
        <v>0</v>
      </c>
      <c r="AP526" s="1297"/>
      <c r="AQ526" s="1297">
        <f ca="1">SUMIF($P$496:$U$510,$B$526,AR496:AS510)</f>
        <v>0</v>
      </c>
      <c r="AR526" s="1297"/>
      <c r="AS526" s="1537">
        <f>SUMIF($P$496:$U$510,B526,$AT$496:$AZ$510)</f>
        <v>0</v>
      </c>
      <c r="AT526" s="1537"/>
      <c r="AU526" s="1537"/>
      <c r="AV526" s="1537"/>
      <c r="AW526" s="1537"/>
      <c r="AX526" s="1537"/>
      <c r="AY526" s="1537"/>
      <c r="AZ526" s="1537"/>
    </row>
    <row r="527" spans="1:54" s="291" customFormat="1" ht="18" customHeight="1">
      <c r="A527" s="298"/>
      <c r="B527" s="1530" t="s">
        <v>540</v>
      </c>
      <c r="C527" s="1530"/>
      <c r="D527" s="1530"/>
      <c r="E527" s="1530"/>
      <c r="F527" s="1530"/>
      <c r="G527" s="1530"/>
      <c r="H527" s="1530"/>
      <c r="I527" s="1530"/>
      <c r="J527" s="1530"/>
      <c r="K527" s="1530"/>
      <c r="L527" s="1530"/>
      <c r="M527" s="1530"/>
      <c r="N527" s="1530"/>
      <c r="O527" s="1530"/>
      <c r="P527" s="1530"/>
      <c r="Q527" s="1530"/>
      <c r="R527" s="1530"/>
      <c r="S527" s="1530"/>
      <c r="T527" s="1530"/>
      <c r="U527" s="1297">
        <f ca="1">SUMIF($P$496:$U$510,$B$527,V496:W510)</f>
        <v>0</v>
      </c>
      <c r="V527" s="1297"/>
      <c r="W527" s="1297">
        <f ca="1">SUMIF($P$496:$U$510,$B$527,X496:Y510)</f>
        <v>0</v>
      </c>
      <c r="X527" s="1297"/>
      <c r="Y527" s="1297">
        <f ca="1">SUMIF($P$496:$U$510,$B$527,Z496:AA510)</f>
        <v>0</v>
      </c>
      <c r="Z527" s="1297"/>
      <c r="AA527" s="1297">
        <f ca="1">SUMIF($P$496:$U$510,$B$527,AB496:AC510)</f>
        <v>0</v>
      </c>
      <c r="AB527" s="1297"/>
      <c r="AC527" s="1297">
        <f ca="1">SUMIF($P$496:$U$510,$B$527,AD496:AE510)</f>
        <v>0</v>
      </c>
      <c r="AD527" s="1297"/>
      <c r="AE527" s="1297">
        <f ca="1">SUMIF($P$496:$U$510,$B$527,AF496:AG510)</f>
        <v>0</v>
      </c>
      <c r="AF527" s="1297"/>
      <c r="AG527" s="1297">
        <f ca="1">SUMIF($P$496:$U$510,$B$527,AH496:AI510)</f>
        <v>0</v>
      </c>
      <c r="AH527" s="1297"/>
      <c r="AI527" s="1297">
        <f ca="1">SUMIF($P$496:$U$510,$B$527,AJ496:AK510)</f>
        <v>0</v>
      </c>
      <c r="AJ527" s="1297"/>
      <c r="AK527" s="1297">
        <f ca="1">SUMIF($P$496:$U$510,$B$527,AL496:AM510)</f>
        <v>0</v>
      </c>
      <c r="AL527" s="1297"/>
      <c r="AM527" s="1297">
        <f ca="1">SUMIF($P$496:$U$510,$B$527,AN496:AO510)</f>
        <v>0</v>
      </c>
      <c r="AN527" s="1297"/>
      <c r="AO527" s="1297">
        <f ca="1">SUMIF($P$496:$U$510,$B$527,AP496:AQ510)</f>
        <v>0</v>
      </c>
      <c r="AP527" s="1297"/>
      <c r="AQ527" s="1297">
        <f ca="1">SUMIF($P$496:$U$510,$B$527,AR496:AS510)</f>
        <v>0</v>
      </c>
      <c r="AR527" s="1297"/>
      <c r="AS527" s="1537">
        <f>SUMIF($P$496:$U$510,B527,$AT$496:$AZ$510)</f>
        <v>0</v>
      </c>
      <c r="AT527" s="1537"/>
      <c r="AU527" s="1537"/>
      <c r="AV527" s="1537"/>
      <c r="AW527" s="1537"/>
      <c r="AX527" s="1537"/>
      <c r="AY527" s="1537"/>
      <c r="AZ527" s="1537"/>
    </row>
    <row r="528" spans="1:54" s="291" customFormat="1" ht="18" customHeight="1">
      <c r="A528" s="298"/>
      <c r="B528" s="1660" t="s">
        <v>568</v>
      </c>
      <c r="C528" s="1660"/>
      <c r="D528" s="1660"/>
      <c r="E528" s="1660"/>
      <c r="F528" s="1660"/>
      <c r="G528" s="1660"/>
      <c r="H528" s="1660"/>
      <c r="I528" s="1660"/>
      <c r="J528" s="1660"/>
      <c r="K528" s="1660"/>
      <c r="L528" s="1660"/>
      <c r="M528" s="1660"/>
      <c r="N528" s="1660"/>
      <c r="O528" s="1660"/>
      <c r="P528" s="1660"/>
      <c r="Q528" s="1660"/>
      <c r="R528" s="1660"/>
      <c r="S528" s="1660"/>
      <c r="T528" s="1660"/>
      <c r="U528" s="1297">
        <f ca="1">SUM(U523:V527)</f>
        <v>0</v>
      </c>
      <c r="V528" s="1297"/>
      <c r="W528" s="1297">
        <f ca="1">SUM(W523:X527)</f>
        <v>0</v>
      </c>
      <c r="X528" s="1297"/>
      <c r="Y528" s="1297">
        <f ca="1">SUM(Y523:Z527)</f>
        <v>0</v>
      </c>
      <c r="Z528" s="1297"/>
      <c r="AA528" s="1297">
        <f ca="1">SUM(AA523:AB527)</f>
        <v>0</v>
      </c>
      <c r="AB528" s="1297"/>
      <c r="AC528" s="1297">
        <f ca="1">SUM(AC523:AD527)</f>
        <v>0</v>
      </c>
      <c r="AD528" s="1297"/>
      <c r="AE528" s="1297">
        <f ca="1">SUM(AE523:AF527)</f>
        <v>0</v>
      </c>
      <c r="AF528" s="1297"/>
      <c r="AG528" s="1297">
        <f ca="1">SUM(AG523:AH527)</f>
        <v>0</v>
      </c>
      <c r="AH528" s="1297"/>
      <c r="AI528" s="1297">
        <f ca="1">SUM(AI523:AJ527)</f>
        <v>0</v>
      </c>
      <c r="AJ528" s="1297"/>
      <c r="AK528" s="1297">
        <f ca="1">SUM(AK523:AL527)</f>
        <v>0</v>
      </c>
      <c r="AL528" s="1297"/>
      <c r="AM528" s="1297">
        <f ca="1">SUM(AM523:AN527)</f>
        <v>0</v>
      </c>
      <c r="AN528" s="1297"/>
      <c r="AO528" s="1297">
        <f ca="1">SUM(AO523:AP527)</f>
        <v>0</v>
      </c>
      <c r="AP528" s="1297"/>
      <c r="AQ528" s="1297">
        <f ca="1">SUM(AQ523:AR527)</f>
        <v>0</v>
      </c>
      <c r="AR528" s="1297"/>
      <c r="AS528" s="1536">
        <f>SUM(AS523:AZ527)</f>
        <v>0</v>
      </c>
      <c r="AT528" s="1536"/>
      <c r="AU528" s="1536"/>
      <c r="AV528" s="1536"/>
      <c r="AW528" s="1536"/>
      <c r="AX528" s="1536"/>
      <c r="AY528" s="1536"/>
      <c r="AZ528" s="1536"/>
    </row>
    <row r="529" spans="1:52" s="291" customFormat="1" ht="18" customHeight="1">
      <c r="A529" s="298"/>
      <c r="B529" s="1318" t="s">
        <v>553</v>
      </c>
      <c r="C529" s="1318"/>
      <c r="D529" s="1318"/>
      <c r="E529" s="1318"/>
      <c r="F529" s="1318"/>
      <c r="G529" s="1318"/>
      <c r="H529" s="1318"/>
      <c r="I529" s="1318"/>
      <c r="J529" s="1318"/>
      <c r="K529" s="1318"/>
      <c r="L529" s="1318"/>
      <c r="M529" s="1318"/>
      <c r="N529" s="1318"/>
      <c r="O529" s="1318"/>
      <c r="P529" s="1318"/>
      <c r="Q529" s="1318"/>
      <c r="R529" s="1318"/>
      <c r="S529" s="1318"/>
      <c r="T529" s="1318"/>
      <c r="U529" s="1297">
        <f>V511</f>
        <v>0</v>
      </c>
      <c r="V529" s="1297"/>
      <c r="W529" s="1297">
        <f>X511</f>
        <v>0</v>
      </c>
      <c r="X529" s="1297"/>
      <c r="Y529" s="1297">
        <f>Z511</f>
        <v>0</v>
      </c>
      <c r="Z529" s="1297"/>
      <c r="AA529" s="1297">
        <f>AB511</f>
        <v>0</v>
      </c>
      <c r="AB529" s="1297"/>
      <c r="AC529" s="1297">
        <f>AD511</f>
        <v>0</v>
      </c>
      <c r="AD529" s="1297"/>
      <c r="AE529" s="1297">
        <f>AF511</f>
        <v>0</v>
      </c>
      <c r="AF529" s="1297"/>
      <c r="AG529" s="1297">
        <f>AH511</f>
        <v>0</v>
      </c>
      <c r="AH529" s="1297"/>
      <c r="AI529" s="1297">
        <f>AJ511</f>
        <v>0</v>
      </c>
      <c r="AJ529" s="1297"/>
      <c r="AK529" s="1297">
        <f>AL511</f>
        <v>0</v>
      </c>
      <c r="AL529" s="1297"/>
      <c r="AM529" s="1297">
        <f>AN511</f>
        <v>0</v>
      </c>
      <c r="AN529" s="1297"/>
      <c r="AO529" s="1297">
        <f>AP511</f>
        <v>0</v>
      </c>
      <c r="AP529" s="1297"/>
      <c r="AQ529" s="1297">
        <f>AR511</f>
        <v>0</v>
      </c>
      <c r="AR529" s="1297"/>
      <c r="AS529" s="1537">
        <f>AT511</f>
        <v>0</v>
      </c>
      <c r="AT529" s="1537"/>
      <c r="AU529" s="1537"/>
      <c r="AV529" s="1537"/>
      <c r="AW529" s="1537"/>
      <c r="AX529" s="1537"/>
      <c r="AY529" s="1537"/>
      <c r="AZ529" s="1537"/>
    </row>
    <row r="530" spans="1:52" s="291" customFormat="1" ht="18" customHeight="1">
      <c r="A530" s="298"/>
      <c r="B530" s="1318" t="s">
        <v>3241</v>
      </c>
      <c r="C530" s="1318"/>
      <c r="D530" s="1318"/>
      <c r="E530" s="1318"/>
      <c r="F530" s="1318"/>
      <c r="G530" s="1318"/>
      <c r="H530" s="1318"/>
      <c r="I530" s="1318"/>
      <c r="J530" s="1318"/>
      <c r="K530" s="1318"/>
      <c r="L530" s="1318"/>
      <c r="M530" s="1318"/>
      <c r="N530" s="1318"/>
      <c r="O530" s="1318"/>
      <c r="P530" s="1318"/>
      <c r="Q530" s="1318"/>
      <c r="R530" s="1318"/>
      <c r="S530" s="1318"/>
      <c r="T530" s="1318"/>
      <c r="U530" s="1297">
        <f>V512</f>
        <v>0</v>
      </c>
      <c r="V530" s="1297"/>
      <c r="W530" s="1297">
        <f>X512</f>
        <v>0</v>
      </c>
      <c r="X530" s="1297"/>
      <c r="Y530" s="1297">
        <f>Z512</f>
        <v>0</v>
      </c>
      <c r="Z530" s="1297"/>
      <c r="AA530" s="1297">
        <f>AB512</f>
        <v>0</v>
      </c>
      <c r="AB530" s="1297"/>
      <c r="AC530" s="1297">
        <f>AD512</f>
        <v>0</v>
      </c>
      <c r="AD530" s="1297"/>
      <c r="AE530" s="1297">
        <f>AF512</f>
        <v>0</v>
      </c>
      <c r="AF530" s="1297"/>
      <c r="AG530" s="1297">
        <f>AH512</f>
        <v>0</v>
      </c>
      <c r="AH530" s="1297"/>
      <c r="AI530" s="1297">
        <f>AJ512</f>
        <v>0</v>
      </c>
      <c r="AJ530" s="1297"/>
      <c r="AK530" s="1297">
        <f>AL512</f>
        <v>0</v>
      </c>
      <c r="AL530" s="1297"/>
      <c r="AM530" s="1297">
        <f>AN512</f>
        <v>0</v>
      </c>
      <c r="AN530" s="1297"/>
      <c r="AO530" s="1297">
        <f>AP512</f>
        <v>0</v>
      </c>
      <c r="AP530" s="1297"/>
      <c r="AQ530" s="1297">
        <f>AR512</f>
        <v>0</v>
      </c>
      <c r="AR530" s="1297"/>
      <c r="AS530" s="1537">
        <f>AT512</f>
        <v>0</v>
      </c>
      <c r="AT530" s="1537"/>
      <c r="AU530" s="1537"/>
      <c r="AV530" s="1537"/>
      <c r="AW530" s="1537"/>
      <c r="AX530" s="1537"/>
      <c r="AY530" s="1537"/>
      <c r="AZ530" s="1537"/>
    </row>
    <row r="531" spans="1:52" s="291" customFormat="1" ht="18" customHeight="1">
      <c r="A531" s="298"/>
      <c r="B531" s="1318" t="s">
        <v>3237</v>
      </c>
      <c r="C531" s="1318"/>
      <c r="D531" s="1318"/>
      <c r="E531" s="1318"/>
      <c r="F531" s="1318"/>
      <c r="G531" s="1318"/>
      <c r="H531" s="1318"/>
      <c r="I531" s="1318"/>
      <c r="J531" s="1318"/>
      <c r="K531" s="1318"/>
      <c r="L531" s="1318"/>
      <c r="M531" s="1318"/>
      <c r="N531" s="1318"/>
      <c r="O531" s="1318"/>
      <c r="P531" s="1318"/>
      <c r="Q531" s="1318"/>
      <c r="R531" s="1318"/>
      <c r="S531" s="1318"/>
      <c r="T531" s="1318"/>
      <c r="U531" s="1297">
        <f>V513</f>
        <v>0</v>
      </c>
      <c r="V531" s="1297"/>
      <c r="W531" s="1297">
        <f t="shared" ref="W531:AQ533" si="18">X513</f>
        <v>0</v>
      </c>
      <c r="X531" s="1297"/>
      <c r="Y531" s="1297">
        <f t="shared" si="18"/>
        <v>0</v>
      </c>
      <c r="Z531" s="1297"/>
      <c r="AA531" s="1297">
        <f t="shared" si="18"/>
        <v>0</v>
      </c>
      <c r="AB531" s="1297"/>
      <c r="AC531" s="1297">
        <f t="shared" si="18"/>
        <v>0</v>
      </c>
      <c r="AD531" s="1297"/>
      <c r="AE531" s="1297">
        <f t="shared" si="18"/>
        <v>0</v>
      </c>
      <c r="AF531" s="1297"/>
      <c r="AG531" s="1297">
        <f t="shared" si="18"/>
        <v>0</v>
      </c>
      <c r="AH531" s="1297"/>
      <c r="AI531" s="1297">
        <f t="shared" si="18"/>
        <v>0</v>
      </c>
      <c r="AJ531" s="1297"/>
      <c r="AK531" s="1297">
        <f t="shared" si="18"/>
        <v>0</v>
      </c>
      <c r="AL531" s="1297"/>
      <c r="AM531" s="1297">
        <f t="shared" si="18"/>
        <v>0</v>
      </c>
      <c r="AN531" s="1297"/>
      <c r="AO531" s="1297">
        <f t="shared" si="18"/>
        <v>0</v>
      </c>
      <c r="AP531" s="1297"/>
      <c r="AQ531" s="1297">
        <f t="shared" si="18"/>
        <v>0</v>
      </c>
      <c r="AR531" s="1297"/>
      <c r="AS531" s="1537">
        <f>AT513</f>
        <v>0</v>
      </c>
      <c r="AT531" s="1537"/>
      <c r="AU531" s="1537"/>
      <c r="AV531" s="1537"/>
      <c r="AW531" s="1537"/>
      <c r="AX531" s="1537"/>
      <c r="AY531" s="1537"/>
      <c r="AZ531" s="1537"/>
    </row>
    <row r="532" spans="1:52" s="291" customFormat="1" ht="18" customHeight="1">
      <c r="A532" s="298"/>
      <c r="B532" s="1318" t="s">
        <v>3248</v>
      </c>
      <c r="C532" s="1318"/>
      <c r="D532" s="1318"/>
      <c r="E532" s="1318"/>
      <c r="F532" s="1318"/>
      <c r="G532" s="1318"/>
      <c r="H532" s="1318"/>
      <c r="I532" s="1318"/>
      <c r="J532" s="1318"/>
      <c r="K532" s="1318"/>
      <c r="L532" s="1318"/>
      <c r="M532" s="1318"/>
      <c r="N532" s="1318"/>
      <c r="O532" s="1318"/>
      <c r="P532" s="1318"/>
      <c r="Q532" s="1318"/>
      <c r="R532" s="1318"/>
      <c r="S532" s="1318"/>
      <c r="T532" s="1318"/>
      <c r="U532" s="1297">
        <f>V514</f>
        <v>0</v>
      </c>
      <c r="V532" s="1297"/>
      <c r="W532" s="1297">
        <f t="shared" si="18"/>
        <v>0</v>
      </c>
      <c r="X532" s="1297"/>
      <c r="Y532" s="1297">
        <f t="shared" si="18"/>
        <v>0</v>
      </c>
      <c r="Z532" s="1297"/>
      <c r="AA532" s="1297">
        <f t="shared" si="18"/>
        <v>0</v>
      </c>
      <c r="AB532" s="1297"/>
      <c r="AC532" s="1297">
        <f t="shared" si="18"/>
        <v>0</v>
      </c>
      <c r="AD532" s="1297"/>
      <c r="AE532" s="1297">
        <f t="shared" si="18"/>
        <v>0</v>
      </c>
      <c r="AF532" s="1297"/>
      <c r="AG532" s="1297">
        <f t="shared" si="18"/>
        <v>0</v>
      </c>
      <c r="AH532" s="1297"/>
      <c r="AI532" s="1297">
        <f t="shared" si="18"/>
        <v>0</v>
      </c>
      <c r="AJ532" s="1297"/>
      <c r="AK532" s="1297">
        <f t="shared" si="18"/>
        <v>0</v>
      </c>
      <c r="AL532" s="1297"/>
      <c r="AM532" s="1297">
        <f t="shared" si="18"/>
        <v>0</v>
      </c>
      <c r="AN532" s="1297"/>
      <c r="AO532" s="1297">
        <f t="shared" si="18"/>
        <v>0</v>
      </c>
      <c r="AP532" s="1297"/>
      <c r="AQ532" s="1297">
        <f t="shared" si="18"/>
        <v>0</v>
      </c>
      <c r="AR532" s="1297"/>
      <c r="AS532" s="1537">
        <f>AT514</f>
        <v>0</v>
      </c>
      <c r="AT532" s="1537"/>
      <c r="AU532" s="1537"/>
      <c r="AV532" s="1537"/>
      <c r="AW532" s="1537"/>
      <c r="AX532" s="1537"/>
      <c r="AY532" s="1537"/>
      <c r="AZ532" s="1537"/>
    </row>
    <row r="533" spans="1:52" s="291" customFormat="1" ht="18" customHeight="1">
      <c r="A533" s="298"/>
      <c r="B533" s="1318" t="s">
        <v>3249</v>
      </c>
      <c r="C533" s="1318"/>
      <c r="D533" s="1318"/>
      <c r="E533" s="1318"/>
      <c r="F533" s="1318"/>
      <c r="G533" s="1318"/>
      <c r="H533" s="1318"/>
      <c r="I533" s="1318"/>
      <c r="J533" s="1318"/>
      <c r="K533" s="1318"/>
      <c r="L533" s="1318"/>
      <c r="M533" s="1318"/>
      <c r="N533" s="1318"/>
      <c r="O533" s="1318"/>
      <c r="P533" s="1318"/>
      <c r="Q533" s="1318"/>
      <c r="R533" s="1318"/>
      <c r="S533" s="1318"/>
      <c r="T533" s="1318"/>
      <c r="U533" s="1297">
        <f>V515</f>
        <v>0</v>
      </c>
      <c r="V533" s="1297"/>
      <c r="W533" s="1297">
        <f t="shared" si="18"/>
        <v>0</v>
      </c>
      <c r="X533" s="1297"/>
      <c r="Y533" s="1297">
        <f t="shared" si="18"/>
        <v>0</v>
      </c>
      <c r="Z533" s="1297"/>
      <c r="AA533" s="1297">
        <f t="shared" si="18"/>
        <v>0</v>
      </c>
      <c r="AB533" s="1297"/>
      <c r="AC533" s="1297">
        <f t="shared" si="18"/>
        <v>0</v>
      </c>
      <c r="AD533" s="1297"/>
      <c r="AE533" s="1297">
        <f t="shared" si="18"/>
        <v>0</v>
      </c>
      <c r="AF533" s="1297"/>
      <c r="AG533" s="1297">
        <f t="shared" si="18"/>
        <v>0</v>
      </c>
      <c r="AH533" s="1297"/>
      <c r="AI533" s="1297">
        <f t="shared" si="18"/>
        <v>0</v>
      </c>
      <c r="AJ533" s="1297"/>
      <c r="AK533" s="1297">
        <f t="shared" si="18"/>
        <v>0</v>
      </c>
      <c r="AL533" s="1297"/>
      <c r="AM533" s="1297">
        <f t="shared" si="18"/>
        <v>0</v>
      </c>
      <c r="AN533" s="1297"/>
      <c r="AO533" s="1297">
        <f t="shared" si="18"/>
        <v>0</v>
      </c>
      <c r="AP533" s="1297"/>
      <c r="AQ533" s="1297">
        <f>AR515</f>
        <v>0</v>
      </c>
      <c r="AR533" s="1297"/>
      <c r="AS533" s="1537">
        <f>AT515</f>
        <v>0</v>
      </c>
      <c r="AT533" s="1537"/>
      <c r="AU533" s="1537"/>
      <c r="AV533" s="1537"/>
      <c r="AW533" s="1537"/>
      <c r="AX533" s="1537"/>
      <c r="AY533" s="1537"/>
      <c r="AZ533" s="1537"/>
    </row>
    <row r="534" spans="1:52" s="291" customFormat="1" ht="18" customHeight="1">
      <c r="A534" s="298"/>
      <c r="B534" s="1531" t="s">
        <v>3238</v>
      </c>
      <c r="C534" s="1532"/>
      <c r="D534" s="1532"/>
      <c r="E534" s="1532"/>
      <c r="F534" s="1532"/>
      <c r="G534" s="1532"/>
      <c r="H534" s="1532"/>
      <c r="I534" s="1532"/>
      <c r="J534" s="1532"/>
      <c r="K534" s="1532"/>
      <c r="L534" s="1532"/>
      <c r="M534" s="1532"/>
      <c r="N534" s="1532"/>
      <c r="O534" s="1532"/>
      <c r="P534" s="1532"/>
      <c r="Q534" s="1532"/>
      <c r="R534" s="1532"/>
      <c r="S534" s="1532"/>
      <c r="T534" s="1533"/>
      <c r="U534" s="1534">
        <f ca="1">SUM(U528:V533)</f>
        <v>0</v>
      </c>
      <c r="V534" s="1535"/>
      <c r="W534" s="1534">
        <f ca="1">SUM(W528:X533)</f>
        <v>0</v>
      </c>
      <c r="X534" s="1535"/>
      <c r="Y534" s="1534">
        <f ca="1">SUM(Y528:Z533)</f>
        <v>0</v>
      </c>
      <c r="Z534" s="1535"/>
      <c r="AA534" s="1534">
        <f ca="1">SUM(AA528:AB533)</f>
        <v>0</v>
      </c>
      <c r="AB534" s="1535"/>
      <c r="AC534" s="1534">
        <f ca="1">SUM(AC528:AD533)</f>
        <v>0</v>
      </c>
      <c r="AD534" s="1535"/>
      <c r="AE534" s="1534">
        <f ca="1">SUM(AE528:AF533)</f>
        <v>0</v>
      </c>
      <c r="AF534" s="1535"/>
      <c r="AG534" s="1534">
        <f ca="1">SUM(AG528:AH533)</f>
        <v>0</v>
      </c>
      <c r="AH534" s="1535"/>
      <c r="AI534" s="1534">
        <f ca="1">SUM(AI528:AJ533)</f>
        <v>0</v>
      </c>
      <c r="AJ534" s="1535"/>
      <c r="AK534" s="1534">
        <f ca="1">SUM(AK528:AL533)</f>
        <v>0</v>
      </c>
      <c r="AL534" s="1535"/>
      <c r="AM534" s="1534">
        <f ca="1">SUM(AM528:AN533)</f>
        <v>0</v>
      </c>
      <c r="AN534" s="1535"/>
      <c r="AO534" s="1534">
        <f ca="1">SUM(AO528:AP533)</f>
        <v>0</v>
      </c>
      <c r="AP534" s="1535"/>
      <c r="AQ534" s="1534">
        <f ca="1">SUM(AQ528:AR533)</f>
        <v>0</v>
      </c>
      <c r="AR534" s="1535"/>
      <c r="AS534" s="1536">
        <f>SUM(AS528:AZ533)</f>
        <v>0</v>
      </c>
      <c r="AT534" s="1536"/>
      <c r="AU534" s="1536"/>
      <c r="AV534" s="1536"/>
      <c r="AW534" s="1536"/>
      <c r="AX534" s="1536"/>
      <c r="AY534" s="1536"/>
      <c r="AZ534" s="1536"/>
    </row>
    <row r="535" spans="1:52" s="291" customFormat="1" ht="18" customHeight="1">
      <c r="A535" s="298"/>
      <c r="B535" s="340"/>
      <c r="C535" s="340"/>
      <c r="D535" s="340"/>
      <c r="E535" s="340"/>
      <c r="F535" s="340"/>
      <c r="G535" s="340"/>
      <c r="H535" s="340"/>
      <c r="I535" s="340"/>
      <c r="J535" s="340"/>
      <c r="K535" s="340"/>
      <c r="L535" s="340"/>
      <c r="M535" s="340"/>
      <c r="N535" s="340"/>
      <c r="O535" s="340"/>
      <c r="P535" s="340"/>
      <c r="Q535" s="341"/>
      <c r="R535" s="341"/>
      <c r="S535" s="341"/>
      <c r="T535" s="341"/>
      <c r="U535" s="342"/>
      <c r="V535" s="342"/>
      <c r="W535" s="342"/>
      <c r="X535" s="342"/>
      <c r="Y535" s="341"/>
      <c r="Z535" s="341"/>
      <c r="AA535" s="341"/>
      <c r="AB535" s="342"/>
      <c r="AC535" s="342"/>
      <c r="AD535" s="342"/>
      <c r="AE535" s="342"/>
      <c r="AF535" s="342"/>
      <c r="AG535" s="342"/>
      <c r="AH535" s="342"/>
      <c r="AI535" s="342"/>
      <c r="AJ535" s="342"/>
      <c r="AK535" s="342"/>
      <c r="AL535" s="342"/>
      <c r="AM535" s="342"/>
      <c r="AN535" s="342"/>
      <c r="AO535" s="342"/>
      <c r="AP535" s="342"/>
      <c r="AQ535" s="342"/>
      <c r="AR535" s="342"/>
      <c r="AS535" s="302"/>
      <c r="AT535" s="302"/>
      <c r="AU535" s="302"/>
      <c r="AV535" s="302"/>
      <c r="AW535" s="302"/>
      <c r="AX535" s="302"/>
      <c r="AY535" s="302"/>
      <c r="AZ535" s="302"/>
    </row>
    <row r="536" spans="1:52" s="291" customFormat="1" ht="18" customHeight="1">
      <c r="A536" s="295"/>
      <c r="B536" s="295" t="s">
        <v>2593</v>
      </c>
      <c r="C536" s="295"/>
      <c r="D536" s="295"/>
      <c r="E536" s="295"/>
      <c r="F536" s="295"/>
      <c r="G536" s="295"/>
      <c r="H536" s="295"/>
      <c r="I536" s="295"/>
      <c r="J536" s="295"/>
      <c r="K536" s="295"/>
      <c r="L536" s="295"/>
      <c r="M536" s="295"/>
      <c r="N536" s="295"/>
      <c r="O536" s="295"/>
      <c r="P536" s="295"/>
      <c r="Q536" s="303"/>
      <c r="R536" s="303"/>
      <c r="S536" s="295"/>
      <c r="T536" s="295"/>
      <c r="U536" s="318"/>
      <c r="V536" s="318"/>
      <c r="W536" s="318"/>
      <c r="X536" s="318"/>
      <c r="Y536" s="295"/>
      <c r="Z536" s="295"/>
      <c r="AA536" s="295"/>
      <c r="AB536" s="318"/>
      <c r="AC536" s="318"/>
      <c r="AD536" s="318"/>
      <c r="AE536" s="318"/>
      <c r="AF536" s="318"/>
      <c r="AG536" s="318"/>
      <c r="AH536" s="318"/>
      <c r="AI536" s="318"/>
      <c r="AJ536" s="318"/>
      <c r="AK536" s="318"/>
      <c r="AL536" s="318"/>
      <c r="AM536" s="318"/>
      <c r="AN536" s="318"/>
      <c r="AO536" s="318"/>
      <c r="AP536" s="318"/>
      <c r="AQ536" s="318"/>
      <c r="AR536" s="318"/>
      <c r="AS536" s="318"/>
      <c r="AT536" s="318"/>
      <c r="AU536" s="318"/>
      <c r="AV536" s="318"/>
      <c r="AW536" s="318"/>
      <c r="AX536" s="318"/>
      <c r="AY536" s="318"/>
      <c r="AZ536" s="318"/>
    </row>
    <row r="537" spans="1:52" s="291" customFormat="1" ht="18" customHeight="1">
      <c r="A537" s="295"/>
      <c r="B537" s="295"/>
      <c r="C537" s="295"/>
      <c r="D537" s="295"/>
      <c r="E537" s="295"/>
      <c r="F537" s="295"/>
      <c r="G537" s="295"/>
      <c r="H537" s="295"/>
      <c r="I537" s="295"/>
      <c r="J537" s="295"/>
      <c r="K537" s="295"/>
      <c r="L537" s="295"/>
      <c r="M537" s="295"/>
      <c r="N537" s="295"/>
      <c r="O537" s="295"/>
      <c r="P537" s="295"/>
      <c r="Q537" s="303"/>
      <c r="R537" s="303"/>
      <c r="S537" s="295"/>
      <c r="T537" s="295"/>
      <c r="U537" s="318"/>
      <c r="V537" s="318"/>
      <c r="W537" s="318"/>
      <c r="X537" s="318"/>
      <c r="Y537" s="295"/>
      <c r="Z537" s="295"/>
      <c r="AA537" s="295"/>
      <c r="AB537" s="318"/>
      <c r="AC537" s="318"/>
      <c r="AD537" s="318"/>
      <c r="AE537" s="318"/>
      <c r="AF537" s="318"/>
      <c r="AG537" s="318"/>
      <c r="AH537" s="318"/>
      <c r="AI537" s="318"/>
      <c r="AJ537" s="318"/>
      <c r="AK537" s="318"/>
      <c r="AL537" s="318"/>
      <c r="AM537" s="318"/>
      <c r="AN537" s="318"/>
      <c r="AO537" s="318"/>
      <c r="AP537" s="318"/>
      <c r="AQ537" s="318"/>
      <c r="AR537" s="318"/>
      <c r="AS537" s="318"/>
      <c r="AT537" s="318"/>
      <c r="AU537" s="318"/>
      <c r="AV537" s="318"/>
      <c r="AW537" s="318"/>
      <c r="AX537" s="318"/>
      <c r="AY537" s="318"/>
      <c r="AZ537" s="318"/>
    </row>
    <row r="538" spans="1:52" s="291" customFormat="1" ht="18" customHeight="1">
      <c r="A538" s="297"/>
      <c r="B538" s="1246" t="s">
        <v>2577</v>
      </c>
      <c r="C538" s="1246"/>
      <c r="D538" s="1246"/>
      <c r="E538" s="1246"/>
      <c r="F538" s="1246"/>
      <c r="G538" s="1246"/>
      <c r="H538" s="1246"/>
      <c r="I538" s="1246"/>
      <c r="J538" s="1246"/>
      <c r="K538" s="1246"/>
      <c r="L538" s="1246"/>
      <c r="M538" s="1246"/>
      <c r="N538" s="1246"/>
      <c r="O538" s="1360">
        <f>W489</f>
        <v>0</v>
      </c>
      <c r="P538" s="1360"/>
      <c r="Q538" s="1360"/>
      <c r="R538" s="1364">
        <f>Q489</f>
        <v>0</v>
      </c>
      <c r="S538" s="1365"/>
      <c r="T538" s="1366"/>
      <c r="U538" s="344"/>
      <c r="V538" s="344"/>
      <c r="W538" s="344"/>
      <c r="X538" s="344"/>
      <c r="Y538" s="343"/>
      <c r="Z538" s="343"/>
      <c r="AA538" s="343"/>
      <c r="AB538" s="344"/>
      <c r="AC538" s="344"/>
      <c r="AD538" s="344"/>
      <c r="AE538" s="344"/>
      <c r="AF538" s="344"/>
      <c r="AG538" s="344"/>
      <c r="AH538" s="344"/>
      <c r="AI538" s="344"/>
      <c r="AJ538" s="344"/>
      <c r="AK538" s="344"/>
      <c r="AL538" s="344"/>
      <c r="AM538" s="344"/>
      <c r="AN538" s="344"/>
      <c r="AO538" s="344"/>
      <c r="AP538" s="344"/>
      <c r="AQ538" s="344"/>
      <c r="AR538" s="344"/>
      <c r="AS538" s="344"/>
      <c r="AT538" s="344"/>
      <c r="AU538" s="289"/>
      <c r="AV538" s="289"/>
      <c r="AW538" s="289"/>
      <c r="AX538" s="289"/>
      <c r="AY538" s="289"/>
      <c r="AZ538" s="289"/>
    </row>
    <row r="539" spans="1:52" s="291" customFormat="1" ht="18" customHeight="1">
      <c r="A539" s="297"/>
      <c r="B539" s="288"/>
      <c r="C539" s="288"/>
      <c r="D539" s="288"/>
      <c r="E539" s="288"/>
      <c r="F539" s="288"/>
      <c r="G539" s="288"/>
      <c r="H539" s="288"/>
      <c r="I539" s="288"/>
      <c r="J539" s="288"/>
      <c r="K539" s="287"/>
      <c r="L539" s="287"/>
      <c r="M539" s="287"/>
      <c r="N539" s="287"/>
      <c r="O539" s="287"/>
      <c r="P539" s="287"/>
      <c r="Q539" s="1158"/>
      <c r="R539" s="1158"/>
      <c r="S539" s="287"/>
      <c r="T539" s="287"/>
      <c r="U539" s="288"/>
      <c r="V539" s="288"/>
      <c r="W539" s="288"/>
      <c r="X539" s="288"/>
      <c r="Y539" s="1664" t="s">
        <v>3239</v>
      </c>
      <c r="Z539" s="1664"/>
      <c r="AA539" s="1664"/>
      <c r="AB539" s="1664"/>
      <c r="AC539" s="1664"/>
      <c r="AD539" s="1664"/>
      <c r="AE539" s="1664"/>
      <c r="AF539" s="1664"/>
      <c r="AG539" s="1664"/>
      <c r="AH539" s="1664"/>
      <c r="AI539" s="1664"/>
      <c r="AJ539" s="1664"/>
      <c r="AK539" s="1664"/>
      <c r="AL539" s="1664"/>
      <c r="AM539" s="1664"/>
      <c r="AN539" s="1664"/>
      <c r="AO539" s="1664"/>
      <c r="AP539" s="1664"/>
      <c r="AQ539" s="1664"/>
      <c r="AR539" s="1664"/>
      <c r="AS539" s="1664"/>
      <c r="AT539" s="1664"/>
      <c r="AU539" s="1664"/>
      <c r="AV539" s="1664"/>
      <c r="AW539" s="288"/>
      <c r="AX539" s="288"/>
      <c r="AY539" s="288"/>
      <c r="AZ539" s="288"/>
    </row>
    <row r="540" spans="1:52" s="291" customFormat="1" ht="15.75">
      <c r="A540" s="294"/>
      <c r="B540" s="1508" t="s">
        <v>2306</v>
      </c>
      <c r="C540" s="1509"/>
      <c r="D540" s="1509"/>
      <c r="E540" s="1509"/>
      <c r="F540" s="1509"/>
      <c r="G540" s="1509"/>
      <c r="H540" s="1509"/>
      <c r="I540" s="1509"/>
      <c r="J540" s="1509"/>
      <c r="K540" s="1509"/>
      <c r="L540" s="1509"/>
      <c r="M540" s="1509"/>
      <c r="N540" s="1509"/>
      <c r="O540" s="1509"/>
      <c r="P540" s="1509"/>
      <c r="Q540" s="1510"/>
      <c r="R540" s="1221" t="s">
        <v>545</v>
      </c>
      <c r="S540" s="1221"/>
      <c r="T540" s="1221"/>
      <c r="U540" s="1508" t="s">
        <v>569</v>
      </c>
      <c r="V540" s="1509"/>
      <c r="W540" s="1509"/>
      <c r="X540" s="1510"/>
      <c r="Y540" s="1256" t="str">
        <f>V493</f>
        <v>AÑO 20_____</v>
      </c>
      <c r="Z540" s="1256"/>
      <c r="AA540" s="1256"/>
      <c r="AB540" s="1256"/>
      <c r="AC540" s="1256"/>
      <c r="AD540" s="1256"/>
      <c r="AE540" s="1256"/>
      <c r="AF540" s="1256"/>
      <c r="AG540" s="1256"/>
      <c r="AH540" s="1256"/>
      <c r="AI540" s="1256"/>
      <c r="AJ540" s="1256"/>
      <c r="AK540" s="1256"/>
      <c r="AL540" s="1256"/>
      <c r="AM540" s="1256"/>
      <c r="AN540" s="1256"/>
      <c r="AO540" s="1256"/>
      <c r="AP540" s="1256"/>
      <c r="AQ540" s="1256"/>
      <c r="AR540" s="1256"/>
      <c r="AS540" s="1256"/>
      <c r="AT540" s="1256"/>
      <c r="AU540" s="1256"/>
      <c r="AV540" s="1256"/>
      <c r="AW540" s="1256" t="s">
        <v>570</v>
      </c>
      <c r="AX540" s="1256"/>
      <c r="AY540" s="1256"/>
      <c r="AZ540" s="1256"/>
    </row>
    <row r="541" spans="1:52" s="291" customFormat="1" ht="15.75">
      <c r="A541" s="294"/>
      <c r="B541" s="1538"/>
      <c r="C541" s="1539"/>
      <c r="D541" s="1539"/>
      <c r="E541" s="1539"/>
      <c r="F541" s="1539"/>
      <c r="G541" s="1539"/>
      <c r="H541" s="1539"/>
      <c r="I541" s="1539"/>
      <c r="J541" s="1539"/>
      <c r="K541" s="1539"/>
      <c r="L541" s="1539"/>
      <c r="M541" s="1539"/>
      <c r="N541" s="1539"/>
      <c r="O541" s="1539"/>
      <c r="P541" s="1539"/>
      <c r="Q541" s="1540"/>
      <c r="R541" s="1221"/>
      <c r="S541" s="1221"/>
      <c r="T541" s="1221"/>
      <c r="U541" s="1538"/>
      <c r="V541" s="1539"/>
      <c r="W541" s="1539"/>
      <c r="X541" s="1540"/>
      <c r="Y541" s="1256" t="str">
        <f>V494</f>
        <v>Trimestres</v>
      </c>
      <c r="Z541" s="1256"/>
      <c r="AA541" s="1256"/>
      <c r="AB541" s="1256"/>
      <c r="AC541" s="1256"/>
      <c r="AD541" s="1256"/>
      <c r="AE541" s="1256"/>
      <c r="AF541" s="1256"/>
      <c r="AG541" s="1256"/>
      <c r="AH541" s="1256"/>
      <c r="AI541" s="1256"/>
      <c r="AJ541" s="1256"/>
      <c r="AK541" s="1256"/>
      <c r="AL541" s="1256"/>
      <c r="AM541" s="1256"/>
      <c r="AN541" s="1256"/>
      <c r="AO541" s="1256"/>
      <c r="AP541" s="1256"/>
      <c r="AQ541" s="1256"/>
      <c r="AR541" s="1256"/>
      <c r="AS541" s="1256"/>
      <c r="AT541" s="1256"/>
      <c r="AU541" s="1256"/>
      <c r="AV541" s="1256"/>
      <c r="AW541" s="1256"/>
      <c r="AX541" s="1256"/>
      <c r="AY541" s="1256"/>
      <c r="AZ541" s="1256"/>
    </row>
    <row r="542" spans="1:52" s="291" customFormat="1" ht="19.5" customHeight="1">
      <c r="A542" s="294"/>
      <c r="B542" s="1511"/>
      <c r="C542" s="1512"/>
      <c r="D542" s="1512"/>
      <c r="E542" s="1512"/>
      <c r="F542" s="1512"/>
      <c r="G542" s="1512"/>
      <c r="H542" s="1512"/>
      <c r="I542" s="1512"/>
      <c r="J542" s="1512"/>
      <c r="K542" s="1512"/>
      <c r="L542" s="1512"/>
      <c r="M542" s="1512"/>
      <c r="N542" s="1512"/>
      <c r="O542" s="1512"/>
      <c r="P542" s="1512"/>
      <c r="Q542" s="1513"/>
      <c r="R542" s="1221"/>
      <c r="S542" s="1221"/>
      <c r="T542" s="1221"/>
      <c r="U542" s="1511"/>
      <c r="V542" s="1512"/>
      <c r="W542" s="1512"/>
      <c r="X542" s="1513"/>
      <c r="Y542" s="1305">
        <v>1</v>
      </c>
      <c r="Z542" s="1307"/>
      <c r="AA542" s="1305">
        <v>2</v>
      </c>
      <c r="AB542" s="1307"/>
      <c r="AC542" s="1253">
        <v>3</v>
      </c>
      <c r="AD542" s="1255"/>
      <c r="AE542" s="1253">
        <v>4</v>
      </c>
      <c r="AF542" s="1255"/>
      <c r="AG542" s="1253">
        <v>5</v>
      </c>
      <c r="AH542" s="1255"/>
      <c r="AI542" s="1253">
        <v>6</v>
      </c>
      <c r="AJ542" s="1255"/>
      <c r="AK542" s="1253">
        <v>7</v>
      </c>
      <c r="AL542" s="1255"/>
      <c r="AM542" s="1253">
        <v>8</v>
      </c>
      <c r="AN542" s="1255"/>
      <c r="AO542" s="1253">
        <v>9</v>
      </c>
      <c r="AP542" s="1255"/>
      <c r="AQ542" s="1253">
        <v>10</v>
      </c>
      <c r="AR542" s="1255"/>
      <c r="AS542" s="1253">
        <v>11</v>
      </c>
      <c r="AT542" s="1255"/>
      <c r="AU542" s="1253">
        <v>12</v>
      </c>
      <c r="AV542" s="1255"/>
      <c r="AW542" s="1256"/>
      <c r="AX542" s="1256"/>
      <c r="AY542" s="1256"/>
      <c r="AZ542" s="1256"/>
    </row>
    <row r="543" spans="1:52" s="291" customFormat="1" ht="24.75" customHeight="1">
      <c r="A543" s="311"/>
      <c r="B543" s="1382" t="str">
        <f t="shared" ref="B543:B574" si="19">B430</f>
        <v>Adecuado almacenamiento en vías urbanas y áreas públicas</v>
      </c>
      <c r="C543" s="1383"/>
      <c r="D543" s="1383"/>
      <c r="E543" s="1383"/>
      <c r="F543" s="1383"/>
      <c r="G543" s="1383"/>
      <c r="H543" s="1383"/>
      <c r="I543" s="1383"/>
      <c r="J543" s="1383"/>
      <c r="K543" s="1383"/>
      <c r="L543" s="1383"/>
      <c r="M543" s="1383"/>
      <c r="N543" s="1383"/>
      <c r="O543" s="1383"/>
      <c r="P543" s="1383"/>
      <c r="Q543" s="1383"/>
      <c r="R543" s="1383"/>
      <c r="S543" s="1383"/>
      <c r="T543" s="1383"/>
      <c r="U543" s="1383"/>
      <c r="V543" s="1383"/>
      <c r="W543" s="1383"/>
      <c r="X543" s="1383"/>
      <c r="Y543" s="1383"/>
      <c r="Z543" s="1383"/>
      <c r="AA543" s="1383"/>
      <c r="AB543" s="1383"/>
      <c r="AC543" s="1383"/>
      <c r="AD543" s="1383"/>
      <c r="AE543" s="1383"/>
      <c r="AF543" s="1383"/>
      <c r="AG543" s="1383"/>
      <c r="AH543" s="1383"/>
      <c r="AI543" s="1383"/>
      <c r="AJ543" s="1383"/>
      <c r="AK543" s="1383"/>
      <c r="AL543" s="1383"/>
      <c r="AM543" s="1383"/>
      <c r="AN543" s="1383"/>
      <c r="AO543" s="1383"/>
      <c r="AP543" s="1383"/>
      <c r="AQ543" s="1383"/>
      <c r="AR543" s="1383"/>
      <c r="AS543" s="1383"/>
      <c r="AT543" s="1383"/>
      <c r="AU543" s="1383"/>
      <c r="AV543" s="1384"/>
      <c r="AW543" s="1274"/>
      <c r="AX543" s="1275"/>
      <c r="AY543" s="1275"/>
      <c r="AZ543" s="1276"/>
    </row>
    <row r="544" spans="1:52" s="291" customFormat="1" ht="28.5" customHeight="1">
      <c r="A544" s="311"/>
      <c r="B544" s="1371">
        <f t="shared" si="19"/>
        <v>0</v>
      </c>
      <c r="C544" s="1372"/>
      <c r="D544" s="1372"/>
      <c r="E544" s="1372"/>
      <c r="F544" s="1372"/>
      <c r="G544" s="1372"/>
      <c r="H544" s="1372"/>
      <c r="I544" s="1372"/>
      <c r="J544" s="1372"/>
      <c r="K544" s="1372"/>
      <c r="L544" s="1372"/>
      <c r="M544" s="1372"/>
      <c r="N544" s="1372"/>
      <c r="O544" s="1372"/>
      <c r="P544" s="1372"/>
      <c r="Q544" s="1373"/>
      <c r="R544" s="1243" t="str">
        <f>Q431</f>
        <v>Equipamiento</v>
      </c>
      <c r="S544" s="1303"/>
      <c r="T544" s="1304"/>
      <c r="U544" s="1298" t="str">
        <f>AA431</f>
        <v>Unidades de equipamiento</v>
      </c>
      <c r="V544" s="1299"/>
      <c r="W544" s="1299"/>
      <c r="X544" s="1300"/>
      <c r="Y544" s="1247"/>
      <c r="Z544" s="1248"/>
      <c r="AA544" s="1247"/>
      <c r="AB544" s="1248"/>
      <c r="AC544" s="1247"/>
      <c r="AD544" s="1248"/>
      <c r="AE544" s="1247"/>
      <c r="AF544" s="1248"/>
      <c r="AG544" s="1247"/>
      <c r="AH544" s="1248"/>
      <c r="AI544" s="1247"/>
      <c r="AJ544" s="1248"/>
      <c r="AK544" s="1247"/>
      <c r="AL544" s="1248"/>
      <c r="AM544" s="1247"/>
      <c r="AN544" s="1248"/>
      <c r="AO544" s="1247"/>
      <c r="AP544" s="1248"/>
      <c r="AQ544" s="1247"/>
      <c r="AR544" s="1248"/>
      <c r="AS544" s="1247"/>
      <c r="AT544" s="1248"/>
      <c r="AU544" s="1247"/>
      <c r="AV544" s="1248"/>
      <c r="AW544" s="1274">
        <f>AD431</f>
        <v>0</v>
      </c>
      <c r="AX544" s="1275"/>
      <c r="AY544" s="1275"/>
      <c r="AZ544" s="1276"/>
    </row>
    <row r="545" spans="1:52" s="291" customFormat="1" ht="24.75" customHeight="1">
      <c r="A545" s="311"/>
      <c r="B545" s="1382" t="str">
        <f t="shared" si="19"/>
        <v>Adecuado barrido de vías urbanas y áreas públicas</v>
      </c>
      <c r="C545" s="1383"/>
      <c r="D545" s="1383"/>
      <c r="E545" s="1383"/>
      <c r="F545" s="1383"/>
      <c r="G545" s="1383"/>
      <c r="H545" s="1383"/>
      <c r="I545" s="1383"/>
      <c r="J545" s="1383"/>
      <c r="K545" s="1383"/>
      <c r="L545" s="1383"/>
      <c r="M545" s="1383"/>
      <c r="N545" s="1383"/>
      <c r="O545" s="1383"/>
      <c r="P545" s="1383"/>
      <c r="Q545" s="1383"/>
      <c r="R545" s="1383"/>
      <c r="S545" s="1383"/>
      <c r="T545" s="1383"/>
      <c r="U545" s="1383"/>
      <c r="V545" s="1383"/>
      <c r="W545" s="1383"/>
      <c r="X545" s="1383"/>
      <c r="Y545" s="1383"/>
      <c r="Z545" s="1383"/>
      <c r="AA545" s="1383"/>
      <c r="AB545" s="1383"/>
      <c r="AC545" s="1383"/>
      <c r="AD545" s="1383"/>
      <c r="AE545" s="1383"/>
      <c r="AF545" s="1383"/>
      <c r="AG545" s="1383"/>
      <c r="AH545" s="1383"/>
      <c r="AI545" s="1383"/>
      <c r="AJ545" s="1383"/>
      <c r="AK545" s="1383"/>
      <c r="AL545" s="1383"/>
      <c r="AM545" s="1383"/>
      <c r="AN545" s="1383"/>
      <c r="AO545" s="1383"/>
      <c r="AP545" s="1383"/>
      <c r="AQ545" s="1383"/>
      <c r="AR545" s="1383"/>
      <c r="AS545" s="1383"/>
      <c r="AT545" s="1383"/>
      <c r="AU545" s="1383"/>
      <c r="AV545" s="1384"/>
      <c r="AW545" s="1274"/>
      <c r="AX545" s="1275"/>
      <c r="AY545" s="1275"/>
      <c r="AZ545" s="1276"/>
    </row>
    <row r="546" spans="1:52" s="291" customFormat="1" ht="37.5" customHeight="1">
      <c r="A546" s="311"/>
      <c r="B546" s="1371">
        <f t="shared" si="19"/>
        <v>0</v>
      </c>
      <c r="C546" s="1372"/>
      <c r="D546" s="1372"/>
      <c r="E546" s="1372"/>
      <c r="F546" s="1372"/>
      <c r="G546" s="1372"/>
      <c r="H546" s="1372"/>
      <c r="I546" s="1372"/>
      <c r="J546" s="1372"/>
      <c r="K546" s="1372"/>
      <c r="L546" s="1372"/>
      <c r="M546" s="1372"/>
      <c r="N546" s="1372"/>
      <c r="O546" s="1372"/>
      <c r="P546" s="1372"/>
      <c r="Q546" s="1373"/>
      <c r="R546" s="1243" t="str">
        <f>Q433</f>
        <v>Equipamiento</v>
      </c>
      <c r="S546" s="1303"/>
      <c r="T546" s="1304"/>
      <c r="U546" s="1298" t="str">
        <f>AA433</f>
        <v>Unidades de equipamiento</v>
      </c>
      <c r="V546" s="1299"/>
      <c r="W546" s="1299"/>
      <c r="X546" s="1300"/>
      <c r="Y546" s="1247"/>
      <c r="Z546" s="1248"/>
      <c r="AA546" s="1247"/>
      <c r="AB546" s="1248"/>
      <c r="AC546" s="1247"/>
      <c r="AD546" s="1248"/>
      <c r="AE546" s="1247"/>
      <c r="AF546" s="1248"/>
      <c r="AG546" s="1247"/>
      <c r="AH546" s="1248"/>
      <c r="AI546" s="1247"/>
      <c r="AJ546" s="1248"/>
      <c r="AK546" s="1247"/>
      <c r="AL546" s="1248"/>
      <c r="AM546" s="1247"/>
      <c r="AN546" s="1248"/>
      <c r="AO546" s="1247"/>
      <c r="AP546" s="1248"/>
      <c r="AQ546" s="1247"/>
      <c r="AR546" s="1248"/>
      <c r="AS546" s="1247"/>
      <c r="AT546" s="1248"/>
      <c r="AU546" s="1247"/>
      <c r="AV546" s="1248"/>
      <c r="AW546" s="1274">
        <f>AD433</f>
        <v>0</v>
      </c>
      <c r="AX546" s="1275"/>
      <c r="AY546" s="1275"/>
      <c r="AZ546" s="1276"/>
    </row>
    <row r="547" spans="1:52" s="291" customFormat="1" ht="33" customHeight="1">
      <c r="A547" s="311"/>
      <c r="B547" s="1371">
        <f t="shared" si="19"/>
        <v>0</v>
      </c>
      <c r="C547" s="1372"/>
      <c r="D547" s="1372"/>
      <c r="E547" s="1372"/>
      <c r="F547" s="1372"/>
      <c r="G547" s="1372"/>
      <c r="H547" s="1372"/>
      <c r="I547" s="1372"/>
      <c r="J547" s="1372"/>
      <c r="K547" s="1372"/>
      <c r="L547" s="1372"/>
      <c r="M547" s="1372"/>
      <c r="N547" s="1372"/>
      <c r="O547" s="1372"/>
      <c r="P547" s="1372"/>
      <c r="Q547" s="1373"/>
      <c r="R547" s="1243" t="str">
        <f>Q434</f>
        <v>Equipamiento</v>
      </c>
      <c r="S547" s="1303"/>
      <c r="T547" s="1304"/>
      <c r="U547" s="1298" t="str">
        <f>AA434</f>
        <v>Unidades de equipamiento</v>
      </c>
      <c r="V547" s="1299"/>
      <c r="W547" s="1299"/>
      <c r="X547" s="1300"/>
      <c r="Y547" s="1247"/>
      <c r="Z547" s="1248"/>
      <c r="AA547" s="1247"/>
      <c r="AB547" s="1248"/>
      <c r="AC547" s="1247"/>
      <c r="AD547" s="1248"/>
      <c r="AE547" s="1247"/>
      <c r="AF547" s="1248"/>
      <c r="AG547" s="1247"/>
      <c r="AH547" s="1248"/>
      <c r="AI547" s="1247"/>
      <c r="AJ547" s="1248"/>
      <c r="AK547" s="1247"/>
      <c r="AL547" s="1248"/>
      <c r="AM547" s="1247"/>
      <c r="AN547" s="1248"/>
      <c r="AO547" s="1247"/>
      <c r="AP547" s="1248"/>
      <c r="AQ547" s="1247"/>
      <c r="AR547" s="1248"/>
      <c r="AS547" s="1247"/>
      <c r="AT547" s="1248"/>
      <c r="AU547" s="1247"/>
      <c r="AV547" s="1248"/>
      <c r="AW547" s="1311">
        <f>AD434</f>
        <v>0</v>
      </c>
      <c r="AX547" s="1312"/>
      <c r="AY547" s="1312"/>
      <c r="AZ547" s="1313"/>
    </row>
    <row r="548" spans="1:52" s="291" customFormat="1" ht="33" customHeight="1">
      <c r="A548" s="311"/>
      <c r="B548" s="1371">
        <f t="shared" si="19"/>
        <v>0</v>
      </c>
      <c r="C548" s="1372"/>
      <c r="D548" s="1372"/>
      <c r="E548" s="1372"/>
      <c r="F548" s="1372"/>
      <c r="G548" s="1372"/>
      <c r="H548" s="1372"/>
      <c r="I548" s="1372"/>
      <c r="J548" s="1372"/>
      <c r="K548" s="1372"/>
      <c r="L548" s="1372"/>
      <c r="M548" s="1372"/>
      <c r="N548" s="1372"/>
      <c r="O548" s="1372"/>
      <c r="P548" s="1372"/>
      <c r="Q548" s="1373"/>
      <c r="R548" s="1243" t="str">
        <f>Q435</f>
        <v>Equipamiento</v>
      </c>
      <c r="S548" s="1303"/>
      <c r="T548" s="1304"/>
      <c r="U548" s="1298" t="str">
        <f>AA435</f>
        <v>Unidades de equipamiento</v>
      </c>
      <c r="V548" s="1299"/>
      <c r="W548" s="1299"/>
      <c r="X548" s="1300"/>
      <c r="Y548" s="1247"/>
      <c r="Z548" s="1248"/>
      <c r="AA548" s="1247"/>
      <c r="AB548" s="1248"/>
      <c r="AC548" s="1247"/>
      <c r="AD548" s="1248"/>
      <c r="AE548" s="1247"/>
      <c r="AF548" s="1248"/>
      <c r="AG548" s="1247"/>
      <c r="AH548" s="1248"/>
      <c r="AI548" s="1247"/>
      <c r="AJ548" s="1248"/>
      <c r="AK548" s="1247"/>
      <c r="AL548" s="1248"/>
      <c r="AM548" s="1247"/>
      <c r="AN548" s="1248"/>
      <c r="AO548" s="1247"/>
      <c r="AP548" s="1248"/>
      <c r="AQ548" s="1247"/>
      <c r="AR548" s="1248"/>
      <c r="AS548" s="1247"/>
      <c r="AT548" s="1248"/>
      <c r="AU548" s="1247"/>
      <c r="AV548" s="1248"/>
      <c r="AW548" s="1311">
        <f>AD435</f>
        <v>0</v>
      </c>
      <c r="AX548" s="1312"/>
      <c r="AY548" s="1312"/>
      <c r="AZ548" s="1313"/>
    </row>
    <row r="549" spans="1:52" s="291" customFormat="1" ht="35.25" customHeight="1">
      <c r="A549" s="311"/>
      <c r="B549" s="1382" t="str">
        <f t="shared" si="19"/>
        <v>Adecuada capacidad para la recolección y transporte</v>
      </c>
      <c r="C549" s="1383"/>
      <c r="D549" s="1383"/>
      <c r="E549" s="1383"/>
      <c r="F549" s="1383"/>
      <c r="G549" s="1383"/>
      <c r="H549" s="1383"/>
      <c r="I549" s="1383"/>
      <c r="J549" s="1383"/>
      <c r="K549" s="1383"/>
      <c r="L549" s="1383"/>
      <c r="M549" s="1383"/>
      <c r="N549" s="1383"/>
      <c r="O549" s="1383"/>
      <c r="P549" s="1383"/>
      <c r="Q549" s="1383"/>
      <c r="R549" s="1383"/>
      <c r="S549" s="1383"/>
      <c r="T549" s="1383"/>
      <c r="U549" s="1383"/>
      <c r="V549" s="1383"/>
      <c r="W549" s="1383"/>
      <c r="X549" s="1383"/>
      <c r="Y549" s="1383"/>
      <c r="Z549" s="1383"/>
      <c r="AA549" s="1383"/>
      <c r="AB549" s="1383"/>
      <c r="AC549" s="1383"/>
      <c r="AD549" s="1383"/>
      <c r="AE549" s="1383"/>
      <c r="AF549" s="1383"/>
      <c r="AG549" s="1383"/>
      <c r="AH549" s="1383"/>
      <c r="AI549" s="1383"/>
      <c r="AJ549" s="1383"/>
      <c r="AK549" s="1383"/>
      <c r="AL549" s="1383"/>
      <c r="AM549" s="1383"/>
      <c r="AN549" s="1383"/>
      <c r="AO549" s="1383"/>
      <c r="AP549" s="1383"/>
      <c r="AQ549" s="1383"/>
      <c r="AR549" s="1383"/>
      <c r="AS549" s="1383"/>
      <c r="AT549" s="1383"/>
      <c r="AU549" s="1383"/>
      <c r="AV549" s="1384"/>
      <c r="AW549" s="872"/>
      <c r="AX549" s="873"/>
      <c r="AY549" s="873"/>
      <c r="AZ549" s="874"/>
    </row>
    <row r="550" spans="1:52" s="291" customFormat="1" ht="36" customHeight="1">
      <c r="A550" s="311"/>
      <c r="B550" s="1371">
        <f t="shared" si="19"/>
        <v>0</v>
      </c>
      <c r="C550" s="1372"/>
      <c r="D550" s="1372"/>
      <c r="E550" s="1372"/>
      <c r="F550" s="1372"/>
      <c r="G550" s="1372"/>
      <c r="H550" s="1372"/>
      <c r="I550" s="1372"/>
      <c r="J550" s="1372"/>
      <c r="K550" s="1372"/>
      <c r="L550" s="1372"/>
      <c r="M550" s="1372"/>
      <c r="N550" s="1372"/>
      <c r="O550" s="1372"/>
      <c r="P550" s="1372"/>
      <c r="Q550" s="1373"/>
      <c r="R550" s="1243" t="str">
        <f>Q437</f>
        <v>Equipamiento</v>
      </c>
      <c r="S550" s="1303"/>
      <c r="T550" s="1304"/>
      <c r="U550" s="1298" t="str">
        <f>AA437</f>
        <v>Unidades de equipamiento</v>
      </c>
      <c r="V550" s="1299"/>
      <c r="W550" s="1299"/>
      <c r="X550" s="1300"/>
      <c r="Y550" s="1247"/>
      <c r="Z550" s="1248"/>
      <c r="AA550" s="1247"/>
      <c r="AB550" s="1248"/>
      <c r="AC550" s="1247"/>
      <c r="AD550" s="1248"/>
      <c r="AE550" s="1247"/>
      <c r="AF550" s="1248"/>
      <c r="AG550" s="1247"/>
      <c r="AH550" s="1248"/>
      <c r="AI550" s="1247"/>
      <c r="AJ550" s="1248"/>
      <c r="AK550" s="1247"/>
      <c r="AL550" s="1248"/>
      <c r="AM550" s="1247"/>
      <c r="AN550" s="1248"/>
      <c r="AO550" s="1247"/>
      <c r="AP550" s="1248"/>
      <c r="AQ550" s="1247"/>
      <c r="AR550" s="1248"/>
      <c r="AS550" s="1247"/>
      <c r="AT550" s="1248"/>
      <c r="AU550" s="1247"/>
      <c r="AV550" s="1248"/>
      <c r="AW550" s="1311">
        <f>AD437</f>
        <v>0</v>
      </c>
      <c r="AX550" s="1312"/>
      <c r="AY550" s="1312"/>
      <c r="AZ550" s="1313"/>
    </row>
    <row r="551" spans="1:52" s="291" customFormat="1" ht="36" customHeight="1">
      <c r="A551" s="311"/>
      <c r="B551" s="1371">
        <f t="shared" si="19"/>
        <v>0</v>
      </c>
      <c r="C551" s="1372"/>
      <c r="D551" s="1372"/>
      <c r="E551" s="1372"/>
      <c r="F551" s="1372"/>
      <c r="G551" s="1372"/>
      <c r="H551" s="1372"/>
      <c r="I551" s="1372"/>
      <c r="J551" s="1372"/>
      <c r="K551" s="1372"/>
      <c r="L551" s="1372"/>
      <c r="M551" s="1372"/>
      <c r="N551" s="1372"/>
      <c r="O551" s="1372"/>
      <c r="P551" s="1372"/>
      <c r="Q551" s="1373"/>
      <c r="R551" s="1243" t="str">
        <f t="shared" ref="R551:R556" si="20">Q438</f>
        <v>Equipamiento</v>
      </c>
      <c r="S551" s="1303"/>
      <c r="T551" s="1304"/>
      <c r="U551" s="1298" t="str">
        <f t="shared" ref="U551:U556" si="21">AA438</f>
        <v>Unidades de equipamiento</v>
      </c>
      <c r="V551" s="1299"/>
      <c r="W551" s="1299"/>
      <c r="X551" s="1300"/>
      <c r="Y551" s="1247"/>
      <c r="Z551" s="1248"/>
      <c r="AA551" s="1247"/>
      <c r="AB551" s="1248"/>
      <c r="AC551" s="1247"/>
      <c r="AD551" s="1248"/>
      <c r="AE551" s="1247"/>
      <c r="AF551" s="1248"/>
      <c r="AG551" s="1247"/>
      <c r="AH551" s="1248"/>
      <c r="AI551" s="1247"/>
      <c r="AJ551" s="1248"/>
      <c r="AK551" s="1247"/>
      <c r="AL551" s="1248"/>
      <c r="AM551" s="1247"/>
      <c r="AN551" s="1248"/>
      <c r="AO551" s="1247"/>
      <c r="AP551" s="1248"/>
      <c r="AQ551" s="1247"/>
      <c r="AR551" s="1248"/>
      <c r="AS551" s="1247"/>
      <c r="AT551" s="1248"/>
      <c r="AU551" s="1247"/>
      <c r="AV551" s="1248"/>
      <c r="AW551" s="1311">
        <f>AD438</f>
        <v>0</v>
      </c>
      <c r="AX551" s="1312"/>
      <c r="AY551" s="1312"/>
      <c r="AZ551" s="1313"/>
    </row>
    <row r="552" spans="1:52" s="291" customFormat="1" ht="18" customHeight="1">
      <c r="A552" s="311"/>
      <c r="B552" s="1371">
        <f t="shared" si="19"/>
        <v>0</v>
      </c>
      <c r="C552" s="1372"/>
      <c r="D552" s="1372"/>
      <c r="E552" s="1372"/>
      <c r="F552" s="1372"/>
      <c r="G552" s="1372"/>
      <c r="H552" s="1372"/>
      <c r="I552" s="1372"/>
      <c r="J552" s="1372"/>
      <c r="K552" s="1372"/>
      <c r="L552" s="1372"/>
      <c r="M552" s="1372"/>
      <c r="N552" s="1372"/>
      <c r="O552" s="1372"/>
      <c r="P552" s="1372"/>
      <c r="Q552" s="1373"/>
      <c r="R552" s="1243" t="str">
        <f t="shared" si="20"/>
        <v>Vehículo</v>
      </c>
      <c r="S552" s="1303"/>
      <c r="T552" s="1304"/>
      <c r="U552" s="1298" t="str">
        <f t="shared" si="21"/>
        <v>N° de Vehículos</v>
      </c>
      <c r="V552" s="1299"/>
      <c r="W552" s="1299"/>
      <c r="X552" s="1300"/>
      <c r="Y552" s="1247"/>
      <c r="Z552" s="1248"/>
      <c r="AA552" s="1247"/>
      <c r="AB552" s="1248"/>
      <c r="AC552" s="1247"/>
      <c r="AD552" s="1248"/>
      <c r="AE552" s="1247"/>
      <c r="AF552" s="1248"/>
      <c r="AG552" s="1247"/>
      <c r="AH552" s="1248"/>
      <c r="AI552" s="1247"/>
      <c r="AJ552" s="1248"/>
      <c r="AK552" s="1247"/>
      <c r="AL552" s="1248"/>
      <c r="AM552" s="1247"/>
      <c r="AN552" s="1248"/>
      <c r="AO552" s="1247"/>
      <c r="AP552" s="1248"/>
      <c r="AQ552" s="1247"/>
      <c r="AR552" s="1248"/>
      <c r="AS552" s="1247"/>
      <c r="AT552" s="1248"/>
      <c r="AU552" s="1247"/>
      <c r="AV552" s="1248"/>
      <c r="AW552" s="1311">
        <f t="shared" ref="AW552:AW556" si="22">AD439</f>
        <v>0</v>
      </c>
      <c r="AX552" s="1312"/>
      <c r="AY552" s="1312"/>
      <c r="AZ552" s="1313"/>
    </row>
    <row r="553" spans="1:52" s="291" customFormat="1" ht="18" customHeight="1">
      <c r="A553" s="311"/>
      <c r="B553" s="1371">
        <f t="shared" si="19"/>
        <v>0</v>
      </c>
      <c r="C553" s="1372"/>
      <c r="D553" s="1372"/>
      <c r="E553" s="1372"/>
      <c r="F553" s="1372"/>
      <c r="G553" s="1372"/>
      <c r="H553" s="1372"/>
      <c r="I553" s="1372"/>
      <c r="J553" s="1372"/>
      <c r="K553" s="1372"/>
      <c r="L553" s="1372"/>
      <c r="M553" s="1372"/>
      <c r="N553" s="1372"/>
      <c r="O553" s="1372"/>
      <c r="P553" s="1372"/>
      <c r="Q553" s="1373"/>
      <c r="R553" s="1243" t="str">
        <f t="shared" si="20"/>
        <v>Vehículo</v>
      </c>
      <c r="S553" s="1303"/>
      <c r="T553" s="1304"/>
      <c r="U553" s="1298" t="str">
        <f t="shared" si="21"/>
        <v>N° de Vehículos</v>
      </c>
      <c r="V553" s="1299"/>
      <c r="W553" s="1299"/>
      <c r="X553" s="1300"/>
      <c r="Y553" s="1247"/>
      <c r="Z553" s="1248"/>
      <c r="AA553" s="1247"/>
      <c r="AB553" s="1248"/>
      <c r="AC553" s="1247"/>
      <c r="AD553" s="1248"/>
      <c r="AE553" s="1247"/>
      <c r="AF553" s="1248"/>
      <c r="AG553" s="1247"/>
      <c r="AH553" s="1248"/>
      <c r="AI553" s="1247"/>
      <c r="AJ553" s="1248"/>
      <c r="AK553" s="1247"/>
      <c r="AL553" s="1248"/>
      <c r="AM553" s="1247"/>
      <c r="AN553" s="1248"/>
      <c r="AO553" s="1247"/>
      <c r="AP553" s="1248"/>
      <c r="AQ553" s="1247"/>
      <c r="AR553" s="1248"/>
      <c r="AS553" s="1247"/>
      <c r="AT553" s="1248"/>
      <c r="AU553" s="1247"/>
      <c r="AV553" s="1248"/>
      <c r="AW553" s="1311">
        <f t="shared" si="22"/>
        <v>0</v>
      </c>
      <c r="AX553" s="1312"/>
      <c r="AY553" s="1312"/>
      <c r="AZ553" s="1313"/>
    </row>
    <row r="554" spans="1:52" s="291" customFormat="1" ht="18" customHeight="1">
      <c r="A554" s="311"/>
      <c r="B554" s="1371">
        <f t="shared" si="19"/>
        <v>0</v>
      </c>
      <c r="C554" s="1372"/>
      <c r="D554" s="1372"/>
      <c r="E554" s="1372"/>
      <c r="F554" s="1372"/>
      <c r="G554" s="1372"/>
      <c r="H554" s="1372"/>
      <c r="I554" s="1372"/>
      <c r="J554" s="1372"/>
      <c r="K554" s="1372"/>
      <c r="L554" s="1372"/>
      <c r="M554" s="1372"/>
      <c r="N554" s="1372"/>
      <c r="O554" s="1372"/>
      <c r="P554" s="1372"/>
      <c r="Q554" s="1373"/>
      <c r="R554" s="1243" t="str">
        <f t="shared" si="20"/>
        <v>Vehículo</v>
      </c>
      <c r="S554" s="1303"/>
      <c r="T554" s="1304"/>
      <c r="U554" s="1298" t="str">
        <f t="shared" si="21"/>
        <v>N° de Vehículos</v>
      </c>
      <c r="V554" s="1299"/>
      <c r="W554" s="1299"/>
      <c r="X554" s="1300"/>
      <c r="Y554" s="1247"/>
      <c r="Z554" s="1248"/>
      <c r="AA554" s="1247"/>
      <c r="AB554" s="1248"/>
      <c r="AC554" s="1247"/>
      <c r="AD554" s="1248"/>
      <c r="AE554" s="1247"/>
      <c r="AF554" s="1248"/>
      <c r="AG554" s="1247"/>
      <c r="AH554" s="1248"/>
      <c r="AI554" s="1247"/>
      <c r="AJ554" s="1248"/>
      <c r="AK554" s="1247"/>
      <c r="AL554" s="1248"/>
      <c r="AM554" s="1247"/>
      <c r="AN554" s="1248"/>
      <c r="AO554" s="1247"/>
      <c r="AP554" s="1248"/>
      <c r="AQ554" s="1247"/>
      <c r="AR554" s="1248"/>
      <c r="AS554" s="1247"/>
      <c r="AT554" s="1248"/>
      <c r="AU554" s="1247"/>
      <c r="AV554" s="1248"/>
      <c r="AW554" s="1274">
        <f t="shared" si="22"/>
        <v>0</v>
      </c>
      <c r="AX554" s="1275"/>
      <c r="AY554" s="1275"/>
      <c r="AZ554" s="1276"/>
    </row>
    <row r="555" spans="1:52" s="291" customFormat="1" ht="18" customHeight="1">
      <c r="A555" s="311"/>
      <c r="B555" s="1371">
        <f t="shared" si="19"/>
        <v>0</v>
      </c>
      <c r="C555" s="1372"/>
      <c r="D555" s="1372"/>
      <c r="E555" s="1372"/>
      <c r="F555" s="1372"/>
      <c r="G555" s="1372"/>
      <c r="H555" s="1372"/>
      <c r="I555" s="1372"/>
      <c r="J555" s="1372"/>
      <c r="K555" s="1372"/>
      <c r="L555" s="1372"/>
      <c r="M555" s="1372"/>
      <c r="N555" s="1372"/>
      <c r="O555" s="1372"/>
      <c r="P555" s="1372"/>
      <c r="Q555" s="1373"/>
      <c r="R555" s="1243" t="str">
        <f t="shared" si="20"/>
        <v>Vehículo</v>
      </c>
      <c r="S555" s="1303"/>
      <c r="T555" s="1304"/>
      <c r="U555" s="1298" t="str">
        <f t="shared" si="21"/>
        <v>N° de Vehículos</v>
      </c>
      <c r="V555" s="1299"/>
      <c r="W555" s="1299"/>
      <c r="X555" s="1300"/>
      <c r="Y555" s="1247"/>
      <c r="Z555" s="1248"/>
      <c r="AA555" s="1247"/>
      <c r="AB555" s="1248"/>
      <c r="AC555" s="1247"/>
      <c r="AD555" s="1248"/>
      <c r="AE555" s="1247"/>
      <c r="AF555" s="1248"/>
      <c r="AG555" s="1247"/>
      <c r="AH555" s="1248"/>
      <c r="AI555" s="1247"/>
      <c r="AJ555" s="1248"/>
      <c r="AK555" s="1247"/>
      <c r="AL555" s="1248"/>
      <c r="AM555" s="1247"/>
      <c r="AN555" s="1248"/>
      <c r="AO555" s="1247"/>
      <c r="AP555" s="1248"/>
      <c r="AQ555" s="1247"/>
      <c r="AR555" s="1248"/>
      <c r="AS555" s="1247"/>
      <c r="AT555" s="1248"/>
      <c r="AU555" s="1247"/>
      <c r="AV555" s="1248"/>
      <c r="AW555" s="1274">
        <f t="shared" si="22"/>
        <v>0</v>
      </c>
      <c r="AX555" s="1275"/>
      <c r="AY555" s="1275"/>
      <c r="AZ555" s="1276"/>
    </row>
    <row r="556" spans="1:52" s="291" customFormat="1" ht="18" customHeight="1">
      <c r="A556" s="311"/>
      <c r="B556" s="1371">
        <f>B443</f>
        <v>0</v>
      </c>
      <c r="C556" s="1372"/>
      <c r="D556" s="1372"/>
      <c r="E556" s="1372"/>
      <c r="F556" s="1372"/>
      <c r="G556" s="1372"/>
      <c r="H556" s="1372"/>
      <c r="I556" s="1372"/>
      <c r="J556" s="1372"/>
      <c r="K556" s="1372"/>
      <c r="L556" s="1372"/>
      <c r="M556" s="1372"/>
      <c r="N556" s="1372"/>
      <c r="O556" s="1372"/>
      <c r="P556" s="1372"/>
      <c r="Q556" s="1373"/>
      <c r="R556" s="1243" t="str">
        <f t="shared" si="20"/>
        <v>Vehículo</v>
      </c>
      <c r="S556" s="1303"/>
      <c r="T556" s="1304"/>
      <c r="U556" s="1298" t="str">
        <f t="shared" si="21"/>
        <v>N° de Vehículos</v>
      </c>
      <c r="V556" s="1299"/>
      <c r="W556" s="1299"/>
      <c r="X556" s="1300"/>
      <c r="Y556" s="1247"/>
      <c r="Z556" s="1248"/>
      <c r="AA556" s="1247"/>
      <c r="AB556" s="1248"/>
      <c r="AC556" s="1247"/>
      <c r="AD556" s="1248"/>
      <c r="AE556" s="1247"/>
      <c r="AF556" s="1248"/>
      <c r="AG556" s="1247"/>
      <c r="AH556" s="1248"/>
      <c r="AI556" s="1247"/>
      <c r="AJ556" s="1248"/>
      <c r="AK556" s="1247"/>
      <c r="AL556" s="1248"/>
      <c r="AM556" s="1247"/>
      <c r="AN556" s="1248"/>
      <c r="AO556" s="1247"/>
      <c r="AP556" s="1248"/>
      <c r="AQ556" s="1247"/>
      <c r="AR556" s="1248"/>
      <c r="AS556" s="1247"/>
      <c r="AT556" s="1248"/>
      <c r="AU556" s="1247"/>
      <c r="AV556" s="1248"/>
      <c r="AW556" s="1274">
        <f t="shared" si="22"/>
        <v>0</v>
      </c>
      <c r="AX556" s="1275"/>
      <c r="AY556" s="1275"/>
      <c r="AZ556" s="1276"/>
    </row>
    <row r="557" spans="1:52" s="291" customFormat="1" ht="24.75" customHeight="1">
      <c r="A557" s="311"/>
      <c r="B557" s="1382" t="str">
        <f t="shared" si="19"/>
        <v>Adecuada valorización de los residuos sólidos</v>
      </c>
      <c r="C557" s="1383"/>
      <c r="D557" s="1383"/>
      <c r="E557" s="1383"/>
      <c r="F557" s="1383"/>
      <c r="G557" s="1383"/>
      <c r="H557" s="1383"/>
      <c r="I557" s="1383"/>
      <c r="J557" s="1383"/>
      <c r="K557" s="1383"/>
      <c r="L557" s="1383"/>
      <c r="M557" s="1383"/>
      <c r="N557" s="1383"/>
      <c r="O557" s="1383"/>
      <c r="P557" s="1383"/>
      <c r="Q557" s="1383"/>
      <c r="R557" s="1383"/>
      <c r="S557" s="1383"/>
      <c r="T557" s="1383"/>
      <c r="U557" s="1383"/>
      <c r="V557" s="1383"/>
      <c r="W557" s="1383"/>
      <c r="X557" s="1383"/>
      <c r="Y557" s="1383"/>
      <c r="Z557" s="1383"/>
      <c r="AA557" s="1383"/>
      <c r="AB557" s="1383"/>
      <c r="AC557" s="1383"/>
      <c r="AD557" s="1383"/>
      <c r="AE557" s="1383"/>
      <c r="AF557" s="1383"/>
      <c r="AG557" s="1383"/>
      <c r="AH557" s="1383"/>
      <c r="AI557" s="1383"/>
      <c r="AJ557" s="1383"/>
      <c r="AK557" s="1383"/>
      <c r="AL557" s="1383"/>
      <c r="AM557" s="1383"/>
      <c r="AN557" s="1383"/>
      <c r="AO557" s="1383"/>
      <c r="AP557" s="1383"/>
      <c r="AQ557" s="1383"/>
      <c r="AR557" s="1383"/>
      <c r="AS557" s="1383"/>
      <c r="AT557" s="1383"/>
      <c r="AU557" s="1383"/>
      <c r="AV557" s="1384"/>
      <c r="AW557" s="489"/>
      <c r="AX557" s="490"/>
      <c r="AY557" s="490"/>
      <c r="AZ557" s="491"/>
    </row>
    <row r="558" spans="1:52" s="291" customFormat="1" ht="18" customHeight="1">
      <c r="A558" s="311"/>
      <c r="B558" s="1371">
        <f>B445</f>
        <v>0</v>
      </c>
      <c r="C558" s="1372"/>
      <c r="D558" s="1372"/>
      <c r="E558" s="1372"/>
      <c r="F558" s="1372"/>
      <c r="G558" s="1372"/>
      <c r="H558" s="1372"/>
      <c r="I558" s="1372"/>
      <c r="J558" s="1372"/>
      <c r="K558" s="1372"/>
      <c r="L558" s="1372"/>
      <c r="M558" s="1372"/>
      <c r="N558" s="1372"/>
      <c r="O558" s="1372"/>
      <c r="P558" s="1372"/>
      <c r="Q558" s="1373"/>
      <c r="R558" s="1243" t="str">
        <f>Q445</f>
        <v>Infraestructura</v>
      </c>
      <c r="S558" s="1303"/>
      <c r="T558" s="1304"/>
      <c r="U558" s="1298" t="str">
        <f>AA445</f>
        <v>m2</v>
      </c>
      <c r="V558" s="1299"/>
      <c r="W558" s="1299"/>
      <c r="X558" s="1300"/>
      <c r="Y558" s="1247"/>
      <c r="Z558" s="1248"/>
      <c r="AA558" s="1247"/>
      <c r="AB558" s="1248"/>
      <c r="AC558" s="1247"/>
      <c r="AD558" s="1248"/>
      <c r="AE558" s="1247"/>
      <c r="AF558" s="1248"/>
      <c r="AG558" s="1247"/>
      <c r="AH558" s="1248"/>
      <c r="AI558" s="1247"/>
      <c r="AJ558" s="1248"/>
      <c r="AK558" s="1247"/>
      <c r="AL558" s="1248"/>
      <c r="AM558" s="1247"/>
      <c r="AN558" s="1248"/>
      <c r="AO558" s="1247"/>
      <c r="AP558" s="1248"/>
      <c r="AQ558" s="1247"/>
      <c r="AR558" s="1248"/>
      <c r="AS558" s="1247"/>
      <c r="AT558" s="1248"/>
      <c r="AU558" s="1247"/>
      <c r="AV558" s="1248"/>
      <c r="AW558" s="1274">
        <f>AD445</f>
        <v>0</v>
      </c>
      <c r="AX558" s="1275"/>
      <c r="AY558" s="1275"/>
      <c r="AZ558" s="1276"/>
    </row>
    <row r="559" spans="1:52" s="291" customFormat="1" ht="36" customHeight="1">
      <c r="A559" s="311"/>
      <c r="B559" s="1371">
        <f t="shared" si="19"/>
        <v>0</v>
      </c>
      <c r="C559" s="1372"/>
      <c r="D559" s="1372"/>
      <c r="E559" s="1372"/>
      <c r="F559" s="1372"/>
      <c r="G559" s="1372"/>
      <c r="H559" s="1372"/>
      <c r="I559" s="1372"/>
      <c r="J559" s="1372"/>
      <c r="K559" s="1372"/>
      <c r="L559" s="1372"/>
      <c r="M559" s="1372"/>
      <c r="N559" s="1372"/>
      <c r="O559" s="1372"/>
      <c r="P559" s="1372"/>
      <c r="Q559" s="1373"/>
      <c r="R559" s="1243" t="str">
        <f t="shared" ref="R559:R567" si="23">Q446</f>
        <v>Equipamiento</v>
      </c>
      <c r="S559" s="1303"/>
      <c r="T559" s="1304"/>
      <c r="U559" s="1298" t="str">
        <f t="shared" ref="U559:U567" si="24">AA446</f>
        <v>Unidades de equipamiento</v>
      </c>
      <c r="V559" s="1299"/>
      <c r="W559" s="1299"/>
      <c r="X559" s="1300"/>
      <c r="Y559" s="1247"/>
      <c r="Z559" s="1248"/>
      <c r="AA559" s="1247"/>
      <c r="AB559" s="1248"/>
      <c r="AC559" s="1247"/>
      <c r="AD559" s="1248"/>
      <c r="AE559" s="1247"/>
      <c r="AF559" s="1248"/>
      <c r="AG559" s="1247"/>
      <c r="AH559" s="1248"/>
      <c r="AI559" s="1247"/>
      <c r="AJ559" s="1248"/>
      <c r="AK559" s="1247"/>
      <c r="AL559" s="1248"/>
      <c r="AM559" s="1247"/>
      <c r="AN559" s="1248"/>
      <c r="AO559" s="1247"/>
      <c r="AP559" s="1248"/>
      <c r="AQ559" s="1247"/>
      <c r="AR559" s="1248"/>
      <c r="AS559" s="1247"/>
      <c r="AT559" s="1248"/>
      <c r="AU559" s="1247"/>
      <c r="AV559" s="1248"/>
      <c r="AW559" s="1274">
        <f t="shared" ref="AW559:AW567" si="25">AD446</f>
        <v>0</v>
      </c>
      <c r="AX559" s="1275"/>
      <c r="AY559" s="1275"/>
      <c r="AZ559" s="1276"/>
    </row>
    <row r="560" spans="1:52" s="291" customFormat="1" ht="32.25" customHeight="1">
      <c r="A560" s="311"/>
      <c r="B560" s="1371">
        <f t="shared" si="19"/>
        <v>0</v>
      </c>
      <c r="C560" s="1372"/>
      <c r="D560" s="1372"/>
      <c r="E560" s="1372"/>
      <c r="F560" s="1372"/>
      <c r="G560" s="1372"/>
      <c r="H560" s="1372"/>
      <c r="I560" s="1372"/>
      <c r="J560" s="1372"/>
      <c r="K560" s="1372"/>
      <c r="L560" s="1372"/>
      <c r="M560" s="1372"/>
      <c r="N560" s="1372"/>
      <c r="O560" s="1372"/>
      <c r="P560" s="1372"/>
      <c r="Q560" s="1373"/>
      <c r="R560" s="1243" t="str">
        <f t="shared" si="23"/>
        <v>Equipamiento</v>
      </c>
      <c r="S560" s="1303"/>
      <c r="T560" s="1304"/>
      <c r="U560" s="1298" t="str">
        <f t="shared" si="24"/>
        <v>Unidades de equipamiento</v>
      </c>
      <c r="V560" s="1299"/>
      <c r="W560" s="1299"/>
      <c r="X560" s="1300"/>
      <c r="Y560" s="1247"/>
      <c r="Z560" s="1248"/>
      <c r="AA560" s="1247"/>
      <c r="AB560" s="1248"/>
      <c r="AC560" s="1247"/>
      <c r="AD560" s="1248"/>
      <c r="AE560" s="1247"/>
      <c r="AF560" s="1248"/>
      <c r="AG560" s="1247"/>
      <c r="AH560" s="1248"/>
      <c r="AI560" s="1247"/>
      <c r="AJ560" s="1248"/>
      <c r="AK560" s="1247"/>
      <c r="AL560" s="1248"/>
      <c r="AM560" s="1247"/>
      <c r="AN560" s="1248"/>
      <c r="AO560" s="1247"/>
      <c r="AP560" s="1248"/>
      <c r="AQ560" s="1247"/>
      <c r="AR560" s="1248"/>
      <c r="AS560" s="1247"/>
      <c r="AT560" s="1248"/>
      <c r="AU560" s="1247"/>
      <c r="AV560" s="1248"/>
      <c r="AW560" s="1274">
        <f t="shared" si="25"/>
        <v>0</v>
      </c>
      <c r="AX560" s="1275"/>
      <c r="AY560" s="1275"/>
      <c r="AZ560" s="1276"/>
    </row>
    <row r="561" spans="1:52" s="291" customFormat="1" ht="48" customHeight="1">
      <c r="A561" s="311"/>
      <c r="B561" s="1371">
        <f t="shared" si="19"/>
        <v>0</v>
      </c>
      <c r="C561" s="1372"/>
      <c r="D561" s="1372"/>
      <c r="E561" s="1372"/>
      <c r="F561" s="1372"/>
      <c r="G561" s="1372"/>
      <c r="H561" s="1372"/>
      <c r="I561" s="1372"/>
      <c r="J561" s="1372"/>
      <c r="K561" s="1372"/>
      <c r="L561" s="1372"/>
      <c r="M561" s="1372"/>
      <c r="N561" s="1372"/>
      <c r="O561" s="1372"/>
      <c r="P561" s="1372"/>
      <c r="Q561" s="1373"/>
      <c r="R561" s="1243" t="str">
        <f t="shared" si="23"/>
        <v>Equipamiento</v>
      </c>
      <c r="S561" s="1303"/>
      <c r="T561" s="1304"/>
      <c r="U561" s="1298" t="str">
        <f t="shared" si="24"/>
        <v>Unidades de equipamiento</v>
      </c>
      <c r="V561" s="1299"/>
      <c r="W561" s="1299"/>
      <c r="X561" s="1300"/>
      <c r="Y561" s="1247"/>
      <c r="Z561" s="1248"/>
      <c r="AA561" s="1247"/>
      <c r="AB561" s="1248"/>
      <c r="AC561" s="1247"/>
      <c r="AD561" s="1248"/>
      <c r="AE561" s="1247"/>
      <c r="AF561" s="1248"/>
      <c r="AG561" s="1247"/>
      <c r="AH561" s="1248"/>
      <c r="AI561" s="1247"/>
      <c r="AJ561" s="1248"/>
      <c r="AK561" s="1247"/>
      <c r="AL561" s="1248"/>
      <c r="AM561" s="1247"/>
      <c r="AN561" s="1248"/>
      <c r="AO561" s="1247"/>
      <c r="AP561" s="1248"/>
      <c r="AQ561" s="1247"/>
      <c r="AR561" s="1248"/>
      <c r="AS561" s="1247"/>
      <c r="AT561" s="1248"/>
      <c r="AU561" s="1247"/>
      <c r="AV561" s="1248"/>
      <c r="AW561" s="1274">
        <f t="shared" si="25"/>
        <v>0</v>
      </c>
      <c r="AX561" s="1275"/>
      <c r="AY561" s="1275"/>
      <c r="AZ561" s="1276"/>
    </row>
    <row r="562" spans="1:52" s="291" customFormat="1" ht="18" customHeight="1">
      <c r="A562" s="311"/>
      <c r="B562" s="1371">
        <f t="shared" si="19"/>
        <v>0</v>
      </c>
      <c r="C562" s="1372"/>
      <c r="D562" s="1372"/>
      <c r="E562" s="1372"/>
      <c r="F562" s="1372"/>
      <c r="G562" s="1372"/>
      <c r="H562" s="1372"/>
      <c r="I562" s="1372"/>
      <c r="J562" s="1372"/>
      <c r="K562" s="1372"/>
      <c r="L562" s="1372"/>
      <c r="M562" s="1372"/>
      <c r="N562" s="1372"/>
      <c r="O562" s="1372"/>
      <c r="P562" s="1372"/>
      <c r="Q562" s="1373"/>
      <c r="R562" s="1243" t="str">
        <f t="shared" si="23"/>
        <v>Vehículo</v>
      </c>
      <c r="S562" s="1303"/>
      <c r="T562" s="1304"/>
      <c r="U562" s="1298" t="str">
        <f t="shared" si="24"/>
        <v>N° de Vehículos</v>
      </c>
      <c r="V562" s="1299"/>
      <c r="W562" s="1299"/>
      <c r="X562" s="1300"/>
      <c r="Y562" s="1247"/>
      <c r="Z562" s="1248"/>
      <c r="AA562" s="1247"/>
      <c r="AB562" s="1248"/>
      <c r="AC562" s="1247"/>
      <c r="AD562" s="1248"/>
      <c r="AE562" s="1247"/>
      <c r="AF562" s="1248"/>
      <c r="AG562" s="1247"/>
      <c r="AH562" s="1248"/>
      <c r="AI562" s="1247"/>
      <c r="AJ562" s="1248"/>
      <c r="AK562" s="1247"/>
      <c r="AL562" s="1248"/>
      <c r="AM562" s="1247"/>
      <c r="AN562" s="1248"/>
      <c r="AO562" s="1247"/>
      <c r="AP562" s="1248"/>
      <c r="AQ562" s="1247"/>
      <c r="AR562" s="1248"/>
      <c r="AS562" s="1247"/>
      <c r="AT562" s="1248"/>
      <c r="AU562" s="1247"/>
      <c r="AV562" s="1248"/>
      <c r="AW562" s="1274">
        <f t="shared" si="25"/>
        <v>0</v>
      </c>
      <c r="AX562" s="1275"/>
      <c r="AY562" s="1275"/>
      <c r="AZ562" s="1276"/>
    </row>
    <row r="563" spans="1:52" s="291" customFormat="1" ht="18" customHeight="1">
      <c r="A563" s="311"/>
      <c r="B563" s="1371">
        <f t="shared" si="19"/>
        <v>0</v>
      </c>
      <c r="C563" s="1372"/>
      <c r="D563" s="1372"/>
      <c r="E563" s="1372"/>
      <c r="F563" s="1372"/>
      <c r="G563" s="1372"/>
      <c r="H563" s="1372"/>
      <c r="I563" s="1372"/>
      <c r="J563" s="1372"/>
      <c r="K563" s="1372"/>
      <c r="L563" s="1372"/>
      <c r="M563" s="1372"/>
      <c r="N563" s="1372"/>
      <c r="O563" s="1372"/>
      <c r="P563" s="1372"/>
      <c r="Q563" s="1373"/>
      <c r="R563" s="1243" t="str">
        <f t="shared" si="23"/>
        <v>Infraestructura</v>
      </c>
      <c r="S563" s="1303"/>
      <c r="T563" s="1304"/>
      <c r="U563" s="1298" t="str">
        <f t="shared" si="24"/>
        <v>m2</v>
      </c>
      <c r="V563" s="1299"/>
      <c r="W563" s="1299"/>
      <c r="X563" s="1300"/>
      <c r="Y563" s="1247"/>
      <c r="Z563" s="1248"/>
      <c r="AA563" s="1247"/>
      <c r="AB563" s="1248"/>
      <c r="AC563" s="1247"/>
      <c r="AD563" s="1248"/>
      <c r="AE563" s="1247"/>
      <c r="AF563" s="1248"/>
      <c r="AG563" s="1247"/>
      <c r="AH563" s="1248"/>
      <c r="AI563" s="1247"/>
      <c r="AJ563" s="1248"/>
      <c r="AK563" s="1247"/>
      <c r="AL563" s="1248"/>
      <c r="AM563" s="1247"/>
      <c r="AN563" s="1248"/>
      <c r="AO563" s="1247"/>
      <c r="AP563" s="1248"/>
      <c r="AQ563" s="1247"/>
      <c r="AR563" s="1248"/>
      <c r="AS563" s="1247"/>
      <c r="AT563" s="1248"/>
      <c r="AU563" s="1247"/>
      <c r="AV563" s="1248"/>
      <c r="AW563" s="1274">
        <f t="shared" si="25"/>
        <v>0</v>
      </c>
      <c r="AX563" s="1275"/>
      <c r="AY563" s="1275"/>
      <c r="AZ563" s="1276"/>
    </row>
    <row r="564" spans="1:52" s="291" customFormat="1" ht="35.25" customHeight="1">
      <c r="A564" s="311"/>
      <c r="B564" s="1371">
        <f t="shared" si="19"/>
        <v>0</v>
      </c>
      <c r="C564" s="1372"/>
      <c r="D564" s="1372"/>
      <c r="E564" s="1372"/>
      <c r="F564" s="1372"/>
      <c r="G564" s="1372"/>
      <c r="H564" s="1372"/>
      <c r="I564" s="1372"/>
      <c r="J564" s="1372"/>
      <c r="K564" s="1372"/>
      <c r="L564" s="1372"/>
      <c r="M564" s="1372"/>
      <c r="N564" s="1372"/>
      <c r="O564" s="1372"/>
      <c r="P564" s="1372"/>
      <c r="Q564" s="1373"/>
      <c r="R564" s="1243" t="str">
        <f t="shared" si="23"/>
        <v>Equipamiento</v>
      </c>
      <c r="S564" s="1303"/>
      <c r="T564" s="1304"/>
      <c r="U564" s="1298" t="str">
        <f t="shared" si="24"/>
        <v>Unidades de equipamiento</v>
      </c>
      <c r="V564" s="1299"/>
      <c r="W564" s="1299"/>
      <c r="X564" s="1300"/>
      <c r="Y564" s="1247"/>
      <c r="Z564" s="1248"/>
      <c r="AA564" s="1247"/>
      <c r="AB564" s="1248"/>
      <c r="AC564" s="1247"/>
      <c r="AD564" s="1248"/>
      <c r="AE564" s="1247"/>
      <c r="AF564" s="1248"/>
      <c r="AG564" s="1247"/>
      <c r="AH564" s="1248"/>
      <c r="AI564" s="1247"/>
      <c r="AJ564" s="1248"/>
      <c r="AK564" s="1247"/>
      <c r="AL564" s="1248"/>
      <c r="AM564" s="1247"/>
      <c r="AN564" s="1248"/>
      <c r="AO564" s="1247"/>
      <c r="AP564" s="1248"/>
      <c r="AQ564" s="1247"/>
      <c r="AR564" s="1248"/>
      <c r="AS564" s="1247"/>
      <c r="AT564" s="1248"/>
      <c r="AU564" s="1247"/>
      <c r="AV564" s="1248"/>
      <c r="AW564" s="1274">
        <f t="shared" si="25"/>
        <v>0</v>
      </c>
      <c r="AX564" s="1275"/>
      <c r="AY564" s="1275"/>
      <c r="AZ564" s="1276"/>
    </row>
    <row r="565" spans="1:52" s="291" customFormat="1" ht="36" customHeight="1">
      <c r="A565" s="311"/>
      <c r="B565" s="1371">
        <f t="shared" si="19"/>
        <v>0</v>
      </c>
      <c r="C565" s="1372"/>
      <c r="D565" s="1372"/>
      <c r="E565" s="1372"/>
      <c r="F565" s="1372"/>
      <c r="G565" s="1372"/>
      <c r="H565" s="1372"/>
      <c r="I565" s="1372"/>
      <c r="J565" s="1372"/>
      <c r="K565" s="1372"/>
      <c r="L565" s="1372"/>
      <c r="M565" s="1372"/>
      <c r="N565" s="1372"/>
      <c r="O565" s="1372"/>
      <c r="P565" s="1372"/>
      <c r="Q565" s="1373"/>
      <c r="R565" s="1243" t="str">
        <f t="shared" si="23"/>
        <v>Equipamiento</v>
      </c>
      <c r="S565" s="1303"/>
      <c r="T565" s="1304"/>
      <c r="U565" s="1298" t="str">
        <f t="shared" si="24"/>
        <v>Unidades de equipamiento</v>
      </c>
      <c r="V565" s="1299"/>
      <c r="W565" s="1299"/>
      <c r="X565" s="1300"/>
      <c r="Y565" s="1247"/>
      <c r="Z565" s="1248"/>
      <c r="AA565" s="1247"/>
      <c r="AB565" s="1248"/>
      <c r="AC565" s="1247"/>
      <c r="AD565" s="1248"/>
      <c r="AE565" s="1247"/>
      <c r="AF565" s="1248"/>
      <c r="AG565" s="1247"/>
      <c r="AH565" s="1248"/>
      <c r="AI565" s="1247"/>
      <c r="AJ565" s="1248"/>
      <c r="AK565" s="1247"/>
      <c r="AL565" s="1248"/>
      <c r="AM565" s="1247"/>
      <c r="AN565" s="1248"/>
      <c r="AO565" s="1247"/>
      <c r="AP565" s="1248"/>
      <c r="AQ565" s="1247"/>
      <c r="AR565" s="1248"/>
      <c r="AS565" s="1247"/>
      <c r="AT565" s="1248"/>
      <c r="AU565" s="1247"/>
      <c r="AV565" s="1248"/>
      <c r="AW565" s="1274">
        <f t="shared" si="25"/>
        <v>0</v>
      </c>
      <c r="AX565" s="1275"/>
      <c r="AY565" s="1275"/>
      <c r="AZ565" s="1276"/>
    </row>
    <row r="566" spans="1:52" s="291" customFormat="1" ht="36" customHeight="1">
      <c r="A566" s="311"/>
      <c r="B566" s="1371">
        <f t="shared" si="19"/>
        <v>0</v>
      </c>
      <c r="C566" s="1372"/>
      <c r="D566" s="1372"/>
      <c r="E566" s="1372"/>
      <c r="F566" s="1372"/>
      <c r="G566" s="1372"/>
      <c r="H566" s="1372"/>
      <c r="I566" s="1372"/>
      <c r="J566" s="1372"/>
      <c r="K566" s="1372"/>
      <c r="L566" s="1372"/>
      <c r="M566" s="1372"/>
      <c r="N566" s="1372"/>
      <c r="O566" s="1372"/>
      <c r="P566" s="1372"/>
      <c r="Q566" s="1373"/>
      <c r="R566" s="1243" t="str">
        <f t="shared" si="23"/>
        <v>Equipamiento</v>
      </c>
      <c r="S566" s="1303"/>
      <c r="T566" s="1304"/>
      <c r="U566" s="1298" t="str">
        <f t="shared" si="24"/>
        <v>Unidades de equipamiento</v>
      </c>
      <c r="V566" s="1299"/>
      <c r="W566" s="1299"/>
      <c r="X566" s="1300"/>
      <c r="Y566" s="1247"/>
      <c r="Z566" s="1248"/>
      <c r="AA566" s="1247"/>
      <c r="AB566" s="1248"/>
      <c r="AC566" s="1247"/>
      <c r="AD566" s="1248"/>
      <c r="AE566" s="1247"/>
      <c r="AF566" s="1248"/>
      <c r="AG566" s="1247"/>
      <c r="AH566" s="1248"/>
      <c r="AI566" s="1247"/>
      <c r="AJ566" s="1248"/>
      <c r="AK566" s="1247"/>
      <c r="AL566" s="1248"/>
      <c r="AM566" s="1247"/>
      <c r="AN566" s="1248"/>
      <c r="AO566" s="1247"/>
      <c r="AP566" s="1248"/>
      <c r="AQ566" s="1247"/>
      <c r="AR566" s="1248"/>
      <c r="AS566" s="1247"/>
      <c r="AT566" s="1248"/>
      <c r="AU566" s="1247"/>
      <c r="AV566" s="1248"/>
      <c r="AW566" s="1274">
        <f t="shared" si="25"/>
        <v>0</v>
      </c>
      <c r="AX566" s="1275"/>
      <c r="AY566" s="1275"/>
      <c r="AZ566" s="1276"/>
    </row>
    <row r="567" spans="1:52" s="291" customFormat="1" ht="18" customHeight="1">
      <c r="A567" s="311"/>
      <c r="B567" s="1371">
        <f t="shared" si="19"/>
        <v>0</v>
      </c>
      <c r="C567" s="1372"/>
      <c r="D567" s="1372"/>
      <c r="E567" s="1372"/>
      <c r="F567" s="1372"/>
      <c r="G567" s="1372"/>
      <c r="H567" s="1372"/>
      <c r="I567" s="1372"/>
      <c r="J567" s="1372"/>
      <c r="K567" s="1372"/>
      <c r="L567" s="1372"/>
      <c r="M567" s="1372"/>
      <c r="N567" s="1372"/>
      <c r="O567" s="1372"/>
      <c r="P567" s="1372"/>
      <c r="Q567" s="1373"/>
      <c r="R567" s="1243" t="str">
        <f t="shared" si="23"/>
        <v>Vehículo</v>
      </c>
      <c r="S567" s="1303"/>
      <c r="T567" s="1304"/>
      <c r="U567" s="1298" t="str">
        <f t="shared" si="24"/>
        <v>N° de Vehículos</v>
      </c>
      <c r="V567" s="1299"/>
      <c r="W567" s="1299"/>
      <c r="X567" s="1300"/>
      <c r="Y567" s="1247"/>
      <c r="Z567" s="1248"/>
      <c r="AA567" s="1247"/>
      <c r="AB567" s="1248"/>
      <c r="AC567" s="1247"/>
      <c r="AD567" s="1248"/>
      <c r="AE567" s="1247"/>
      <c r="AF567" s="1248"/>
      <c r="AG567" s="1247"/>
      <c r="AH567" s="1248"/>
      <c r="AI567" s="1247"/>
      <c r="AJ567" s="1248"/>
      <c r="AK567" s="1247"/>
      <c r="AL567" s="1248"/>
      <c r="AM567" s="1247"/>
      <c r="AN567" s="1248"/>
      <c r="AO567" s="1247"/>
      <c r="AP567" s="1248"/>
      <c r="AQ567" s="1247"/>
      <c r="AR567" s="1248"/>
      <c r="AS567" s="1247"/>
      <c r="AT567" s="1248"/>
      <c r="AU567" s="1247"/>
      <c r="AV567" s="1248"/>
      <c r="AW567" s="1274">
        <f t="shared" si="25"/>
        <v>0</v>
      </c>
      <c r="AX567" s="1275"/>
      <c r="AY567" s="1275"/>
      <c r="AZ567" s="1276"/>
    </row>
    <row r="568" spans="1:52" s="291" customFormat="1" ht="18" customHeight="1">
      <c r="A568" s="311"/>
      <c r="B568" s="1382" t="str">
        <f t="shared" si="19"/>
        <v>Adecuada disposición final de los residuos sólidos</v>
      </c>
      <c r="C568" s="1383"/>
      <c r="D568" s="1383"/>
      <c r="E568" s="1383"/>
      <c r="F568" s="1383"/>
      <c r="G568" s="1383"/>
      <c r="H568" s="1383"/>
      <c r="I568" s="1383"/>
      <c r="J568" s="1383"/>
      <c r="K568" s="1383"/>
      <c r="L568" s="1383"/>
      <c r="M568" s="1383"/>
      <c r="N568" s="1383"/>
      <c r="O568" s="1383"/>
      <c r="P568" s="1383"/>
      <c r="Q568" s="1383"/>
      <c r="R568" s="1383"/>
      <c r="S568" s="1383"/>
      <c r="T568" s="1383"/>
      <c r="U568" s="1383"/>
      <c r="V568" s="1383"/>
      <c r="W568" s="1383"/>
      <c r="X568" s="1383"/>
      <c r="Y568" s="1383"/>
      <c r="Z568" s="1383"/>
      <c r="AA568" s="1383"/>
      <c r="AB568" s="1383"/>
      <c r="AC568" s="1383"/>
      <c r="AD568" s="1383"/>
      <c r="AE568" s="1383"/>
      <c r="AF568" s="1383"/>
      <c r="AG568" s="1383"/>
      <c r="AH568" s="1383"/>
      <c r="AI568" s="1383"/>
      <c r="AJ568" s="1383"/>
      <c r="AK568" s="1383"/>
      <c r="AL568" s="1383"/>
      <c r="AM568" s="1383"/>
      <c r="AN568" s="1383"/>
      <c r="AO568" s="1383"/>
      <c r="AP568" s="1383"/>
      <c r="AQ568" s="1383"/>
      <c r="AR568" s="1383"/>
      <c r="AS568" s="1383"/>
      <c r="AT568" s="1383"/>
      <c r="AU568" s="1383"/>
      <c r="AV568" s="1384"/>
      <c r="AW568" s="489"/>
      <c r="AX568" s="490"/>
      <c r="AY568" s="490"/>
      <c r="AZ568" s="491"/>
    </row>
    <row r="569" spans="1:52" s="291" customFormat="1" ht="18" customHeight="1">
      <c r="A569" s="311"/>
      <c r="B569" s="1371">
        <f t="shared" si="19"/>
        <v>0</v>
      </c>
      <c r="C569" s="1372"/>
      <c r="D569" s="1372"/>
      <c r="E569" s="1372"/>
      <c r="F569" s="1372"/>
      <c r="G569" s="1372"/>
      <c r="H569" s="1372"/>
      <c r="I569" s="1372"/>
      <c r="J569" s="1372"/>
      <c r="K569" s="1372"/>
      <c r="L569" s="1372"/>
      <c r="M569" s="1372"/>
      <c r="N569" s="1372"/>
      <c r="O569" s="1372"/>
      <c r="P569" s="1372"/>
      <c r="Q569" s="1373"/>
      <c r="R569" s="1243" t="str">
        <f t="shared" ref="R569:R574" si="26">Q456</f>
        <v>Infraestructura</v>
      </c>
      <c r="S569" s="1303"/>
      <c r="T569" s="1304"/>
      <c r="U569" s="1298" t="str">
        <f t="shared" ref="U569:U574" si="27">AA456</f>
        <v>m2</v>
      </c>
      <c r="V569" s="1299"/>
      <c r="W569" s="1299"/>
      <c r="X569" s="1300"/>
      <c r="Y569" s="1247"/>
      <c r="Z569" s="1248"/>
      <c r="AA569" s="1247"/>
      <c r="AB569" s="1248"/>
      <c r="AC569" s="1247"/>
      <c r="AD569" s="1248"/>
      <c r="AE569" s="1247"/>
      <c r="AF569" s="1248"/>
      <c r="AG569" s="1247"/>
      <c r="AH569" s="1248"/>
      <c r="AI569" s="1247"/>
      <c r="AJ569" s="1248"/>
      <c r="AK569" s="1247"/>
      <c r="AL569" s="1248"/>
      <c r="AM569" s="1247"/>
      <c r="AN569" s="1248"/>
      <c r="AO569" s="1247"/>
      <c r="AP569" s="1248"/>
      <c r="AQ569" s="1247"/>
      <c r="AR569" s="1248"/>
      <c r="AS569" s="1247"/>
      <c r="AT569" s="1248"/>
      <c r="AU569" s="1247"/>
      <c r="AV569" s="1248"/>
      <c r="AW569" s="1274">
        <f t="shared" ref="AW569:AW574" si="28">AD456</f>
        <v>0</v>
      </c>
      <c r="AX569" s="1275"/>
      <c r="AY569" s="1275"/>
      <c r="AZ569" s="1276"/>
    </row>
    <row r="570" spans="1:52" s="291" customFormat="1" ht="36" customHeight="1">
      <c r="A570" s="311"/>
      <c r="B570" s="1371">
        <f t="shared" si="19"/>
        <v>0</v>
      </c>
      <c r="C570" s="1372"/>
      <c r="D570" s="1372"/>
      <c r="E570" s="1372"/>
      <c r="F570" s="1372"/>
      <c r="G570" s="1372"/>
      <c r="H570" s="1372"/>
      <c r="I570" s="1372"/>
      <c r="J570" s="1372"/>
      <c r="K570" s="1372"/>
      <c r="L570" s="1372"/>
      <c r="M570" s="1372"/>
      <c r="N570" s="1372"/>
      <c r="O570" s="1372"/>
      <c r="P570" s="1372"/>
      <c r="Q570" s="1373"/>
      <c r="R570" s="1243" t="str">
        <f t="shared" si="26"/>
        <v>Equipamiento</v>
      </c>
      <c r="S570" s="1303"/>
      <c r="T570" s="1304"/>
      <c r="U570" s="1298" t="str">
        <f t="shared" si="27"/>
        <v>Unidades de equipamiento</v>
      </c>
      <c r="V570" s="1299"/>
      <c r="W570" s="1299"/>
      <c r="X570" s="1300"/>
      <c r="Y570" s="1247"/>
      <c r="Z570" s="1248"/>
      <c r="AA570" s="1247"/>
      <c r="AB570" s="1248"/>
      <c r="AC570" s="1247"/>
      <c r="AD570" s="1248"/>
      <c r="AE570" s="1247"/>
      <c r="AF570" s="1248"/>
      <c r="AG570" s="1247"/>
      <c r="AH570" s="1248"/>
      <c r="AI570" s="1247"/>
      <c r="AJ570" s="1248"/>
      <c r="AK570" s="1247"/>
      <c r="AL570" s="1248"/>
      <c r="AM570" s="1247"/>
      <c r="AN570" s="1248"/>
      <c r="AO570" s="1247"/>
      <c r="AP570" s="1248"/>
      <c r="AQ570" s="1247"/>
      <c r="AR570" s="1248"/>
      <c r="AS570" s="1247"/>
      <c r="AT570" s="1248"/>
      <c r="AU570" s="1247"/>
      <c r="AV570" s="1248"/>
      <c r="AW570" s="1274">
        <f t="shared" si="28"/>
        <v>0</v>
      </c>
      <c r="AX570" s="1275"/>
      <c r="AY570" s="1275"/>
      <c r="AZ570" s="1276"/>
    </row>
    <row r="571" spans="1:52" s="291" customFormat="1" ht="36" customHeight="1">
      <c r="A571" s="311"/>
      <c r="B571" s="1371">
        <f t="shared" si="19"/>
        <v>0</v>
      </c>
      <c r="C571" s="1372"/>
      <c r="D571" s="1372"/>
      <c r="E571" s="1372"/>
      <c r="F571" s="1372"/>
      <c r="G571" s="1372"/>
      <c r="H571" s="1372"/>
      <c r="I571" s="1372"/>
      <c r="J571" s="1372"/>
      <c r="K571" s="1372"/>
      <c r="L571" s="1372"/>
      <c r="M571" s="1372"/>
      <c r="N571" s="1372"/>
      <c r="O571" s="1372"/>
      <c r="P571" s="1372"/>
      <c r="Q571" s="1373"/>
      <c r="R571" s="1243" t="str">
        <f t="shared" si="26"/>
        <v>Equipamiento</v>
      </c>
      <c r="S571" s="1303"/>
      <c r="T571" s="1304"/>
      <c r="U571" s="1298" t="str">
        <f t="shared" si="27"/>
        <v>Unidades de equipamiento</v>
      </c>
      <c r="V571" s="1299"/>
      <c r="W571" s="1299"/>
      <c r="X571" s="1300"/>
      <c r="Y571" s="1247"/>
      <c r="Z571" s="1248"/>
      <c r="AA571" s="1247"/>
      <c r="AB571" s="1248"/>
      <c r="AC571" s="1247"/>
      <c r="AD571" s="1248"/>
      <c r="AE571" s="1247"/>
      <c r="AF571" s="1248"/>
      <c r="AG571" s="1247"/>
      <c r="AH571" s="1248"/>
      <c r="AI571" s="1247"/>
      <c r="AJ571" s="1248"/>
      <c r="AK571" s="1247"/>
      <c r="AL571" s="1248"/>
      <c r="AM571" s="1247"/>
      <c r="AN571" s="1248"/>
      <c r="AO571" s="1247"/>
      <c r="AP571" s="1248"/>
      <c r="AQ571" s="1247"/>
      <c r="AR571" s="1248"/>
      <c r="AS571" s="1247"/>
      <c r="AT571" s="1248"/>
      <c r="AU571" s="1247"/>
      <c r="AV571" s="1248"/>
      <c r="AW571" s="1274">
        <f t="shared" si="28"/>
        <v>0</v>
      </c>
      <c r="AX571" s="1275"/>
      <c r="AY571" s="1275"/>
      <c r="AZ571" s="1276"/>
    </row>
    <row r="572" spans="1:52" s="291" customFormat="1" ht="36" customHeight="1">
      <c r="A572" s="311"/>
      <c r="B572" s="1371">
        <f t="shared" si="19"/>
        <v>0</v>
      </c>
      <c r="C572" s="1372"/>
      <c r="D572" s="1372"/>
      <c r="E572" s="1372"/>
      <c r="F572" s="1372"/>
      <c r="G572" s="1372"/>
      <c r="H572" s="1372"/>
      <c r="I572" s="1372"/>
      <c r="J572" s="1372"/>
      <c r="K572" s="1372"/>
      <c r="L572" s="1372"/>
      <c r="M572" s="1372"/>
      <c r="N572" s="1372"/>
      <c r="O572" s="1372"/>
      <c r="P572" s="1372"/>
      <c r="Q572" s="1373"/>
      <c r="R572" s="1243" t="str">
        <f t="shared" si="26"/>
        <v>Equipamiento</v>
      </c>
      <c r="S572" s="1303"/>
      <c r="T572" s="1304"/>
      <c r="U572" s="1298" t="str">
        <f t="shared" si="27"/>
        <v>Unidades de equipamiento</v>
      </c>
      <c r="V572" s="1299"/>
      <c r="W572" s="1299"/>
      <c r="X572" s="1300"/>
      <c r="Y572" s="1247"/>
      <c r="Z572" s="1248"/>
      <c r="AA572" s="1247"/>
      <c r="AB572" s="1248"/>
      <c r="AC572" s="1247"/>
      <c r="AD572" s="1248"/>
      <c r="AE572" s="1247"/>
      <c r="AF572" s="1248"/>
      <c r="AG572" s="1247"/>
      <c r="AH572" s="1248"/>
      <c r="AI572" s="1247"/>
      <c r="AJ572" s="1248"/>
      <c r="AK572" s="1247"/>
      <c r="AL572" s="1248"/>
      <c r="AM572" s="1247"/>
      <c r="AN572" s="1248"/>
      <c r="AO572" s="1247"/>
      <c r="AP572" s="1248"/>
      <c r="AQ572" s="1247"/>
      <c r="AR572" s="1248"/>
      <c r="AS572" s="1247"/>
      <c r="AT572" s="1248"/>
      <c r="AU572" s="1247"/>
      <c r="AV572" s="1248"/>
      <c r="AW572" s="1274">
        <f t="shared" si="28"/>
        <v>0</v>
      </c>
      <c r="AX572" s="1275"/>
      <c r="AY572" s="1275"/>
      <c r="AZ572" s="1276"/>
    </row>
    <row r="573" spans="1:52" s="291" customFormat="1" ht="22.5" customHeight="1">
      <c r="A573" s="311"/>
      <c r="B573" s="1371">
        <f t="shared" si="19"/>
        <v>0</v>
      </c>
      <c r="C573" s="1372"/>
      <c r="D573" s="1372"/>
      <c r="E573" s="1372"/>
      <c r="F573" s="1372"/>
      <c r="G573" s="1372"/>
      <c r="H573" s="1372"/>
      <c r="I573" s="1372"/>
      <c r="J573" s="1372"/>
      <c r="K573" s="1372"/>
      <c r="L573" s="1372"/>
      <c r="M573" s="1372"/>
      <c r="N573" s="1372"/>
      <c r="O573" s="1372"/>
      <c r="P573" s="1372"/>
      <c r="Q573" s="1373"/>
      <c r="R573" s="1243" t="str">
        <f t="shared" si="26"/>
        <v>Mobiliario</v>
      </c>
      <c r="S573" s="1303"/>
      <c r="T573" s="1304"/>
      <c r="U573" s="1298" t="str">
        <f t="shared" si="27"/>
        <v>N° mobiliarios</v>
      </c>
      <c r="V573" s="1299"/>
      <c r="W573" s="1299"/>
      <c r="X573" s="1300"/>
      <c r="Y573" s="1247"/>
      <c r="Z573" s="1248"/>
      <c r="AA573" s="1247"/>
      <c r="AB573" s="1248"/>
      <c r="AC573" s="1247"/>
      <c r="AD573" s="1248"/>
      <c r="AE573" s="1247"/>
      <c r="AF573" s="1248"/>
      <c r="AG573" s="1247"/>
      <c r="AH573" s="1248"/>
      <c r="AI573" s="1247"/>
      <c r="AJ573" s="1248"/>
      <c r="AK573" s="1247"/>
      <c r="AL573" s="1248"/>
      <c r="AM573" s="1247"/>
      <c r="AN573" s="1248"/>
      <c r="AO573" s="1247"/>
      <c r="AP573" s="1248"/>
      <c r="AQ573" s="1247"/>
      <c r="AR573" s="1248"/>
      <c r="AS573" s="1247"/>
      <c r="AT573" s="1248"/>
      <c r="AU573" s="1247"/>
      <c r="AV573" s="1248"/>
      <c r="AW573" s="1311">
        <f t="shared" si="28"/>
        <v>0</v>
      </c>
      <c r="AX573" s="1312"/>
      <c r="AY573" s="1312"/>
      <c r="AZ573" s="1313"/>
    </row>
    <row r="574" spans="1:52" s="291" customFormat="1" ht="22.5" customHeight="1">
      <c r="A574" s="311"/>
      <c r="B574" s="1371">
        <f t="shared" si="19"/>
        <v>0</v>
      </c>
      <c r="C574" s="1372"/>
      <c r="D574" s="1372"/>
      <c r="E574" s="1372"/>
      <c r="F574" s="1372"/>
      <c r="G574" s="1372"/>
      <c r="H574" s="1372"/>
      <c r="I574" s="1372"/>
      <c r="J574" s="1372"/>
      <c r="K574" s="1372"/>
      <c r="L574" s="1372"/>
      <c r="M574" s="1372"/>
      <c r="N574" s="1372"/>
      <c r="O574" s="1372"/>
      <c r="P574" s="1372"/>
      <c r="Q574" s="1373"/>
      <c r="R574" s="1243" t="str">
        <f t="shared" si="26"/>
        <v>Vehículo</v>
      </c>
      <c r="S574" s="1303"/>
      <c r="T574" s="1304"/>
      <c r="U574" s="1298" t="str">
        <f t="shared" si="27"/>
        <v>N° de Vehículos</v>
      </c>
      <c r="V574" s="1299"/>
      <c r="W574" s="1299"/>
      <c r="X574" s="1300"/>
      <c r="Y574" s="1247"/>
      <c r="Z574" s="1248"/>
      <c r="AA574" s="1247"/>
      <c r="AB574" s="1248"/>
      <c r="AC574" s="1247"/>
      <c r="AD574" s="1248"/>
      <c r="AE574" s="1247"/>
      <c r="AF574" s="1248"/>
      <c r="AG574" s="1247"/>
      <c r="AH574" s="1248"/>
      <c r="AI574" s="1247"/>
      <c r="AJ574" s="1248"/>
      <c r="AK574" s="1247"/>
      <c r="AL574" s="1248"/>
      <c r="AM574" s="1247"/>
      <c r="AN574" s="1248"/>
      <c r="AO574" s="1247"/>
      <c r="AP574" s="1248"/>
      <c r="AQ574" s="1247"/>
      <c r="AR574" s="1248"/>
      <c r="AS574" s="1247"/>
      <c r="AT574" s="1248"/>
      <c r="AU574" s="1247"/>
      <c r="AV574" s="1248"/>
      <c r="AW574" s="1274">
        <f t="shared" si="28"/>
        <v>0</v>
      </c>
      <c r="AX574" s="1275"/>
      <c r="AY574" s="1275"/>
      <c r="AZ574" s="1276"/>
    </row>
    <row r="575" spans="1:52" s="291" customFormat="1" ht="18" customHeight="1">
      <c r="A575" s="311"/>
      <c r="B575" s="1382" t="str">
        <f t="shared" ref="B575:B597" si="29">B462</f>
        <v>Eficiente gestión técnica, administrativa, económica y financiera del servicio de limpieza pública</v>
      </c>
      <c r="C575" s="1383"/>
      <c r="D575" s="1383"/>
      <c r="E575" s="1383"/>
      <c r="F575" s="1383"/>
      <c r="G575" s="1383"/>
      <c r="H575" s="1383"/>
      <c r="I575" s="1383"/>
      <c r="J575" s="1383"/>
      <c r="K575" s="1383"/>
      <c r="L575" s="1383"/>
      <c r="M575" s="1383"/>
      <c r="N575" s="1383"/>
      <c r="O575" s="1383"/>
      <c r="P575" s="1383"/>
      <c r="Q575" s="1383"/>
      <c r="R575" s="1383"/>
      <c r="S575" s="1383"/>
      <c r="T575" s="1383"/>
      <c r="U575" s="1383"/>
      <c r="V575" s="1383"/>
      <c r="W575" s="1383"/>
      <c r="X575" s="1383"/>
      <c r="Y575" s="1383"/>
      <c r="Z575" s="1383"/>
      <c r="AA575" s="1383"/>
      <c r="AB575" s="1383"/>
      <c r="AC575" s="1383"/>
      <c r="AD575" s="1383"/>
      <c r="AE575" s="1383"/>
      <c r="AF575" s="1383"/>
      <c r="AG575" s="1383"/>
      <c r="AH575" s="1383"/>
      <c r="AI575" s="1383"/>
      <c r="AJ575" s="1383"/>
      <c r="AK575" s="1383"/>
      <c r="AL575" s="1383"/>
      <c r="AM575" s="1383"/>
      <c r="AN575" s="1383"/>
      <c r="AO575" s="1383"/>
      <c r="AP575" s="1383"/>
      <c r="AQ575" s="1383"/>
      <c r="AR575" s="1383"/>
      <c r="AS575" s="1383"/>
      <c r="AT575" s="1383"/>
      <c r="AU575" s="1383"/>
      <c r="AV575" s="1384"/>
      <c r="AW575" s="489"/>
      <c r="AX575" s="490"/>
      <c r="AY575" s="490"/>
      <c r="AZ575" s="491"/>
    </row>
    <row r="576" spans="1:52" s="291" customFormat="1" ht="23.25" customHeight="1">
      <c r="A576" s="311"/>
      <c r="B576" s="1371">
        <f t="shared" si="29"/>
        <v>0</v>
      </c>
      <c r="C576" s="1372"/>
      <c r="D576" s="1372"/>
      <c r="E576" s="1372"/>
      <c r="F576" s="1372"/>
      <c r="G576" s="1372"/>
      <c r="H576" s="1372"/>
      <c r="I576" s="1372"/>
      <c r="J576" s="1372"/>
      <c r="K576" s="1372"/>
      <c r="L576" s="1372"/>
      <c r="M576" s="1372"/>
      <c r="N576" s="1372"/>
      <c r="O576" s="1372"/>
      <c r="P576" s="1372"/>
      <c r="Q576" s="1373"/>
      <c r="R576" s="1243" t="str">
        <f>Q463</f>
        <v>Intangibles</v>
      </c>
      <c r="S576" s="1303"/>
      <c r="T576" s="1304"/>
      <c r="U576" s="1298" t="str">
        <f>AA463</f>
        <v>Documento</v>
      </c>
      <c r="V576" s="1299"/>
      <c r="W576" s="1299"/>
      <c r="X576" s="1300"/>
      <c r="Y576" s="1247"/>
      <c r="Z576" s="1248"/>
      <c r="AA576" s="1247"/>
      <c r="AB576" s="1248"/>
      <c r="AC576" s="1247"/>
      <c r="AD576" s="1248"/>
      <c r="AE576" s="1247"/>
      <c r="AF576" s="1248"/>
      <c r="AG576" s="1247"/>
      <c r="AH576" s="1248"/>
      <c r="AI576" s="1247"/>
      <c r="AJ576" s="1248"/>
      <c r="AK576" s="1247"/>
      <c r="AL576" s="1248"/>
      <c r="AM576" s="1247"/>
      <c r="AN576" s="1248"/>
      <c r="AO576" s="1247"/>
      <c r="AP576" s="1248"/>
      <c r="AQ576" s="1247"/>
      <c r="AR576" s="1248"/>
      <c r="AS576" s="1247"/>
      <c r="AT576" s="1248"/>
      <c r="AU576" s="1247"/>
      <c r="AV576" s="1248"/>
      <c r="AW576" s="1274">
        <f>AD463</f>
        <v>0</v>
      </c>
      <c r="AX576" s="1275"/>
      <c r="AY576" s="1275"/>
      <c r="AZ576" s="1276"/>
    </row>
    <row r="577" spans="1:52" s="291" customFormat="1" ht="23.25" customHeight="1">
      <c r="A577" s="311"/>
      <c r="B577" s="1371">
        <f t="shared" si="29"/>
        <v>0</v>
      </c>
      <c r="C577" s="1372"/>
      <c r="D577" s="1372"/>
      <c r="E577" s="1372"/>
      <c r="F577" s="1372"/>
      <c r="G577" s="1372"/>
      <c r="H577" s="1372"/>
      <c r="I577" s="1372"/>
      <c r="J577" s="1372"/>
      <c r="K577" s="1372"/>
      <c r="L577" s="1372"/>
      <c r="M577" s="1372"/>
      <c r="N577" s="1372"/>
      <c r="O577" s="1372"/>
      <c r="P577" s="1372"/>
      <c r="Q577" s="1373"/>
      <c r="R577" s="1243" t="str">
        <f t="shared" ref="R577:R589" si="30">Q464</f>
        <v>Intangibles</v>
      </c>
      <c r="S577" s="1303"/>
      <c r="T577" s="1304"/>
      <c r="U577" s="1298" t="str">
        <f t="shared" ref="U577:U589" si="31">AA464</f>
        <v>Documento</v>
      </c>
      <c r="V577" s="1299"/>
      <c r="W577" s="1299"/>
      <c r="X577" s="1300"/>
      <c r="Y577" s="1247"/>
      <c r="Z577" s="1248"/>
      <c r="AA577" s="1247"/>
      <c r="AB577" s="1248"/>
      <c r="AC577" s="1247"/>
      <c r="AD577" s="1248"/>
      <c r="AE577" s="1247"/>
      <c r="AF577" s="1248"/>
      <c r="AG577" s="1247"/>
      <c r="AH577" s="1248"/>
      <c r="AI577" s="1247"/>
      <c r="AJ577" s="1248"/>
      <c r="AK577" s="1247"/>
      <c r="AL577" s="1248"/>
      <c r="AM577" s="1247"/>
      <c r="AN577" s="1248"/>
      <c r="AO577" s="1247"/>
      <c r="AP577" s="1248"/>
      <c r="AQ577" s="1247"/>
      <c r="AR577" s="1248"/>
      <c r="AS577" s="1247"/>
      <c r="AT577" s="1248"/>
      <c r="AU577" s="1247"/>
      <c r="AV577" s="1248"/>
      <c r="AW577" s="1274">
        <f t="shared" ref="AW577:AW589" si="32">AD464</f>
        <v>0</v>
      </c>
      <c r="AX577" s="1275"/>
      <c r="AY577" s="1275"/>
      <c r="AZ577" s="1276"/>
    </row>
    <row r="578" spans="1:52" s="291" customFormat="1" ht="23.25" customHeight="1">
      <c r="A578" s="311"/>
      <c r="B578" s="1371">
        <f t="shared" si="29"/>
        <v>0</v>
      </c>
      <c r="C578" s="1372"/>
      <c r="D578" s="1372"/>
      <c r="E578" s="1372"/>
      <c r="F578" s="1372"/>
      <c r="G578" s="1372"/>
      <c r="H578" s="1372"/>
      <c r="I578" s="1372"/>
      <c r="J578" s="1372"/>
      <c r="K578" s="1372"/>
      <c r="L578" s="1372"/>
      <c r="M578" s="1372"/>
      <c r="N578" s="1372"/>
      <c r="O578" s="1372"/>
      <c r="P578" s="1372"/>
      <c r="Q578" s="1373"/>
      <c r="R578" s="1243" t="str">
        <f t="shared" si="30"/>
        <v>Intangibles</v>
      </c>
      <c r="S578" s="1303"/>
      <c r="T578" s="1304"/>
      <c r="U578" s="1298" t="str">
        <f t="shared" si="31"/>
        <v>Documento</v>
      </c>
      <c r="V578" s="1299"/>
      <c r="W578" s="1299"/>
      <c r="X578" s="1300"/>
      <c r="Y578" s="1247"/>
      <c r="Z578" s="1248"/>
      <c r="AA578" s="1247"/>
      <c r="AB578" s="1248"/>
      <c r="AC578" s="1247"/>
      <c r="AD578" s="1248"/>
      <c r="AE578" s="1247"/>
      <c r="AF578" s="1248"/>
      <c r="AG578" s="1247"/>
      <c r="AH578" s="1248"/>
      <c r="AI578" s="1247"/>
      <c r="AJ578" s="1248"/>
      <c r="AK578" s="1247"/>
      <c r="AL578" s="1248"/>
      <c r="AM578" s="1247"/>
      <c r="AN578" s="1248"/>
      <c r="AO578" s="1247"/>
      <c r="AP578" s="1248"/>
      <c r="AQ578" s="1247"/>
      <c r="AR578" s="1248"/>
      <c r="AS578" s="1247"/>
      <c r="AT578" s="1248"/>
      <c r="AU578" s="1247"/>
      <c r="AV578" s="1248"/>
      <c r="AW578" s="1274">
        <f t="shared" si="32"/>
        <v>0</v>
      </c>
      <c r="AX578" s="1275"/>
      <c r="AY578" s="1275"/>
      <c r="AZ578" s="1276"/>
    </row>
    <row r="579" spans="1:52" s="291" customFormat="1" ht="23.25" customHeight="1">
      <c r="A579" s="311"/>
      <c r="B579" s="1371">
        <f t="shared" si="29"/>
        <v>0</v>
      </c>
      <c r="C579" s="1372"/>
      <c r="D579" s="1372"/>
      <c r="E579" s="1372"/>
      <c r="F579" s="1372"/>
      <c r="G579" s="1372"/>
      <c r="H579" s="1372"/>
      <c r="I579" s="1372"/>
      <c r="J579" s="1372"/>
      <c r="K579" s="1372"/>
      <c r="L579" s="1372"/>
      <c r="M579" s="1372"/>
      <c r="N579" s="1372"/>
      <c r="O579" s="1372"/>
      <c r="P579" s="1372"/>
      <c r="Q579" s="1373"/>
      <c r="R579" s="1243" t="str">
        <f t="shared" si="30"/>
        <v>Intangibles</v>
      </c>
      <c r="S579" s="1303"/>
      <c r="T579" s="1304"/>
      <c r="U579" s="1298" t="str">
        <f t="shared" si="31"/>
        <v>Documento</v>
      </c>
      <c r="V579" s="1299"/>
      <c r="W579" s="1299"/>
      <c r="X579" s="1300"/>
      <c r="Y579" s="1247"/>
      <c r="Z579" s="1248"/>
      <c r="AA579" s="1247"/>
      <c r="AB579" s="1248"/>
      <c r="AC579" s="1247"/>
      <c r="AD579" s="1248"/>
      <c r="AE579" s="1247"/>
      <c r="AF579" s="1248"/>
      <c r="AG579" s="1247"/>
      <c r="AH579" s="1248"/>
      <c r="AI579" s="1247"/>
      <c r="AJ579" s="1248"/>
      <c r="AK579" s="1247"/>
      <c r="AL579" s="1248"/>
      <c r="AM579" s="1247"/>
      <c r="AN579" s="1248"/>
      <c r="AO579" s="1247"/>
      <c r="AP579" s="1248"/>
      <c r="AQ579" s="1247"/>
      <c r="AR579" s="1248"/>
      <c r="AS579" s="1247"/>
      <c r="AT579" s="1248"/>
      <c r="AU579" s="1247"/>
      <c r="AV579" s="1248"/>
      <c r="AW579" s="1274">
        <f t="shared" si="32"/>
        <v>0</v>
      </c>
      <c r="AX579" s="1275"/>
      <c r="AY579" s="1275"/>
      <c r="AZ579" s="1276"/>
    </row>
    <row r="580" spans="1:52" s="291" customFormat="1" ht="23.25" customHeight="1">
      <c r="A580" s="311"/>
      <c r="B580" s="1371">
        <f t="shared" si="29"/>
        <v>0</v>
      </c>
      <c r="C580" s="1372"/>
      <c r="D580" s="1372"/>
      <c r="E580" s="1372"/>
      <c r="F580" s="1372"/>
      <c r="G580" s="1372"/>
      <c r="H580" s="1372"/>
      <c r="I580" s="1372"/>
      <c r="J580" s="1372"/>
      <c r="K580" s="1372"/>
      <c r="L580" s="1372"/>
      <c r="M580" s="1372"/>
      <c r="N580" s="1372"/>
      <c r="O580" s="1372"/>
      <c r="P580" s="1372"/>
      <c r="Q580" s="1373"/>
      <c r="R580" s="1243" t="str">
        <f t="shared" si="30"/>
        <v>Intangibles</v>
      </c>
      <c r="S580" s="1303"/>
      <c r="T580" s="1304"/>
      <c r="U580" s="1298" t="str">
        <f t="shared" si="31"/>
        <v>Documento</v>
      </c>
      <c r="V580" s="1299"/>
      <c r="W580" s="1299"/>
      <c r="X580" s="1300"/>
      <c r="Y580" s="1247"/>
      <c r="Z580" s="1248"/>
      <c r="AA580" s="1247"/>
      <c r="AB580" s="1248"/>
      <c r="AC580" s="1247"/>
      <c r="AD580" s="1248"/>
      <c r="AE580" s="1247"/>
      <c r="AF580" s="1248"/>
      <c r="AG580" s="1247"/>
      <c r="AH580" s="1248"/>
      <c r="AI580" s="1247"/>
      <c r="AJ580" s="1248"/>
      <c r="AK580" s="1247"/>
      <c r="AL580" s="1248"/>
      <c r="AM580" s="1247"/>
      <c r="AN580" s="1248"/>
      <c r="AO580" s="1247"/>
      <c r="AP580" s="1248"/>
      <c r="AQ580" s="1247"/>
      <c r="AR580" s="1248"/>
      <c r="AS580" s="1247"/>
      <c r="AT580" s="1248"/>
      <c r="AU580" s="1247"/>
      <c r="AV580" s="1248"/>
      <c r="AW580" s="1274">
        <f t="shared" si="32"/>
        <v>0</v>
      </c>
      <c r="AX580" s="1275"/>
      <c r="AY580" s="1275"/>
      <c r="AZ580" s="1276"/>
    </row>
    <row r="581" spans="1:52" s="291" customFormat="1" ht="23.25" customHeight="1">
      <c r="A581" s="311"/>
      <c r="B581" s="1371">
        <f t="shared" si="29"/>
        <v>0</v>
      </c>
      <c r="C581" s="1372"/>
      <c r="D581" s="1372"/>
      <c r="E581" s="1372"/>
      <c r="F581" s="1372"/>
      <c r="G581" s="1372"/>
      <c r="H581" s="1372"/>
      <c r="I581" s="1372"/>
      <c r="J581" s="1372"/>
      <c r="K581" s="1372"/>
      <c r="L581" s="1372"/>
      <c r="M581" s="1372"/>
      <c r="N581" s="1372"/>
      <c r="O581" s="1372"/>
      <c r="P581" s="1372"/>
      <c r="Q581" s="1373"/>
      <c r="R581" s="1243" t="str">
        <f t="shared" si="30"/>
        <v>Intangibles</v>
      </c>
      <c r="S581" s="1303"/>
      <c r="T581" s="1304"/>
      <c r="U581" s="1298" t="str">
        <f t="shared" si="31"/>
        <v>Documento</v>
      </c>
      <c r="V581" s="1299"/>
      <c r="W581" s="1299"/>
      <c r="X581" s="1300"/>
      <c r="Y581" s="1247"/>
      <c r="Z581" s="1248"/>
      <c r="AA581" s="1247"/>
      <c r="AB581" s="1248"/>
      <c r="AC581" s="1247"/>
      <c r="AD581" s="1248"/>
      <c r="AE581" s="1247"/>
      <c r="AF581" s="1248"/>
      <c r="AG581" s="1247"/>
      <c r="AH581" s="1248"/>
      <c r="AI581" s="1247"/>
      <c r="AJ581" s="1248"/>
      <c r="AK581" s="1247"/>
      <c r="AL581" s="1248"/>
      <c r="AM581" s="1247"/>
      <c r="AN581" s="1248"/>
      <c r="AO581" s="1247"/>
      <c r="AP581" s="1248"/>
      <c r="AQ581" s="1247"/>
      <c r="AR581" s="1248"/>
      <c r="AS581" s="1247"/>
      <c r="AT581" s="1248"/>
      <c r="AU581" s="1247"/>
      <c r="AV581" s="1248"/>
      <c r="AW581" s="1274">
        <f t="shared" si="32"/>
        <v>0</v>
      </c>
      <c r="AX581" s="1275"/>
      <c r="AY581" s="1275"/>
      <c r="AZ581" s="1276"/>
    </row>
    <row r="582" spans="1:52" s="291" customFormat="1" ht="23.25" customHeight="1">
      <c r="A582" s="311"/>
      <c r="B582" s="1371">
        <f t="shared" si="29"/>
        <v>0</v>
      </c>
      <c r="C582" s="1372"/>
      <c r="D582" s="1372"/>
      <c r="E582" s="1372"/>
      <c r="F582" s="1372"/>
      <c r="G582" s="1372"/>
      <c r="H582" s="1372"/>
      <c r="I582" s="1372"/>
      <c r="J582" s="1372"/>
      <c r="K582" s="1372"/>
      <c r="L582" s="1372"/>
      <c r="M582" s="1372"/>
      <c r="N582" s="1372"/>
      <c r="O582" s="1372"/>
      <c r="P582" s="1372"/>
      <c r="Q582" s="1373"/>
      <c r="R582" s="1243" t="str">
        <f t="shared" si="30"/>
        <v>Intangibles</v>
      </c>
      <c r="S582" s="1303"/>
      <c r="T582" s="1304"/>
      <c r="U582" s="1298" t="str">
        <f t="shared" si="31"/>
        <v>Documento</v>
      </c>
      <c r="V582" s="1299"/>
      <c r="W582" s="1299"/>
      <c r="X582" s="1300"/>
      <c r="Y582" s="1247"/>
      <c r="Z582" s="1248"/>
      <c r="AA582" s="1247"/>
      <c r="AB582" s="1248"/>
      <c r="AC582" s="1247"/>
      <c r="AD582" s="1248"/>
      <c r="AE582" s="1247"/>
      <c r="AF582" s="1248"/>
      <c r="AG582" s="1247"/>
      <c r="AH582" s="1248"/>
      <c r="AI582" s="1247"/>
      <c r="AJ582" s="1248"/>
      <c r="AK582" s="1247"/>
      <c r="AL582" s="1248"/>
      <c r="AM582" s="1247"/>
      <c r="AN582" s="1248"/>
      <c r="AO582" s="1247"/>
      <c r="AP582" s="1248"/>
      <c r="AQ582" s="1247"/>
      <c r="AR582" s="1248"/>
      <c r="AS582" s="1247"/>
      <c r="AT582" s="1248"/>
      <c r="AU582" s="1247"/>
      <c r="AV582" s="1248"/>
      <c r="AW582" s="1274">
        <f t="shared" si="32"/>
        <v>0</v>
      </c>
      <c r="AX582" s="1275"/>
      <c r="AY582" s="1275"/>
      <c r="AZ582" s="1276"/>
    </row>
    <row r="583" spans="1:52" s="291" customFormat="1" ht="18" customHeight="1">
      <c r="A583" s="311"/>
      <c r="B583" s="1371">
        <f t="shared" si="29"/>
        <v>0</v>
      </c>
      <c r="C583" s="1372"/>
      <c r="D583" s="1372"/>
      <c r="E583" s="1372"/>
      <c r="F583" s="1372"/>
      <c r="G583" s="1372"/>
      <c r="H583" s="1372"/>
      <c r="I583" s="1372"/>
      <c r="J583" s="1372"/>
      <c r="K583" s="1372"/>
      <c r="L583" s="1372"/>
      <c r="M583" s="1372"/>
      <c r="N583" s="1372"/>
      <c r="O583" s="1372"/>
      <c r="P583" s="1372"/>
      <c r="Q583" s="1373"/>
      <c r="R583" s="1243" t="str">
        <f t="shared" si="30"/>
        <v>Intangibles</v>
      </c>
      <c r="S583" s="1303"/>
      <c r="T583" s="1304"/>
      <c r="U583" s="1298" t="str">
        <f t="shared" si="31"/>
        <v>Documento</v>
      </c>
      <c r="V583" s="1299"/>
      <c r="W583" s="1299"/>
      <c r="X583" s="1300"/>
      <c r="Y583" s="1247"/>
      <c r="Z583" s="1248"/>
      <c r="AA583" s="1247"/>
      <c r="AB583" s="1248"/>
      <c r="AC583" s="1247"/>
      <c r="AD583" s="1248"/>
      <c r="AE583" s="1247"/>
      <c r="AF583" s="1248"/>
      <c r="AG583" s="1247"/>
      <c r="AH583" s="1248"/>
      <c r="AI583" s="1247"/>
      <c r="AJ583" s="1248"/>
      <c r="AK583" s="1247"/>
      <c r="AL583" s="1248"/>
      <c r="AM583" s="1247"/>
      <c r="AN583" s="1248"/>
      <c r="AO583" s="1247"/>
      <c r="AP583" s="1248"/>
      <c r="AQ583" s="1247"/>
      <c r="AR583" s="1248"/>
      <c r="AS583" s="1247"/>
      <c r="AT583" s="1248"/>
      <c r="AU583" s="1247"/>
      <c r="AV583" s="1248"/>
      <c r="AW583" s="1274">
        <f t="shared" si="32"/>
        <v>0</v>
      </c>
      <c r="AX583" s="1275"/>
      <c r="AY583" s="1275"/>
      <c r="AZ583" s="1276"/>
    </row>
    <row r="584" spans="1:52" s="291" customFormat="1" ht="31.5" customHeight="1">
      <c r="A584" s="311"/>
      <c r="B584" s="1371">
        <f t="shared" si="29"/>
        <v>0</v>
      </c>
      <c r="C584" s="1372"/>
      <c r="D584" s="1372"/>
      <c r="E584" s="1372"/>
      <c r="F584" s="1372"/>
      <c r="G584" s="1372"/>
      <c r="H584" s="1372"/>
      <c r="I584" s="1372"/>
      <c r="J584" s="1372"/>
      <c r="K584" s="1372"/>
      <c r="L584" s="1372"/>
      <c r="M584" s="1372"/>
      <c r="N584" s="1372"/>
      <c r="O584" s="1372"/>
      <c r="P584" s="1372"/>
      <c r="Q584" s="1373"/>
      <c r="R584" s="1243" t="str">
        <f t="shared" si="30"/>
        <v>Equipamiento</v>
      </c>
      <c r="S584" s="1303"/>
      <c r="T584" s="1304"/>
      <c r="U584" s="1298" t="str">
        <f t="shared" si="31"/>
        <v>Unidades de equipamiento</v>
      </c>
      <c r="V584" s="1299"/>
      <c r="W584" s="1299"/>
      <c r="X584" s="1300"/>
      <c r="Y584" s="1247"/>
      <c r="Z584" s="1248"/>
      <c r="AA584" s="1247"/>
      <c r="AB584" s="1248"/>
      <c r="AC584" s="1247"/>
      <c r="AD584" s="1248"/>
      <c r="AE584" s="1247"/>
      <c r="AF584" s="1248"/>
      <c r="AG584" s="1247"/>
      <c r="AH584" s="1248"/>
      <c r="AI584" s="1247"/>
      <c r="AJ584" s="1248"/>
      <c r="AK584" s="1247"/>
      <c r="AL584" s="1248"/>
      <c r="AM584" s="1247"/>
      <c r="AN584" s="1248"/>
      <c r="AO584" s="1247"/>
      <c r="AP584" s="1248"/>
      <c r="AQ584" s="1247"/>
      <c r="AR584" s="1248"/>
      <c r="AS584" s="1247"/>
      <c r="AT584" s="1248"/>
      <c r="AU584" s="1247"/>
      <c r="AV584" s="1248"/>
      <c r="AW584" s="1274">
        <f t="shared" si="32"/>
        <v>0</v>
      </c>
      <c r="AX584" s="1275"/>
      <c r="AY584" s="1275"/>
      <c r="AZ584" s="1276"/>
    </row>
    <row r="585" spans="1:52" s="291" customFormat="1" ht="30" customHeight="1">
      <c r="A585" s="311"/>
      <c r="B585" s="1371">
        <f t="shared" si="29"/>
        <v>0</v>
      </c>
      <c r="C585" s="1372"/>
      <c r="D585" s="1372"/>
      <c r="E585" s="1372"/>
      <c r="F585" s="1372"/>
      <c r="G585" s="1372"/>
      <c r="H585" s="1372"/>
      <c r="I585" s="1372"/>
      <c r="J585" s="1372"/>
      <c r="K585" s="1372"/>
      <c r="L585" s="1372"/>
      <c r="M585" s="1372"/>
      <c r="N585" s="1372"/>
      <c r="O585" s="1372"/>
      <c r="P585" s="1372"/>
      <c r="Q585" s="1373"/>
      <c r="R585" s="1243" t="str">
        <f t="shared" si="30"/>
        <v>Equipamiento</v>
      </c>
      <c r="S585" s="1303"/>
      <c r="T585" s="1304"/>
      <c r="U585" s="1298" t="str">
        <f t="shared" si="31"/>
        <v>Unidades de equipamiento</v>
      </c>
      <c r="V585" s="1299"/>
      <c r="W585" s="1299"/>
      <c r="X585" s="1300"/>
      <c r="Y585" s="1247"/>
      <c r="Z585" s="1248"/>
      <c r="AA585" s="1247"/>
      <c r="AB585" s="1248"/>
      <c r="AC585" s="1247"/>
      <c r="AD585" s="1248"/>
      <c r="AE585" s="1247"/>
      <c r="AF585" s="1248"/>
      <c r="AG585" s="1247"/>
      <c r="AH585" s="1248"/>
      <c r="AI585" s="1247"/>
      <c r="AJ585" s="1248"/>
      <c r="AK585" s="1247"/>
      <c r="AL585" s="1248"/>
      <c r="AM585" s="1247"/>
      <c r="AN585" s="1248"/>
      <c r="AO585" s="1247"/>
      <c r="AP585" s="1248"/>
      <c r="AQ585" s="1247"/>
      <c r="AR585" s="1248"/>
      <c r="AS585" s="1247"/>
      <c r="AT585" s="1248"/>
      <c r="AU585" s="1247"/>
      <c r="AV585" s="1248"/>
      <c r="AW585" s="1274">
        <f t="shared" si="32"/>
        <v>0</v>
      </c>
      <c r="AX585" s="1275"/>
      <c r="AY585" s="1275"/>
      <c r="AZ585" s="1276"/>
    </row>
    <row r="586" spans="1:52" s="291" customFormat="1" ht="26.25" customHeight="1">
      <c r="A586" s="311"/>
      <c r="B586" s="1371">
        <f t="shared" si="29"/>
        <v>0</v>
      </c>
      <c r="C586" s="1372"/>
      <c r="D586" s="1372"/>
      <c r="E586" s="1372"/>
      <c r="F586" s="1372"/>
      <c r="G586" s="1372"/>
      <c r="H586" s="1372"/>
      <c r="I586" s="1372"/>
      <c r="J586" s="1372"/>
      <c r="K586" s="1372"/>
      <c r="L586" s="1372"/>
      <c r="M586" s="1372"/>
      <c r="N586" s="1372"/>
      <c r="O586" s="1372"/>
      <c r="P586" s="1372"/>
      <c r="Q586" s="1373"/>
      <c r="R586" s="1243" t="str">
        <f t="shared" si="30"/>
        <v>Vehículo</v>
      </c>
      <c r="S586" s="1303"/>
      <c r="T586" s="1304"/>
      <c r="U586" s="1298" t="str">
        <f t="shared" si="31"/>
        <v>N° de Vehículos</v>
      </c>
      <c r="V586" s="1299"/>
      <c r="W586" s="1299"/>
      <c r="X586" s="1300"/>
      <c r="Y586" s="1247"/>
      <c r="Z586" s="1248"/>
      <c r="AA586" s="1247"/>
      <c r="AB586" s="1248"/>
      <c r="AC586" s="1247"/>
      <c r="AD586" s="1248"/>
      <c r="AE586" s="1247"/>
      <c r="AF586" s="1248"/>
      <c r="AG586" s="1247"/>
      <c r="AH586" s="1248"/>
      <c r="AI586" s="1247"/>
      <c r="AJ586" s="1248"/>
      <c r="AK586" s="1247"/>
      <c r="AL586" s="1248"/>
      <c r="AM586" s="1247"/>
      <c r="AN586" s="1248"/>
      <c r="AO586" s="1247"/>
      <c r="AP586" s="1248"/>
      <c r="AQ586" s="1247"/>
      <c r="AR586" s="1248"/>
      <c r="AS586" s="1247"/>
      <c r="AT586" s="1248"/>
      <c r="AU586" s="1247"/>
      <c r="AV586" s="1248"/>
      <c r="AW586" s="1274">
        <f t="shared" si="32"/>
        <v>0</v>
      </c>
      <c r="AX586" s="1275"/>
      <c r="AY586" s="1275"/>
      <c r="AZ586" s="1276"/>
    </row>
    <row r="587" spans="1:52" s="291" customFormat="1" ht="21.75" customHeight="1">
      <c r="A587" s="311"/>
      <c r="B587" s="1371">
        <f t="shared" si="29"/>
        <v>0</v>
      </c>
      <c r="C587" s="1372"/>
      <c r="D587" s="1372"/>
      <c r="E587" s="1372"/>
      <c r="F587" s="1372"/>
      <c r="G587" s="1372"/>
      <c r="H587" s="1372"/>
      <c r="I587" s="1372"/>
      <c r="J587" s="1372"/>
      <c r="K587" s="1372"/>
      <c r="L587" s="1372"/>
      <c r="M587" s="1372"/>
      <c r="N587" s="1372"/>
      <c r="O587" s="1372"/>
      <c r="P587" s="1372"/>
      <c r="Q587" s="1373"/>
      <c r="R587" s="1243" t="str">
        <f t="shared" si="30"/>
        <v>Intangibles</v>
      </c>
      <c r="S587" s="1303"/>
      <c r="T587" s="1304"/>
      <c r="U587" s="1298" t="str">
        <f t="shared" si="31"/>
        <v>Documento</v>
      </c>
      <c r="V587" s="1299"/>
      <c r="W587" s="1299"/>
      <c r="X587" s="1300"/>
      <c r="Y587" s="1247"/>
      <c r="Z587" s="1248"/>
      <c r="AA587" s="1247"/>
      <c r="AB587" s="1248"/>
      <c r="AC587" s="1247"/>
      <c r="AD587" s="1248"/>
      <c r="AE587" s="1247"/>
      <c r="AF587" s="1248"/>
      <c r="AG587" s="1247"/>
      <c r="AH587" s="1248"/>
      <c r="AI587" s="1247"/>
      <c r="AJ587" s="1248"/>
      <c r="AK587" s="1247"/>
      <c r="AL587" s="1248"/>
      <c r="AM587" s="1247"/>
      <c r="AN587" s="1248"/>
      <c r="AO587" s="1247"/>
      <c r="AP587" s="1248"/>
      <c r="AQ587" s="1247"/>
      <c r="AR587" s="1248"/>
      <c r="AS587" s="1247"/>
      <c r="AT587" s="1248"/>
      <c r="AU587" s="1247"/>
      <c r="AV587" s="1248"/>
      <c r="AW587" s="1274">
        <f t="shared" si="32"/>
        <v>0</v>
      </c>
      <c r="AX587" s="1275"/>
      <c r="AY587" s="1275"/>
      <c r="AZ587" s="1276"/>
    </row>
    <row r="588" spans="1:52" s="291" customFormat="1" ht="21.75" customHeight="1">
      <c r="A588" s="311"/>
      <c r="B588" s="1371">
        <f t="shared" si="29"/>
        <v>0</v>
      </c>
      <c r="C588" s="1372"/>
      <c r="D588" s="1372"/>
      <c r="E588" s="1372"/>
      <c r="F588" s="1372"/>
      <c r="G588" s="1372"/>
      <c r="H588" s="1372"/>
      <c r="I588" s="1372"/>
      <c r="J588" s="1372"/>
      <c r="K588" s="1372"/>
      <c r="L588" s="1372"/>
      <c r="M588" s="1372"/>
      <c r="N588" s="1372"/>
      <c r="O588" s="1372"/>
      <c r="P588" s="1372"/>
      <c r="Q588" s="1373"/>
      <c r="R588" s="1243" t="str">
        <f t="shared" si="30"/>
        <v>Intangibles</v>
      </c>
      <c r="S588" s="1303"/>
      <c r="T588" s="1304"/>
      <c r="U588" s="1298" t="str">
        <f t="shared" si="31"/>
        <v>Documento</v>
      </c>
      <c r="V588" s="1299"/>
      <c r="W588" s="1299"/>
      <c r="X588" s="1300"/>
      <c r="Y588" s="1247"/>
      <c r="Z588" s="1248"/>
      <c r="AA588" s="1247"/>
      <c r="AB588" s="1248"/>
      <c r="AC588" s="1247"/>
      <c r="AD588" s="1248"/>
      <c r="AE588" s="1247"/>
      <c r="AF588" s="1248"/>
      <c r="AG588" s="1247"/>
      <c r="AH588" s="1248"/>
      <c r="AI588" s="1247"/>
      <c r="AJ588" s="1248"/>
      <c r="AK588" s="1247"/>
      <c r="AL588" s="1248"/>
      <c r="AM588" s="1247"/>
      <c r="AN588" s="1248"/>
      <c r="AO588" s="1247"/>
      <c r="AP588" s="1248"/>
      <c r="AQ588" s="1247"/>
      <c r="AR588" s="1248"/>
      <c r="AS588" s="1247"/>
      <c r="AT588" s="1248"/>
      <c r="AU588" s="1247"/>
      <c r="AV588" s="1248"/>
      <c r="AW588" s="1274">
        <f t="shared" si="32"/>
        <v>0</v>
      </c>
      <c r="AX588" s="1275"/>
      <c r="AY588" s="1275"/>
      <c r="AZ588" s="1276"/>
    </row>
    <row r="589" spans="1:52" s="291" customFormat="1" ht="21.75" customHeight="1">
      <c r="A589" s="311"/>
      <c r="B589" s="1371">
        <f t="shared" si="29"/>
        <v>0</v>
      </c>
      <c r="C589" s="1372"/>
      <c r="D589" s="1372"/>
      <c r="E589" s="1372"/>
      <c r="F589" s="1372"/>
      <c r="G589" s="1372"/>
      <c r="H589" s="1372"/>
      <c r="I589" s="1372"/>
      <c r="J589" s="1372"/>
      <c r="K589" s="1372"/>
      <c r="L589" s="1372"/>
      <c r="M589" s="1372"/>
      <c r="N589" s="1372"/>
      <c r="O589" s="1372"/>
      <c r="P589" s="1372"/>
      <c r="Q589" s="1373"/>
      <c r="R589" s="1243" t="str">
        <f t="shared" si="30"/>
        <v>Intangibles</v>
      </c>
      <c r="S589" s="1303"/>
      <c r="T589" s="1304"/>
      <c r="U589" s="1298" t="str">
        <f t="shared" si="31"/>
        <v>Documento</v>
      </c>
      <c r="V589" s="1299"/>
      <c r="W589" s="1299"/>
      <c r="X589" s="1300"/>
      <c r="Y589" s="1247"/>
      <c r="Z589" s="1248"/>
      <c r="AA589" s="1247"/>
      <c r="AB589" s="1248"/>
      <c r="AC589" s="1247"/>
      <c r="AD589" s="1248"/>
      <c r="AE589" s="1247"/>
      <c r="AF589" s="1248"/>
      <c r="AG589" s="1247"/>
      <c r="AH589" s="1248"/>
      <c r="AI589" s="1247"/>
      <c r="AJ589" s="1248"/>
      <c r="AK589" s="1247"/>
      <c r="AL589" s="1248"/>
      <c r="AM589" s="1247"/>
      <c r="AN589" s="1248"/>
      <c r="AO589" s="1247"/>
      <c r="AP589" s="1248"/>
      <c r="AQ589" s="1247"/>
      <c r="AR589" s="1248"/>
      <c r="AS589" s="1247"/>
      <c r="AT589" s="1248"/>
      <c r="AU589" s="1247"/>
      <c r="AV589" s="1248"/>
      <c r="AW589" s="1274">
        <f t="shared" si="32"/>
        <v>0</v>
      </c>
      <c r="AX589" s="1275"/>
      <c r="AY589" s="1275"/>
      <c r="AZ589" s="1276"/>
    </row>
    <row r="590" spans="1:52" s="291" customFormat="1" ht="18" customHeight="1">
      <c r="A590" s="311"/>
      <c r="B590" s="1382" t="str">
        <f t="shared" si="29"/>
        <v>Adecuada educación y cultura ambiental de la población</v>
      </c>
      <c r="C590" s="1383"/>
      <c r="D590" s="1383"/>
      <c r="E590" s="1383"/>
      <c r="F590" s="1383"/>
      <c r="G590" s="1383"/>
      <c r="H590" s="1383"/>
      <c r="I590" s="1383"/>
      <c r="J590" s="1383"/>
      <c r="K590" s="1383"/>
      <c r="L590" s="1383"/>
      <c r="M590" s="1383"/>
      <c r="N590" s="1383"/>
      <c r="O590" s="1383"/>
      <c r="P590" s="1383"/>
      <c r="Q590" s="1383"/>
      <c r="R590" s="1383"/>
      <c r="S590" s="1383"/>
      <c r="T590" s="1383"/>
      <c r="U590" s="1383"/>
      <c r="V590" s="1383"/>
      <c r="W590" s="1383"/>
      <c r="X590" s="1383"/>
      <c r="Y590" s="1383"/>
      <c r="Z590" s="1383"/>
      <c r="AA590" s="1383"/>
      <c r="AB590" s="1383"/>
      <c r="AC590" s="1383"/>
      <c r="AD590" s="1383"/>
      <c r="AE590" s="1383"/>
      <c r="AF590" s="1383"/>
      <c r="AG590" s="1383"/>
      <c r="AH590" s="1383"/>
      <c r="AI590" s="1383"/>
      <c r="AJ590" s="1383"/>
      <c r="AK590" s="1383"/>
      <c r="AL590" s="1383"/>
      <c r="AM590" s="1383"/>
      <c r="AN590" s="1383"/>
      <c r="AO590" s="1383"/>
      <c r="AP590" s="1383"/>
      <c r="AQ590" s="1383"/>
      <c r="AR590" s="1383"/>
      <c r="AS590" s="1383"/>
      <c r="AT590" s="1383"/>
      <c r="AU590" s="1383"/>
      <c r="AV590" s="1384"/>
      <c r="AW590" s="489"/>
      <c r="AX590" s="490"/>
      <c r="AY590" s="490"/>
      <c r="AZ590" s="491"/>
    </row>
    <row r="591" spans="1:52" s="291" customFormat="1" ht="24.75" customHeight="1">
      <c r="A591" s="311"/>
      <c r="B591" s="1371">
        <f t="shared" si="29"/>
        <v>0</v>
      </c>
      <c r="C591" s="1372"/>
      <c r="D591" s="1372"/>
      <c r="E591" s="1372"/>
      <c r="F591" s="1372"/>
      <c r="G591" s="1372"/>
      <c r="H591" s="1372"/>
      <c r="I591" s="1372"/>
      <c r="J591" s="1372"/>
      <c r="K591" s="1372"/>
      <c r="L591" s="1372"/>
      <c r="M591" s="1372"/>
      <c r="N591" s="1372"/>
      <c r="O591" s="1372"/>
      <c r="P591" s="1372"/>
      <c r="Q591" s="1373"/>
      <c r="R591" s="1243" t="str">
        <f t="shared" ref="R591:R597" si="33">Q478</f>
        <v>Intangibles</v>
      </c>
      <c r="S591" s="1303"/>
      <c r="T591" s="1304"/>
      <c r="U591" s="1298" t="str">
        <f>AA478</f>
        <v>Documento</v>
      </c>
      <c r="V591" s="1299"/>
      <c r="W591" s="1299"/>
      <c r="X591" s="1300"/>
      <c r="Y591" s="1247"/>
      <c r="Z591" s="1248"/>
      <c r="AA591" s="1247"/>
      <c r="AB591" s="1248"/>
      <c r="AC591" s="1247"/>
      <c r="AD591" s="1248"/>
      <c r="AE591" s="1247"/>
      <c r="AF591" s="1248"/>
      <c r="AG591" s="1247"/>
      <c r="AH591" s="1248"/>
      <c r="AI591" s="1247"/>
      <c r="AJ591" s="1248"/>
      <c r="AK591" s="1247"/>
      <c r="AL591" s="1248"/>
      <c r="AM591" s="1247"/>
      <c r="AN591" s="1248"/>
      <c r="AO591" s="1247"/>
      <c r="AP591" s="1248"/>
      <c r="AQ591" s="1247"/>
      <c r="AR591" s="1248"/>
      <c r="AS591" s="1247"/>
      <c r="AT591" s="1248"/>
      <c r="AU591" s="1247"/>
      <c r="AV591" s="1248"/>
      <c r="AW591" s="1274">
        <f t="shared" ref="AW591:AW597" si="34">AD478</f>
        <v>0</v>
      </c>
      <c r="AX591" s="1275"/>
      <c r="AY591" s="1275"/>
      <c r="AZ591" s="1276"/>
    </row>
    <row r="592" spans="1:52" s="291" customFormat="1" ht="24.75" customHeight="1">
      <c r="A592" s="311"/>
      <c r="B592" s="1371">
        <f t="shared" si="29"/>
        <v>0</v>
      </c>
      <c r="C592" s="1372"/>
      <c r="D592" s="1372"/>
      <c r="E592" s="1372"/>
      <c r="F592" s="1372"/>
      <c r="G592" s="1372"/>
      <c r="H592" s="1372"/>
      <c r="I592" s="1372"/>
      <c r="J592" s="1372"/>
      <c r="K592" s="1372"/>
      <c r="L592" s="1372"/>
      <c r="M592" s="1372"/>
      <c r="N592" s="1372"/>
      <c r="O592" s="1372"/>
      <c r="P592" s="1372"/>
      <c r="Q592" s="1373"/>
      <c r="R592" s="1243" t="str">
        <f t="shared" si="33"/>
        <v>Intangibles</v>
      </c>
      <c r="S592" s="1303"/>
      <c r="T592" s="1304"/>
      <c r="U592" s="1298" t="str">
        <f t="shared" ref="U592:U597" si="35">AA479</f>
        <v>Documento</v>
      </c>
      <c r="V592" s="1299"/>
      <c r="W592" s="1299"/>
      <c r="X592" s="1300"/>
      <c r="Y592" s="1247"/>
      <c r="Z592" s="1248"/>
      <c r="AA592" s="1247"/>
      <c r="AB592" s="1248"/>
      <c r="AC592" s="1247"/>
      <c r="AD592" s="1248"/>
      <c r="AE592" s="1247"/>
      <c r="AF592" s="1248"/>
      <c r="AG592" s="1247"/>
      <c r="AH592" s="1248"/>
      <c r="AI592" s="1247"/>
      <c r="AJ592" s="1248"/>
      <c r="AK592" s="1247"/>
      <c r="AL592" s="1248"/>
      <c r="AM592" s="1247"/>
      <c r="AN592" s="1248"/>
      <c r="AO592" s="1247"/>
      <c r="AP592" s="1248"/>
      <c r="AQ592" s="1247"/>
      <c r="AR592" s="1248"/>
      <c r="AS592" s="1247"/>
      <c r="AT592" s="1248"/>
      <c r="AU592" s="1247"/>
      <c r="AV592" s="1248"/>
      <c r="AW592" s="1274">
        <f t="shared" si="34"/>
        <v>0</v>
      </c>
      <c r="AX592" s="1275"/>
      <c r="AY592" s="1275"/>
      <c r="AZ592" s="1276"/>
    </row>
    <row r="593" spans="1:52" s="291" customFormat="1" ht="24.75" customHeight="1">
      <c r="A593" s="311"/>
      <c r="B593" s="1371">
        <f t="shared" si="29"/>
        <v>0</v>
      </c>
      <c r="C593" s="1372"/>
      <c r="D593" s="1372"/>
      <c r="E593" s="1372"/>
      <c r="F593" s="1372"/>
      <c r="G593" s="1372"/>
      <c r="H593" s="1372"/>
      <c r="I593" s="1372"/>
      <c r="J593" s="1372"/>
      <c r="K593" s="1372"/>
      <c r="L593" s="1372"/>
      <c r="M593" s="1372"/>
      <c r="N593" s="1372"/>
      <c r="O593" s="1372"/>
      <c r="P593" s="1372"/>
      <c r="Q593" s="1373"/>
      <c r="R593" s="1243" t="str">
        <f t="shared" si="33"/>
        <v>Intangibles</v>
      </c>
      <c r="S593" s="1303"/>
      <c r="T593" s="1304"/>
      <c r="U593" s="1298" t="str">
        <f t="shared" si="35"/>
        <v>Documento</v>
      </c>
      <c r="V593" s="1299"/>
      <c r="W593" s="1299"/>
      <c r="X593" s="1300"/>
      <c r="Y593" s="1247"/>
      <c r="Z593" s="1248"/>
      <c r="AA593" s="1247"/>
      <c r="AB593" s="1248"/>
      <c r="AC593" s="1247"/>
      <c r="AD593" s="1248"/>
      <c r="AE593" s="1247"/>
      <c r="AF593" s="1248"/>
      <c r="AG593" s="1247"/>
      <c r="AH593" s="1248"/>
      <c r="AI593" s="1247"/>
      <c r="AJ593" s="1248"/>
      <c r="AK593" s="1247"/>
      <c r="AL593" s="1248"/>
      <c r="AM593" s="1247"/>
      <c r="AN593" s="1248"/>
      <c r="AO593" s="1247"/>
      <c r="AP593" s="1248"/>
      <c r="AQ593" s="1247"/>
      <c r="AR593" s="1248"/>
      <c r="AS593" s="1247"/>
      <c r="AT593" s="1248"/>
      <c r="AU593" s="1247"/>
      <c r="AV593" s="1248"/>
      <c r="AW593" s="1274">
        <f t="shared" si="34"/>
        <v>0</v>
      </c>
      <c r="AX593" s="1275"/>
      <c r="AY593" s="1275"/>
      <c r="AZ593" s="1276"/>
    </row>
    <row r="594" spans="1:52" s="291" customFormat="1" ht="24.75" customHeight="1">
      <c r="A594" s="311"/>
      <c r="B594" s="1371">
        <f t="shared" si="29"/>
        <v>0</v>
      </c>
      <c r="C594" s="1372"/>
      <c r="D594" s="1372"/>
      <c r="E594" s="1372"/>
      <c r="F594" s="1372"/>
      <c r="G594" s="1372"/>
      <c r="H594" s="1372"/>
      <c r="I594" s="1372"/>
      <c r="J594" s="1372"/>
      <c r="K594" s="1372"/>
      <c r="L594" s="1372"/>
      <c r="M594" s="1372"/>
      <c r="N594" s="1372"/>
      <c r="O594" s="1372"/>
      <c r="P594" s="1372"/>
      <c r="Q594" s="1373"/>
      <c r="R594" s="1243" t="str">
        <f t="shared" si="33"/>
        <v>Intangibles</v>
      </c>
      <c r="S594" s="1303"/>
      <c r="T594" s="1304"/>
      <c r="U594" s="1298" t="str">
        <f t="shared" si="35"/>
        <v>Documento</v>
      </c>
      <c r="V594" s="1299"/>
      <c r="W594" s="1299"/>
      <c r="X594" s="1300"/>
      <c r="Y594" s="1247"/>
      <c r="Z594" s="1248"/>
      <c r="AA594" s="1247"/>
      <c r="AB594" s="1248"/>
      <c r="AC594" s="1247"/>
      <c r="AD594" s="1248"/>
      <c r="AE594" s="1247"/>
      <c r="AF594" s="1248"/>
      <c r="AG594" s="1247"/>
      <c r="AH594" s="1248"/>
      <c r="AI594" s="1247"/>
      <c r="AJ594" s="1248"/>
      <c r="AK594" s="1247"/>
      <c r="AL594" s="1248"/>
      <c r="AM594" s="1247"/>
      <c r="AN594" s="1248"/>
      <c r="AO594" s="1247"/>
      <c r="AP594" s="1248"/>
      <c r="AQ594" s="1247"/>
      <c r="AR594" s="1248"/>
      <c r="AS594" s="1247"/>
      <c r="AT594" s="1248"/>
      <c r="AU594" s="1247"/>
      <c r="AV594" s="1248"/>
      <c r="AW594" s="1274">
        <f t="shared" si="34"/>
        <v>0</v>
      </c>
      <c r="AX594" s="1275"/>
      <c r="AY594" s="1275"/>
      <c r="AZ594" s="1276"/>
    </row>
    <row r="595" spans="1:52" s="291" customFormat="1" ht="24.75" customHeight="1">
      <c r="A595" s="311"/>
      <c r="B595" s="1371">
        <f t="shared" si="29"/>
        <v>0</v>
      </c>
      <c r="C595" s="1372"/>
      <c r="D595" s="1372"/>
      <c r="E595" s="1372"/>
      <c r="F595" s="1372"/>
      <c r="G595" s="1372"/>
      <c r="H595" s="1372"/>
      <c r="I595" s="1372"/>
      <c r="J595" s="1372"/>
      <c r="K595" s="1372"/>
      <c r="L595" s="1372"/>
      <c r="M595" s="1372"/>
      <c r="N595" s="1372"/>
      <c r="O595" s="1372"/>
      <c r="P595" s="1372"/>
      <c r="Q595" s="1373"/>
      <c r="R595" s="1243" t="str">
        <f t="shared" si="33"/>
        <v>Intangibles</v>
      </c>
      <c r="S595" s="1303"/>
      <c r="T595" s="1304"/>
      <c r="U595" s="1298" t="str">
        <f t="shared" si="35"/>
        <v>Documento</v>
      </c>
      <c r="V595" s="1299"/>
      <c r="W595" s="1299"/>
      <c r="X595" s="1300"/>
      <c r="Y595" s="1247"/>
      <c r="Z595" s="1248"/>
      <c r="AA595" s="1247"/>
      <c r="AB595" s="1248"/>
      <c r="AC595" s="1247"/>
      <c r="AD595" s="1248"/>
      <c r="AE595" s="1247"/>
      <c r="AF595" s="1248"/>
      <c r="AG595" s="1247"/>
      <c r="AH595" s="1248"/>
      <c r="AI595" s="1247"/>
      <c r="AJ595" s="1248"/>
      <c r="AK595" s="1247"/>
      <c r="AL595" s="1248"/>
      <c r="AM595" s="1247"/>
      <c r="AN595" s="1248"/>
      <c r="AO595" s="1247"/>
      <c r="AP595" s="1248"/>
      <c r="AQ595" s="1247"/>
      <c r="AR595" s="1248"/>
      <c r="AS595" s="1247"/>
      <c r="AT595" s="1248"/>
      <c r="AU595" s="1247"/>
      <c r="AV595" s="1248"/>
      <c r="AW595" s="1274">
        <f t="shared" si="34"/>
        <v>0</v>
      </c>
      <c r="AX595" s="1275"/>
      <c r="AY595" s="1275"/>
      <c r="AZ595" s="1276"/>
    </row>
    <row r="596" spans="1:52" s="291" customFormat="1" ht="24.75" customHeight="1">
      <c r="A596" s="311"/>
      <c r="B596" s="1371">
        <f t="shared" si="29"/>
        <v>0</v>
      </c>
      <c r="C596" s="1372"/>
      <c r="D596" s="1372"/>
      <c r="E596" s="1372"/>
      <c r="F596" s="1372"/>
      <c r="G596" s="1372"/>
      <c r="H596" s="1372"/>
      <c r="I596" s="1372"/>
      <c r="J596" s="1372"/>
      <c r="K596" s="1372"/>
      <c r="L596" s="1372"/>
      <c r="M596" s="1372"/>
      <c r="N596" s="1372"/>
      <c r="O596" s="1372"/>
      <c r="P596" s="1372"/>
      <c r="Q596" s="1373"/>
      <c r="R596" s="1243" t="str">
        <f t="shared" si="33"/>
        <v>Intangibles</v>
      </c>
      <c r="S596" s="1303"/>
      <c r="T596" s="1304"/>
      <c r="U596" s="1298" t="str">
        <f t="shared" si="35"/>
        <v>Documento</v>
      </c>
      <c r="V596" s="1299"/>
      <c r="W596" s="1299"/>
      <c r="X596" s="1300"/>
      <c r="Y596" s="1247"/>
      <c r="Z596" s="1248"/>
      <c r="AA596" s="1247"/>
      <c r="AB596" s="1248"/>
      <c r="AC596" s="1247"/>
      <c r="AD596" s="1248"/>
      <c r="AE596" s="1247"/>
      <c r="AF596" s="1248"/>
      <c r="AG596" s="1247"/>
      <c r="AH596" s="1248"/>
      <c r="AI596" s="1247"/>
      <c r="AJ596" s="1248"/>
      <c r="AK596" s="1247"/>
      <c r="AL596" s="1248"/>
      <c r="AM596" s="1247"/>
      <c r="AN596" s="1248"/>
      <c r="AO596" s="1247"/>
      <c r="AP596" s="1248"/>
      <c r="AQ596" s="1247"/>
      <c r="AR596" s="1248"/>
      <c r="AS596" s="1247"/>
      <c r="AT596" s="1248"/>
      <c r="AU596" s="1247"/>
      <c r="AV596" s="1248"/>
      <c r="AW596" s="1274">
        <f t="shared" si="34"/>
        <v>0</v>
      </c>
      <c r="AX596" s="1275"/>
      <c r="AY596" s="1275"/>
      <c r="AZ596" s="1276"/>
    </row>
    <row r="597" spans="1:52" s="291" customFormat="1" ht="18" customHeight="1">
      <c r="A597" s="311"/>
      <c r="B597" s="1371">
        <f t="shared" si="29"/>
        <v>0</v>
      </c>
      <c r="C597" s="1372"/>
      <c r="D597" s="1372"/>
      <c r="E597" s="1372"/>
      <c r="F597" s="1372"/>
      <c r="G597" s="1372"/>
      <c r="H597" s="1372"/>
      <c r="I597" s="1372"/>
      <c r="J597" s="1372"/>
      <c r="K597" s="1372"/>
      <c r="L597" s="1372"/>
      <c r="M597" s="1372"/>
      <c r="N597" s="1372"/>
      <c r="O597" s="1372"/>
      <c r="P597" s="1372"/>
      <c r="Q597" s="1373"/>
      <c r="R597" s="1243" t="str">
        <f t="shared" si="33"/>
        <v>Intangibles</v>
      </c>
      <c r="S597" s="1303"/>
      <c r="T597" s="1304"/>
      <c r="U597" s="1298" t="str">
        <f t="shared" si="35"/>
        <v>Documento</v>
      </c>
      <c r="V597" s="1299"/>
      <c r="W597" s="1299"/>
      <c r="X597" s="1300"/>
      <c r="Y597" s="1247"/>
      <c r="Z597" s="1248"/>
      <c r="AA597" s="1247"/>
      <c r="AB597" s="1248"/>
      <c r="AC597" s="1247"/>
      <c r="AD597" s="1248"/>
      <c r="AE597" s="1247"/>
      <c r="AF597" s="1248"/>
      <c r="AG597" s="1247"/>
      <c r="AH597" s="1248"/>
      <c r="AI597" s="1247"/>
      <c r="AJ597" s="1248"/>
      <c r="AK597" s="1247"/>
      <c r="AL597" s="1248"/>
      <c r="AM597" s="1247"/>
      <c r="AN597" s="1248"/>
      <c r="AO597" s="1247"/>
      <c r="AP597" s="1248"/>
      <c r="AQ597" s="1247"/>
      <c r="AR597" s="1248"/>
      <c r="AS597" s="1247"/>
      <c r="AT597" s="1248"/>
      <c r="AU597" s="1247"/>
      <c r="AV597" s="1248"/>
      <c r="AW597" s="1274">
        <f t="shared" si="34"/>
        <v>0</v>
      </c>
      <c r="AX597" s="1275"/>
      <c r="AY597" s="1275"/>
      <c r="AZ597" s="1276"/>
    </row>
    <row r="598" spans="1:52" s="291" customFormat="1" ht="18" customHeight="1">
      <c r="A598" s="297"/>
      <c r="B598" s="1370" t="str">
        <f>B529</f>
        <v>Gestión del Proyecto</v>
      </c>
      <c r="C598" s="1326"/>
      <c r="D598" s="1326"/>
      <c r="E598" s="1326"/>
      <c r="F598" s="1326"/>
      <c r="G598" s="1326"/>
      <c r="H598" s="1326"/>
      <c r="I598" s="1326"/>
      <c r="J598" s="1326"/>
      <c r="K598" s="1326"/>
      <c r="L598" s="1326"/>
      <c r="M598" s="1326"/>
      <c r="N598" s="1326"/>
      <c r="O598" s="1326"/>
      <c r="P598" s="1326"/>
      <c r="Q598" s="1327"/>
      <c r="R598" s="1243" t="str">
        <f>+P511</f>
        <v>Intangibles</v>
      </c>
      <c r="S598" s="1303"/>
      <c r="T598" s="1304"/>
      <c r="U598" s="1367" t="s">
        <v>396</v>
      </c>
      <c r="V598" s="1368"/>
      <c r="W598" s="1368"/>
      <c r="X598" s="1369"/>
      <c r="Y598" s="1247"/>
      <c r="Z598" s="1248"/>
      <c r="AA598" s="1247"/>
      <c r="AB598" s="1248"/>
      <c r="AC598" s="1249"/>
      <c r="AD598" s="1250"/>
      <c r="AE598" s="1249"/>
      <c r="AF598" s="1250"/>
      <c r="AG598" s="1249"/>
      <c r="AH598" s="1250"/>
      <c r="AI598" s="1249"/>
      <c r="AJ598" s="1250"/>
      <c r="AK598" s="1249"/>
      <c r="AL598" s="1250"/>
      <c r="AM598" s="1249"/>
      <c r="AN598" s="1250"/>
      <c r="AO598" s="1249"/>
      <c r="AP598" s="1250"/>
      <c r="AQ598" s="1249"/>
      <c r="AR598" s="1250"/>
      <c r="AS598" s="1249"/>
      <c r="AT598" s="1250"/>
      <c r="AU598" s="1249"/>
      <c r="AV598" s="1250"/>
      <c r="AW598" s="1308"/>
      <c r="AX598" s="1309"/>
      <c r="AY598" s="1309"/>
      <c r="AZ598" s="1310"/>
    </row>
    <row r="599" spans="1:52" s="291" customFormat="1" ht="18" customHeight="1">
      <c r="A599" s="297"/>
      <c r="B599" s="1541" t="str">
        <f>B530</f>
        <v xml:space="preserve">Estudio Definitivo </v>
      </c>
      <c r="C599" s="1542"/>
      <c r="D599" s="1542"/>
      <c r="E599" s="1542"/>
      <c r="F599" s="1542"/>
      <c r="G599" s="1542"/>
      <c r="H599" s="1542"/>
      <c r="I599" s="1542"/>
      <c r="J599" s="1542"/>
      <c r="K599" s="1542"/>
      <c r="L599" s="1542"/>
      <c r="M599" s="1542"/>
      <c r="N599" s="1542"/>
      <c r="O599" s="1542"/>
      <c r="P599" s="1542"/>
      <c r="Q599" s="1543"/>
      <c r="R599" s="1243" t="str">
        <f t="shared" ref="R599:R602" si="36">+P512</f>
        <v>Intangibles</v>
      </c>
      <c r="S599" s="1303"/>
      <c r="T599" s="1304"/>
      <c r="U599" s="1367" t="s">
        <v>396</v>
      </c>
      <c r="V599" s="1368"/>
      <c r="W599" s="1368"/>
      <c r="X599" s="1369"/>
      <c r="Y599" s="1247"/>
      <c r="Z599" s="1248"/>
      <c r="AA599" s="1247"/>
      <c r="AB599" s="1248"/>
      <c r="AC599" s="1249"/>
      <c r="AD599" s="1250"/>
      <c r="AE599" s="1249"/>
      <c r="AF599" s="1250"/>
      <c r="AG599" s="1249"/>
      <c r="AH599" s="1250"/>
      <c r="AI599" s="1249"/>
      <c r="AJ599" s="1250"/>
      <c r="AK599" s="1249"/>
      <c r="AL599" s="1250"/>
      <c r="AM599" s="1249"/>
      <c r="AN599" s="1250"/>
      <c r="AO599" s="1249"/>
      <c r="AP599" s="1250"/>
      <c r="AQ599" s="1249"/>
      <c r="AR599" s="1250"/>
      <c r="AS599" s="1249"/>
      <c r="AT599" s="1250"/>
      <c r="AU599" s="1249"/>
      <c r="AV599" s="1250"/>
      <c r="AW599" s="1308"/>
      <c r="AX599" s="1309"/>
      <c r="AY599" s="1309"/>
      <c r="AZ599" s="1310"/>
    </row>
    <row r="600" spans="1:52" s="291" customFormat="1" ht="18" customHeight="1">
      <c r="A600" s="297"/>
      <c r="B600" s="1370" t="str">
        <f>B531</f>
        <v xml:space="preserve">Supervisión del Estudio Definitivo </v>
      </c>
      <c r="C600" s="1326"/>
      <c r="D600" s="1326"/>
      <c r="E600" s="1326"/>
      <c r="F600" s="1326"/>
      <c r="G600" s="1326"/>
      <c r="H600" s="1326"/>
      <c r="I600" s="1326"/>
      <c r="J600" s="1326"/>
      <c r="K600" s="1326"/>
      <c r="L600" s="1326"/>
      <c r="M600" s="1326"/>
      <c r="N600" s="1326"/>
      <c r="O600" s="1326"/>
      <c r="P600" s="1326"/>
      <c r="Q600" s="1327"/>
      <c r="R600" s="1243" t="str">
        <f t="shared" si="36"/>
        <v>Intangibles</v>
      </c>
      <c r="S600" s="1303"/>
      <c r="T600" s="1304"/>
      <c r="U600" s="1367" t="s">
        <v>554</v>
      </c>
      <c r="V600" s="1368"/>
      <c r="W600" s="1368"/>
      <c r="X600" s="1369"/>
      <c r="Y600" s="1247"/>
      <c r="Z600" s="1248"/>
      <c r="AA600" s="1247"/>
      <c r="AB600" s="1248"/>
      <c r="AC600" s="1249"/>
      <c r="AD600" s="1250"/>
      <c r="AE600" s="1249"/>
      <c r="AF600" s="1250"/>
      <c r="AG600" s="1249"/>
      <c r="AH600" s="1250"/>
      <c r="AI600" s="1249"/>
      <c r="AJ600" s="1250"/>
      <c r="AK600" s="1249"/>
      <c r="AL600" s="1250"/>
      <c r="AM600" s="1249"/>
      <c r="AN600" s="1250"/>
      <c r="AO600" s="1249"/>
      <c r="AP600" s="1250"/>
      <c r="AQ600" s="1249"/>
      <c r="AR600" s="1250"/>
      <c r="AS600" s="1249"/>
      <c r="AT600" s="1250"/>
      <c r="AU600" s="1249"/>
      <c r="AV600" s="1250"/>
      <c r="AW600" s="1308"/>
      <c r="AX600" s="1309"/>
      <c r="AY600" s="1309"/>
      <c r="AZ600" s="1310"/>
    </row>
    <row r="601" spans="1:52" s="291" customFormat="1" ht="18" customHeight="1">
      <c r="A601" s="297"/>
      <c r="B601" s="1370" t="str">
        <f>B532</f>
        <v>Supervisión de ejecución del Proyecto</v>
      </c>
      <c r="C601" s="1326"/>
      <c r="D601" s="1326"/>
      <c r="E601" s="1326"/>
      <c r="F601" s="1326"/>
      <c r="G601" s="1326"/>
      <c r="H601" s="1326"/>
      <c r="I601" s="1326"/>
      <c r="J601" s="1326"/>
      <c r="K601" s="1326"/>
      <c r="L601" s="1326"/>
      <c r="M601" s="1326"/>
      <c r="N601" s="1326"/>
      <c r="O601" s="1326"/>
      <c r="P601" s="1326"/>
      <c r="Q601" s="1327"/>
      <c r="R601" s="1243" t="str">
        <f t="shared" si="36"/>
        <v>Intangibles</v>
      </c>
      <c r="S601" s="1303"/>
      <c r="T601" s="1304"/>
      <c r="U601" s="1367" t="s">
        <v>554</v>
      </c>
      <c r="V601" s="1368"/>
      <c r="W601" s="1368"/>
      <c r="X601" s="1369"/>
      <c r="Y601" s="1247"/>
      <c r="Z601" s="1248"/>
      <c r="AA601" s="1247"/>
      <c r="AB601" s="1248"/>
      <c r="AC601" s="1249"/>
      <c r="AD601" s="1250"/>
      <c r="AE601" s="1249"/>
      <c r="AF601" s="1250"/>
      <c r="AG601" s="1249"/>
      <c r="AH601" s="1250"/>
      <c r="AI601" s="1249"/>
      <c r="AJ601" s="1250"/>
      <c r="AK601" s="1249"/>
      <c r="AL601" s="1250"/>
      <c r="AM601" s="1249"/>
      <c r="AN601" s="1250"/>
      <c r="AO601" s="1249"/>
      <c r="AP601" s="1250"/>
      <c r="AQ601" s="1249"/>
      <c r="AR601" s="1250"/>
      <c r="AS601" s="1249"/>
      <c r="AT601" s="1250"/>
      <c r="AU601" s="1249"/>
      <c r="AV601" s="1250"/>
      <c r="AW601" s="1308"/>
      <c r="AX601" s="1309"/>
      <c r="AY601" s="1309"/>
      <c r="AZ601" s="1310"/>
    </row>
    <row r="602" spans="1:52" s="291" customFormat="1" ht="18" customHeight="1">
      <c r="A602" s="297"/>
      <c r="B602" s="1370" t="str">
        <f>B533</f>
        <v>Liquidación del proyecto</v>
      </c>
      <c r="C602" s="1326"/>
      <c r="D602" s="1326"/>
      <c r="E602" s="1326"/>
      <c r="F602" s="1326"/>
      <c r="G602" s="1326"/>
      <c r="H602" s="1326"/>
      <c r="I602" s="1326"/>
      <c r="J602" s="1326"/>
      <c r="K602" s="1326"/>
      <c r="L602" s="1326"/>
      <c r="M602" s="1326"/>
      <c r="N602" s="1326"/>
      <c r="O602" s="1326"/>
      <c r="P602" s="1326"/>
      <c r="Q602" s="1327"/>
      <c r="R602" s="1243" t="str">
        <f t="shared" si="36"/>
        <v>Intangibles</v>
      </c>
      <c r="S602" s="1303"/>
      <c r="T602" s="1304"/>
      <c r="U602" s="1367" t="s">
        <v>2603</v>
      </c>
      <c r="V602" s="1368"/>
      <c r="W602" s="1368"/>
      <c r="X602" s="1369"/>
      <c r="Y602" s="1247"/>
      <c r="Z602" s="1248"/>
      <c r="AA602" s="1247"/>
      <c r="AB602" s="1248"/>
      <c r="AC602" s="1249"/>
      <c r="AD602" s="1250"/>
      <c r="AE602" s="1249"/>
      <c r="AF602" s="1250"/>
      <c r="AG602" s="1249"/>
      <c r="AH602" s="1250"/>
      <c r="AI602" s="1249"/>
      <c r="AJ602" s="1250"/>
      <c r="AK602" s="1249"/>
      <c r="AL602" s="1250"/>
      <c r="AM602" s="1249"/>
      <c r="AN602" s="1250"/>
      <c r="AO602" s="1249"/>
      <c r="AP602" s="1250"/>
      <c r="AQ602" s="1249"/>
      <c r="AR602" s="1250"/>
      <c r="AS602" s="1249"/>
      <c r="AT602" s="1250"/>
      <c r="AU602" s="1249"/>
      <c r="AV602" s="1250"/>
      <c r="AW602" s="1308"/>
      <c r="AX602" s="1309"/>
      <c r="AY602" s="1309"/>
      <c r="AZ602" s="1310"/>
    </row>
    <row r="603" spans="1:52">
      <c r="A603" s="30"/>
      <c r="B603" s="269"/>
      <c r="C603" s="269"/>
      <c r="D603" s="269"/>
      <c r="E603" s="269"/>
      <c r="F603" s="269"/>
      <c r="G603" s="269"/>
      <c r="H603" s="269"/>
      <c r="I603" s="269"/>
      <c r="J603" s="269"/>
      <c r="K603" s="269"/>
      <c r="L603" s="269"/>
      <c r="M603" s="269"/>
      <c r="N603" s="270"/>
      <c r="O603" s="270"/>
      <c r="P603" s="270"/>
      <c r="Q603" s="270"/>
      <c r="R603" s="271"/>
      <c r="S603" s="26"/>
      <c r="T603" s="26"/>
      <c r="U603" s="26"/>
      <c r="V603" s="26"/>
      <c r="W603" s="26"/>
      <c r="X603" s="26"/>
      <c r="Y603" s="26"/>
      <c r="Z603" s="26"/>
      <c r="AA603" s="26"/>
      <c r="AB603" s="26"/>
      <c r="AC603" s="26"/>
      <c r="AD603" s="26"/>
      <c r="AE603" s="26"/>
      <c r="AF603" s="26"/>
      <c r="AG603" s="26"/>
      <c r="AH603" s="26"/>
      <c r="AI603" s="26"/>
      <c r="AJ603" s="26"/>
      <c r="AK603" s="26"/>
      <c r="AL603" s="26"/>
      <c r="AM603" s="26"/>
      <c r="AN603" s="26"/>
      <c r="AO603" s="26"/>
      <c r="AP603" s="26"/>
      <c r="AQ603" s="26"/>
      <c r="AR603" s="26"/>
      <c r="AS603" s="26"/>
      <c r="AT603" s="26"/>
      <c r="AU603" s="26"/>
      <c r="AV603" s="26"/>
      <c r="AW603" s="26"/>
      <c r="AX603" s="26"/>
      <c r="AY603" s="26"/>
      <c r="AZ603" s="26"/>
    </row>
    <row r="604" spans="1:52">
      <c r="A604" s="30"/>
      <c r="B604" s="31"/>
      <c r="C604" s="31"/>
      <c r="D604" s="31"/>
      <c r="E604" s="31"/>
      <c r="F604" s="31"/>
      <c r="G604" s="31"/>
      <c r="H604" s="31"/>
      <c r="I604" s="31"/>
      <c r="J604" s="31"/>
      <c r="K604" s="31"/>
      <c r="L604" s="31"/>
      <c r="M604" s="31"/>
      <c r="N604" s="272"/>
      <c r="O604" s="272"/>
      <c r="P604" s="272"/>
      <c r="Q604" s="272"/>
      <c r="R604" s="271"/>
      <c r="S604" s="31"/>
      <c r="T604" s="31"/>
      <c r="U604" s="31"/>
      <c r="V604" s="31"/>
      <c r="W604" s="31"/>
      <c r="X604" s="31"/>
      <c r="Y604" s="31"/>
      <c r="Z604" s="31"/>
      <c r="AA604" s="31"/>
      <c r="AB604" s="31"/>
      <c r="AC604" s="31"/>
      <c r="AD604" s="31"/>
      <c r="AE604" s="31"/>
      <c r="AF604" s="31"/>
      <c r="AG604" s="31"/>
      <c r="AH604" s="31"/>
      <c r="AI604" s="31"/>
      <c r="AJ604" s="31"/>
      <c r="AK604" s="31"/>
      <c r="AL604" s="31"/>
      <c r="AM604" s="31"/>
      <c r="AN604" s="31"/>
      <c r="AO604" s="31"/>
      <c r="AP604" s="31"/>
      <c r="AQ604" s="31"/>
      <c r="AR604" s="31"/>
      <c r="AS604" s="31"/>
      <c r="AT604" s="31"/>
      <c r="AU604" s="31"/>
      <c r="AV604" s="31"/>
      <c r="AW604" s="26"/>
      <c r="AX604" s="26"/>
      <c r="AY604" s="26"/>
      <c r="AZ604" s="26"/>
    </row>
    <row r="605" spans="1:52" s="291" customFormat="1" ht="15.75">
      <c r="A605" s="297"/>
      <c r="B605" s="1551" t="s">
        <v>571</v>
      </c>
      <c r="C605" s="1551"/>
      <c r="D605" s="1551"/>
      <c r="E605" s="1551"/>
      <c r="F605" s="1551"/>
      <c r="G605" s="1551"/>
      <c r="H605" s="1551"/>
      <c r="I605" s="1551"/>
      <c r="J605" s="1551"/>
      <c r="K605" s="1551"/>
      <c r="L605" s="1551"/>
      <c r="M605" s="1551"/>
      <c r="N605" s="1551"/>
      <c r="O605" s="1551"/>
      <c r="P605" s="1551"/>
      <c r="Q605" s="1551"/>
      <c r="R605" s="1551"/>
      <c r="S605" s="1551"/>
      <c r="T605" s="1551"/>
      <c r="U605" s="1551"/>
      <c r="V605" s="1551"/>
      <c r="W605" s="1551"/>
      <c r="X605" s="1551"/>
      <c r="Y605" s="1551"/>
      <c r="Z605" s="1551"/>
      <c r="AA605" s="1551"/>
      <c r="AB605" s="1551"/>
      <c r="AC605" s="1551"/>
      <c r="AD605" s="1551"/>
      <c r="AE605" s="1551"/>
      <c r="AF605" s="1551"/>
      <c r="AG605" s="1551"/>
      <c r="AH605" s="1551"/>
      <c r="AI605" s="1551"/>
      <c r="AJ605" s="1551"/>
      <c r="AK605" s="1551"/>
      <c r="AL605" s="1551"/>
      <c r="AM605" s="1551"/>
      <c r="AN605" s="1551"/>
      <c r="AO605" s="1551"/>
      <c r="AP605" s="1551"/>
      <c r="AQ605" s="1551"/>
      <c r="AR605" s="1551"/>
      <c r="AS605" s="1551"/>
      <c r="AT605" s="1551"/>
      <c r="AU605" s="1551"/>
      <c r="AV605" s="1551"/>
      <c r="AW605" s="1551"/>
      <c r="AX605" s="1551"/>
      <c r="AY605" s="1551"/>
      <c r="AZ605" s="1551"/>
    </row>
    <row r="606" spans="1:52" s="291" customFormat="1" ht="15.75">
      <c r="A606" s="298"/>
      <c r="B606" s="298"/>
      <c r="C606" s="298"/>
      <c r="D606" s="298"/>
      <c r="E606" s="298"/>
      <c r="F606" s="298"/>
      <c r="G606" s="298"/>
      <c r="H606" s="298"/>
      <c r="I606" s="298"/>
      <c r="J606" s="298"/>
      <c r="K606" s="298"/>
      <c r="L606" s="298"/>
      <c r="M606" s="298"/>
      <c r="N606" s="298"/>
      <c r="O606" s="298"/>
      <c r="P606" s="298"/>
      <c r="Q606" s="301"/>
      <c r="R606" s="301"/>
      <c r="S606" s="298"/>
      <c r="T606" s="298"/>
      <c r="U606" s="302"/>
      <c r="V606" s="302"/>
      <c r="W606" s="302"/>
      <c r="X606" s="302"/>
      <c r="Y606" s="302"/>
      <c r="Z606" s="302"/>
      <c r="AA606" s="302"/>
      <c r="AB606" s="302"/>
      <c r="AC606" s="302"/>
      <c r="AD606" s="302"/>
      <c r="AE606" s="302"/>
      <c r="AF606" s="302"/>
      <c r="AG606" s="302"/>
      <c r="AH606" s="302"/>
      <c r="AI606" s="302"/>
      <c r="AJ606" s="302"/>
      <c r="AK606" s="302"/>
      <c r="AL606" s="302"/>
      <c r="AM606" s="302"/>
      <c r="AN606" s="302"/>
      <c r="AO606" s="302"/>
      <c r="AP606" s="302"/>
      <c r="AQ606" s="302"/>
      <c r="AR606" s="302"/>
      <c r="AS606" s="302"/>
      <c r="AT606" s="302"/>
      <c r="AU606" s="302"/>
      <c r="AV606" s="302"/>
      <c r="AW606" s="302"/>
      <c r="AX606" s="302"/>
      <c r="AY606" s="302"/>
      <c r="AZ606" s="302"/>
    </row>
    <row r="607" spans="1:52" s="291" customFormat="1" ht="15.75">
      <c r="A607" s="298"/>
      <c r="B607" s="1546" t="s">
        <v>536</v>
      </c>
      <c r="C607" s="1546"/>
      <c r="D607" s="1546"/>
      <c r="E607" s="1546"/>
      <c r="F607" s="1546"/>
      <c r="G607" s="1546"/>
      <c r="H607" s="1546"/>
      <c r="I607" s="1546"/>
      <c r="J607" s="1546"/>
      <c r="K607" s="1546"/>
      <c r="L607" s="1546"/>
      <c r="M607" s="1546"/>
      <c r="N607" s="1546"/>
      <c r="O607" s="1546"/>
      <c r="P607" s="1546" t="s">
        <v>569</v>
      </c>
      <c r="Q607" s="1546"/>
      <c r="R607" s="1546"/>
      <c r="S607" s="1546"/>
      <c r="T607" s="1546"/>
      <c r="U607" s="1546" t="str">
        <f>V493</f>
        <v>AÑO 20_____</v>
      </c>
      <c r="V607" s="1546"/>
      <c r="W607" s="1546"/>
      <c r="X607" s="1546"/>
      <c r="Y607" s="1546"/>
      <c r="Z607" s="1546"/>
      <c r="AA607" s="1546"/>
      <c r="AB607" s="1546"/>
      <c r="AC607" s="1546"/>
      <c r="AD607" s="1546"/>
      <c r="AE607" s="1546"/>
      <c r="AF607" s="1546"/>
      <c r="AG607" s="1546"/>
      <c r="AH607" s="1546"/>
      <c r="AI607" s="1546"/>
      <c r="AJ607" s="1546"/>
      <c r="AK607" s="1546"/>
      <c r="AL607" s="1546"/>
      <c r="AM607" s="1546"/>
      <c r="AN607" s="1546"/>
      <c r="AO607" s="1546"/>
      <c r="AP607" s="1546"/>
      <c r="AQ607" s="1546"/>
      <c r="AR607" s="1546"/>
      <c r="AS607" s="1545" t="s">
        <v>570</v>
      </c>
      <c r="AT607" s="1545"/>
      <c r="AU607" s="1545"/>
      <c r="AV607" s="1545"/>
      <c r="AW607" s="1545"/>
      <c r="AX607" s="1545"/>
      <c r="AY607" s="1545"/>
      <c r="AZ607" s="1545"/>
    </row>
    <row r="608" spans="1:52" s="291" customFormat="1" ht="15.75">
      <c r="A608" s="298"/>
      <c r="B608" s="1546"/>
      <c r="C608" s="1546"/>
      <c r="D608" s="1546"/>
      <c r="E608" s="1546"/>
      <c r="F608" s="1546"/>
      <c r="G608" s="1546"/>
      <c r="H608" s="1546"/>
      <c r="I608" s="1546"/>
      <c r="J608" s="1546"/>
      <c r="K608" s="1546"/>
      <c r="L608" s="1546"/>
      <c r="M608" s="1546"/>
      <c r="N608" s="1546"/>
      <c r="O608" s="1546"/>
      <c r="P608" s="1546"/>
      <c r="Q608" s="1546"/>
      <c r="R608" s="1546"/>
      <c r="S608" s="1546"/>
      <c r="T608" s="1546"/>
      <c r="U608" s="1546" t="str">
        <f>V494</f>
        <v>Trimestres</v>
      </c>
      <c r="V608" s="1546"/>
      <c r="W608" s="1546"/>
      <c r="X608" s="1546"/>
      <c r="Y608" s="1546"/>
      <c r="Z608" s="1546"/>
      <c r="AA608" s="1546"/>
      <c r="AB608" s="1546"/>
      <c r="AC608" s="1546"/>
      <c r="AD608" s="1546"/>
      <c r="AE608" s="1546"/>
      <c r="AF608" s="1546"/>
      <c r="AG608" s="1546"/>
      <c r="AH608" s="1546"/>
      <c r="AI608" s="1546"/>
      <c r="AJ608" s="1546"/>
      <c r="AK608" s="1546"/>
      <c r="AL608" s="1546"/>
      <c r="AM608" s="1546"/>
      <c r="AN608" s="1546"/>
      <c r="AO608" s="1546"/>
      <c r="AP608" s="1546"/>
      <c r="AQ608" s="1546"/>
      <c r="AR608" s="1546"/>
      <c r="AS608" s="1545"/>
      <c r="AT608" s="1545"/>
      <c r="AU608" s="1545"/>
      <c r="AV608" s="1545"/>
      <c r="AW608" s="1545"/>
      <c r="AX608" s="1545"/>
      <c r="AY608" s="1545"/>
      <c r="AZ608" s="1545"/>
    </row>
    <row r="609" spans="1:53" s="291" customFormat="1" ht="15.75">
      <c r="A609" s="298"/>
      <c r="B609" s="1546"/>
      <c r="C609" s="1546"/>
      <c r="D609" s="1546"/>
      <c r="E609" s="1546"/>
      <c r="F609" s="1546"/>
      <c r="G609" s="1546"/>
      <c r="H609" s="1546"/>
      <c r="I609" s="1546"/>
      <c r="J609" s="1546"/>
      <c r="K609" s="1546"/>
      <c r="L609" s="1546"/>
      <c r="M609" s="1546"/>
      <c r="N609" s="1546"/>
      <c r="O609" s="1546"/>
      <c r="P609" s="1546"/>
      <c r="Q609" s="1546"/>
      <c r="R609" s="1546"/>
      <c r="S609" s="1546"/>
      <c r="T609" s="1546"/>
      <c r="U609" s="1545" t="s">
        <v>556</v>
      </c>
      <c r="V609" s="1545"/>
      <c r="W609" s="1545" t="s">
        <v>557</v>
      </c>
      <c r="X609" s="1545"/>
      <c r="Y609" s="1545" t="s">
        <v>558</v>
      </c>
      <c r="Z609" s="1545"/>
      <c r="AA609" s="1545" t="s">
        <v>559</v>
      </c>
      <c r="AB609" s="1545"/>
      <c r="AC609" s="1545" t="s">
        <v>560</v>
      </c>
      <c r="AD609" s="1545"/>
      <c r="AE609" s="1545" t="s">
        <v>561</v>
      </c>
      <c r="AF609" s="1545"/>
      <c r="AG609" s="1545" t="s">
        <v>562</v>
      </c>
      <c r="AH609" s="1545"/>
      <c r="AI609" s="1545" t="s">
        <v>563</v>
      </c>
      <c r="AJ609" s="1545"/>
      <c r="AK609" s="1545" t="s">
        <v>564</v>
      </c>
      <c r="AL609" s="1545"/>
      <c r="AM609" s="1545" t="s">
        <v>565</v>
      </c>
      <c r="AN609" s="1545"/>
      <c r="AO609" s="1545" t="s">
        <v>566</v>
      </c>
      <c r="AP609" s="1545"/>
      <c r="AQ609" s="1545" t="s">
        <v>567</v>
      </c>
      <c r="AR609" s="1545"/>
      <c r="AS609" s="1545"/>
      <c r="AT609" s="1545"/>
      <c r="AU609" s="1545"/>
      <c r="AV609" s="1545"/>
      <c r="AW609" s="1545"/>
      <c r="AX609" s="1545"/>
      <c r="AY609" s="1545"/>
      <c r="AZ609" s="1545"/>
    </row>
    <row r="610" spans="1:53" s="291" customFormat="1" ht="32.25" customHeight="1">
      <c r="A610" s="298"/>
      <c r="B610" s="1549" t="s">
        <v>407</v>
      </c>
      <c r="C610" s="1549"/>
      <c r="D610" s="1549"/>
      <c r="E610" s="1549"/>
      <c r="F610" s="1549"/>
      <c r="G610" s="1549"/>
      <c r="H610" s="1549"/>
      <c r="I610" s="1549"/>
      <c r="J610" s="1549"/>
      <c r="K610" s="1549"/>
      <c r="L610" s="1549"/>
      <c r="M610" s="1549"/>
      <c r="N610" s="1549"/>
      <c r="O610" s="1549"/>
      <c r="P610" s="1550" t="s">
        <v>2602</v>
      </c>
      <c r="Q610" s="1550"/>
      <c r="R610" s="1550"/>
      <c r="S610" s="1550"/>
      <c r="T610" s="1550"/>
      <c r="U610" s="1544">
        <f ca="1">SUMIF($U$544:$X$597,$P$610,Y544:Z597)</f>
        <v>0</v>
      </c>
      <c r="V610" s="1544"/>
      <c r="W610" s="1544">
        <f ca="1">SUMIF($U$544:$X$597,$P$610,AA544:AB597)</f>
        <v>0</v>
      </c>
      <c r="X610" s="1544"/>
      <c r="Y610" s="1544">
        <f ca="1">SUMIF($U$544:$X$597,$P$610,AC544:AD597)</f>
        <v>0</v>
      </c>
      <c r="Z610" s="1544"/>
      <c r="AA610" s="1544">
        <f ca="1">SUMIF($U$544:$X$597,$P$610,AE544:AF597)</f>
        <v>0</v>
      </c>
      <c r="AB610" s="1544"/>
      <c r="AC610" s="1544">
        <f ca="1">SUMIF($U$544:$X$597,$P$610,AG544:AH597)</f>
        <v>0</v>
      </c>
      <c r="AD610" s="1544"/>
      <c r="AE610" s="1544">
        <f ca="1">SUMIF($U$544:$X$597,$P$610,AI544:AJ597)</f>
        <v>0</v>
      </c>
      <c r="AF610" s="1544"/>
      <c r="AG610" s="1544">
        <f ca="1">SUMIF($U$544:$X$597,$P$610,AK544:AL597)</f>
        <v>0</v>
      </c>
      <c r="AH610" s="1544"/>
      <c r="AI610" s="1544">
        <f ca="1">SUMIF($U$544:$X$597,$P$610,AM544:AN597)</f>
        <v>0</v>
      </c>
      <c r="AJ610" s="1544"/>
      <c r="AK610" s="1544">
        <f ca="1">SUMIF($U$544:$X$597,$P$610,AO544:AP597)</f>
        <v>0</v>
      </c>
      <c r="AL610" s="1544"/>
      <c r="AM610" s="1544">
        <f ca="1">SUMIF($U$544:$X$597,$P$610,AQ544:AR597)</f>
        <v>0</v>
      </c>
      <c r="AN610" s="1544"/>
      <c r="AO610" s="1544">
        <f ca="1">SUMIF($U$544:$X$597,$P$610,AS544:AT597)</f>
        <v>0</v>
      </c>
      <c r="AP610" s="1544"/>
      <c r="AQ610" s="1544">
        <f ca="1">SUMIF($U$544:$X$597,$P$610,AU544:AV597)</f>
        <v>0</v>
      </c>
      <c r="AR610" s="1544"/>
      <c r="AS610" s="1547">
        <f>SUMIF(U544:X597,P610,$AW$544:$AZ$597)</f>
        <v>0</v>
      </c>
      <c r="AT610" s="1548"/>
      <c r="AU610" s="1548"/>
      <c r="AV610" s="1548"/>
      <c r="AW610" s="1548"/>
      <c r="AX610" s="1548"/>
      <c r="AY610" s="1548"/>
      <c r="AZ610" s="1548"/>
    </row>
    <row r="611" spans="1:53" s="291" customFormat="1" ht="22.5" customHeight="1">
      <c r="A611" s="298"/>
      <c r="B611" s="1549" t="s">
        <v>538</v>
      </c>
      <c r="C611" s="1549"/>
      <c r="D611" s="1549"/>
      <c r="E611" s="1549"/>
      <c r="F611" s="1549"/>
      <c r="G611" s="1549"/>
      <c r="H611" s="1549"/>
      <c r="I611" s="1549"/>
      <c r="J611" s="1549"/>
      <c r="K611" s="1549"/>
      <c r="L611" s="1549"/>
      <c r="M611" s="1549"/>
      <c r="N611" s="1549"/>
      <c r="O611" s="1549"/>
      <c r="P611" s="1552" t="s">
        <v>2305</v>
      </c>
      <c r="Q611" s="1552"/>
      <c r="R611" s="1552"/>
      <c r="S611" s="1552"/>
      <c r="T611" s="1552"/>
      <c r="U611" s="1544">
        <f ca="1">SUMIF($U$544:$X$597,$P$611,Y544:Z597)</f>
        <v>0</v>
      </c>
      <c r="V611" s="1544"/>
      <c r="W611" s="1544">
        <f ca="1">SUMIF($U$544:$X$597,$P$611,AA544:AB597)</f>
        <v>0</v>
      </c>
      <c r="X611" s="1544"/>
      <c r="Y611" s="1544">
        <f ca="1">SUMIF($U$544:$X$597,$P$611,AC544:AD597)</f>
        <v>0</v>
      </c>
      <c r="Z611" s="1544"/>
      <c r="AA611" s="1544">
        <f ca="1">SUMIF($U$544:$X$597,$P$611,AE544:AF597)</f>
        <v>0</v>
      </c>
      <c r="AB611" s="1544"/>
      <c r="AC611" s="1544">
        <f ca="1">SUMIF($U$544:$X$597,$P$611,AG544:AH597)</f>
        <v>0</v>
      </c>
      <c r="AD611" s="1544"/>
      <c r="AE611" s="1544">
        <f ca="1">SUMIF($U$544:$X$597,$P$611,AI544:AJ597)</f>
        <v>0</v>
      </c>
      <c r="AF611" s="1544"/>
      <c r="AG611" s="1544">
        <f ca="1">SUMIF($U$544:$X$597,$P$611,AK544:AL597)</f>
        <v>0</v>
      </c>
      <c r="AH611" s="1544"/>
      <c r="AI611" s="1544">
        <f ca="1">SUMIF($U$544:$X$597,$P$611,AM544:AN597)</f>
        <v>0</v>
      </c>
      <c r="AJ611" s="1544"/>
      <c r="AK611" s="1544">
        <f ca="1">SUMIF($U$544:$X$597,$P$611,AO544:AP597)</f>
        <v>0</v>
      </c>
      <c r="AL611" s="1544"/>
      <c r="AM611" s="1544">
        <f ca="1">SUMIF($U$544:$X$597,$P$611,AQ544:AR597)</f>
        <v>0</v>
      </c>
      <c r="AN611" s="1544"/>
      <c r="AO611" s="1544">
        <f ca="1">SUMIF($U$544:$X$597,$P$611,AS544:AT597)</f>
        <v>0</v>
      </c>
      <c r="AP611" s="1544"/>
      <c r="AQ611" s="1544">
        <f ca="1">SUMIF($U$544:$X$597,$P$611,AU544:AV597)</f>
        <v>0</v>
      </c>
      <c r="AR611" s="1544"/>
      <c r="AS611" s="1547">
        <f>SUMIF(U544:X597,P611,$AW$544:$AZ$597)</f>
        <v>0</v>
      </c>
      <c r="AT611" s="1548"/>
      <c r="AU611" s="1548"/>
      <c r="AV611" s="1548"/>
      <c r="AW611" s="1548"/>
      <c r="AX611" s="1548"/>
      <c r="AY611" s="1548"/>
      <c r="AZ611" s="1548"/>
    </row>
    <row r="612" spans="1:53" s="291" customFormat="1" ht="22.5" customHeight="1">
      <c r="A612" s="298"/>
      <c r="B612" s="1549" t="s">
        <v>408</v>
      </c>
      <c r="C612" s="1549"/>
      <c r="D612" s="1549"/>
      <c r="E612" s="1549"/>
      <c r="F612" s="1549"/>
      <c r="G612" s="1549"/>
      <c r="H612" s="1549"/>
      <c r="I612" s="1549"/>
      <c r="J612" s="1549"/>
      <c r="K612" s="1549"/>
      <c r="L612" s="1549"/>
      <c r="M612" s="1549"/>
      <c r="N612" s="1549"/>
      <c r="O612" s="1549"/>
      <c r="P612" s="1552" t="s">
        <v>22</v>
      </c>
      <c r="Q612" s="1552"/>
      <c r="R612" s="1552"/>
      <c r="S612" s="1552"/>
      <c r="T612" s="1552"/>
      <c r="U612" s="1544">
        <f ca="1">SUMIF($U$544:$X$597,$P$612,Y544:Z597)</f>
        <v>0</v>
      </c>
      <c r="V612" s="1544"/>
      <c r="W612" s="1544">
        <f ca="1">SUMIF($U$544:$X$597,$P$612,AA544:AB597)</f>
        <v>0</v>
      </c>
      <c r="X612" s="1544"/>
      <c r="Y612" s="1544">
        <f ca="1">SUMIF($U$544:$X$597,$P$612,AC544:AD597)</f>
        <v>0</v>
      </c>
      <c r="Z612" s="1544"/>
      <c r="AA612" s="1544">
        <f ca="1">SUMIF($U$544:$X$597,$P$612,AE544:AF597)</f>
        <v>0</v>
      </c>
      <c r="AB612" s="1544"/>
      <c r="AC612" s="1544">
        <f ca="1">SUMIF($U$544:$X$597,$P$612,AG544:AH597)</f>
        <v>0</v>
      </c>
      <c r="AD612" s="1544"/>
      <c r="AE612" s="1544">
        <f ca="1">SUMIF($U$544:$X$597,$P$612,AI544:AJ597)</f>
        <v>0</v>
      </c>
      <c r="AF612" s="1544"/>
      <c r="AG612" s="1544">
        <f ca="1">SUMIF($U$544:$X$597,$P$612,AK544:AL597)</f>
        <v>0</v>
      </c>
      <c r="AH612" s="1544"/>
      <c r="AI612" s="1544">
        <f ca="1">SUMIF($U$544:$X$597,$P$612,AM544:AN597)</f>
        <v>0</v>
      </c>
      <c r="AJ612" s="1544"/>
      <c r="AK612" s="1544">
        <f ca="1">SUMIF($U$544:$X$597,$P$612,AO544:AP597)</f>
        <v>0</v>
      </c>
      <c r="AL612" s="1544"/>
      <c r="AM612" s="1544">
        <f ca="1">SUMIF($U$544:$X$597,$P$612,AQ544:AR597)</f>
        <v>0</v>
      </c>
      <c r="AN612" s="1544"/>
      <c r="AO612" s="1544">
        <f ca="1">SUMIF($U$544:$X$597,$P$612,AS544:AT597)</f>
        <v>0</v>
      </c>
      <c r="AP612" s="1544"/>
      <c r="AQ612" s="1544">
        <f ca="1">SUMIF($U$544:$X$597,$P$612,AU544:AV597)</f>
        <v>0</v>
      </c>
      <c r="AR612" s="1544"/>
      <c r="AS612" s="1547">
        <f>SUMIF(U544:X597,P612,$AW$544:$AZ$597)</f>
        <v>0</v>
      </c>
      <c r="AT612" s="1548"/>
      <c r="AU612" s="1548"/>
      <c r="AV612" s="1548"/>
      <c r="AW612" s="1548"/>
      <c r="AX612" s="1548"/>
      <c r="AY612" s="1548"/>
      <c r="AZ612" s="1548"/>
    </row>
    <row r="613" spans="1:53" s="291" customFormat="1" ht="22.5" customHeight="1">
      <c r="A613" s="298"/>
      <c r="B613" s="1549" t="s">
        <v>29</v>
      </c>
      <c r="C613" s="1549"/>
      <c r="D613" s="1549"/>
      <c r="E613" s="1549"/>
      <c r="F613" s="1549"/>
      <c r="G613" s="1549"/>
      <c r="H613" s="1549"/>
      <c r="I613" s="1549"/>
      <c r="J613" s="1549"/>
      <c r="K613" s="1549"/>
      <c r="L613" s="1549"/>
      <c r="M613" s="1549"/>
      <c r="N613" s="1549"/>
      <c r="O613" s="1549"/>
      <c r="P613" s="1552" t="s">
        <v>2609</v>
      </c>
      <c r="Q613" s="1552"/>
      <c r="R613" s="1552"/>
      <c r="S613" s="1552"/>
      <c r="T613" s="1552"/>
      <c r="U613" s="1544">
        <f ca="1">SUMIF($U$544:$X$597,$P$613,Y544:Z597)</f>
        <v>0</v>
      </c>
      <c r="V613" s="1544"/>
      <c r="W613" s="1544">
        <f ca="1">SUMIF($U$544:$X$597,$P$613,AA544:AB597)</f>
        <v>0</v>
      </c>
      <c r="X613" s="1544"/>
      <c r="Y613" s="1544">
        <f ca="1">SUMIF($U$544:$X$597,$P$613,AC544:AD597)</f>
        <v>0</v>
      </c>
      <c r="Z613" s="1544"/>
      <c r="AA613" s="1544">
        <f ca="1">SUMIF($U$544:$X$597,$P$613,AE544:AF597)</f>
        <v>0</v>
      </c>
      <c r="AB613" s="1544"/>
      <c r="AC613" s="1544">
        <f ca="1">SUMIF($U$544:$X$597,$P$613,AG544:AH597)</f>
        <v>0</v>
      </c>
      <c r="AD613" s="1544"/>
      <c r="AE613" s="1544">
        <f ca="1">SUMIF($U$544:$X$597,$P$613,AI544:AJ597)</f>
        <v>0</v>
      </c>
      <c r="AF613" s="1544"/>
      <c r="AG613" s="1544">
        <f ca="1">SUMIF($U$544:$X$597,$P$613,AK544:AL597)</f>
        <v>0</v>
      </c>
      <c r="AH613" s="1544"/>
      <c r="AI613" s="1544">
        <f ca="1">SUMIF($U$544:$X$597,$P$613,AM544:AN597)</f>
        <v>0</v>
      </c>
      <c r="AJ613" s="1544"/>
      <c r="AK613" s="1544">
        <f ca="1">SUMIF($U$544:$X$597,$P$613,AO544:AP597)</f>
        <v>0</v>
      </c>
      <c r="AL613" s="1544"/>
      <c r="AM613" s="1544">
        <f ca="1">SUMIF($U$544:$X$597,$P$613,AQ544:AR597)</f>
        <v>0</v>
      </c>
      <c r="AN613" s="1544"/>
      <c r="AO613" s="1544">
        <f ca="1">SUMIF($U$544:$X$597,$P$613,AS544:AT597)</f>
        <v>0</v>
      </c>
      <c r="AP613" s="1544"/>
      <c r="AQ613" s="1544">
        <f ca="1">SUMIF($U$544:$X$597,$P$613,AU544:AV597)</f>
        <v>0</v>
      </c>
      <c r="AR613" s="1544"/>
      <c r="AS613" s="1547">
        <f>SUMIF(U544:X597,P613,$AW$544:$AZ$597)</f>
        <v>0</v>
      </c>
      <c r="AT613" s="1548"/>
      <c r="AU613" s="1548"/>
      <c r="AV613" s="1548"/>
      <c r="AW613" s="1548"/>
      <c r="AX613" s="1548"/>
      <c r="AY613" s="1548"/>
      <c r="AZ613" s="1548"/>
    </row>
    <row r="614" spans="1:53" s="291" customFormat="1" ht="22.5" customHeight="1">
      <c r="A614" s="298"/>
      <c r="B614" s="1549" t="s">
        <v>540</v>
      </c>
      <c r="C614" s="1549"/>
      <c r="D614" s="1549"/>
      <c r="E614" s="1549"/>
      <c r="F614" s="1549"/>
      <c r="G614" s="1549"/>
      <c r="H614" s="1549"/>
      <c r="I614" s="1549"/>
      <c r="J614" s="1549"/>
      <c r="K614" s="1549"/>
      <c r="L614" s="1549"/>
      <c r="M614" s="1549"/>
      <c r="N614" s="1549"/>
      <c r="O614" s="1549"/>
      <c r="P614" s="1552" t="s">
        <v>396</v>
      </c>
      <c r="Q614" s="1552"/>
      <c r="R614" s="1552"/>
      <c r="S614" s="1552"/>
      <c r="T614" s="1552"/>
      <c r="U614" s="1544">
        <f>Y598</f>
        <v>0</v>
      </c>
      <c r="V614" s="1544"/>
      <c r="W614" s="1544">
        <f>AA598</f>
        <v>0</v>
      </c>
      <c r="X614" s="1544"/>
      <c r="Y614" s="1544">
        <f>AC598</f>
        <v>0</v>
      </c>
      <c r="Z614" s="1544"/>
      <c r="AA614" s="1544">
        <f>AE598</f>
        <v>0</v>
      </c>
      <c r="AB614" s="1544"/>
      <c r="AC614" s="1544">
        <f>AG598</f>
        <v>0</v>
      </c>
      <c r="AD614" s="1544"/>
      <c r="AE614" s="1544">
        <f>AI598</f>
        <v>0</v>
      </c>
      <c r="AF614" s="1544"/>
      <c r="AG614" s="1544">
        <f>AK598</f>
        <v>0</v>
      </c>
      <c r="AH614" s="1544"/>
      <c r="AI614" s="1544">
        <f>AM598</f>
        <v>0</v>
      </c>
      <c r="AJ614" s="1544"/>
      <c r="AK614" s="1544">
        <f>AO598</f>
        <v>0</v>
      </c>
      <c r="AL614" s="1544"/>
      <c r="AM614" s="1544">
        <f>AQ598</f>
        <v>0</v>
      </c>
      <c r="AN614" s="1544"/>
      <c r="AO614" s="1544">
        <f>AS598</f>
        <v>0</v>
      </c>
      <c r="AP614" s="1544"/>
      <c r="AQ614" s="1544">
        <f>AU598</f>
        <v>0</v>
      </c>
      <c r="AR614" s="1544"/>
      <c r="AS614" s="1547">
        <f>SUMIF(U544:X597,P614,$AW$544:$AZ$597)</f>
        <v>0</v>
      </c>
      <c r="AT614" s="1548"/>
      <c r="AU614" s="1548"/>
      <c r="AV614" s="1548"/>
      <c r="AW614" s="1548"/>
      <c r="AX614" s="1548"/>
      <c r="AY614" s="1548"/>
      <c r="AZ614" s="1548"/>
    </row>
    <row r="615" spans="1:53" s="291" customFormat="1" ht="22.5" customHeight="1">
      <c r="A615" s="298"/>
      <c r="B615" s="1553" t="str">
        <f>+B598</f>
        <v>Gestión del Proyecto</v>
      </c>
      <c r="C615" s="1318"/>
      <c r="D615" s="1318"/>
      <c r="E615" s="1318"/>
      <c r="F615" s="1318"/>
      <c r="G615" s="1318"/>
      <c r="H615" s="1318"/>
      <c r="I615" s="1318"/>
      <c r="J615" s="1318"/>
      <c r="K615" s="1318"/>
      <c r="L615" s="1318"/>
      <c r="M615" s="1318"/>
      <c r="N615" s="1318"/>
      <c r="O615" s="1318"/>
      <c r="P615" s="1558" t="s">
        <v>396</v>
      </c>
      <c r="Q615" s="1559"/>
      <c r="R615" s="1559"/>
      <c r="S615" s="1559"/>
      <c r="T615" s="1560"/>
      <c r="U615" s="1544">
        <f>Y598</f>
        <v>0</v>
      </c>
      <c r="V615" s="1544"/>
      <c r="W615" s="1544">
        <f>AA598</f>
        <v>0</v>
      </c>
      <c r="X615" s="1544"/>
      <c r="Y615" s="1544">
        <f>AC598</f>
        <v>0</v>
      </c>
      <c r="Z615" s="1544"/>
      <c r="AA615" s="1544">
        <f>AE598</f>
        <v>0</v>
      </c>
      <c r="AB615" s="1544"/>
      <c r="AC615" s="1544">
        <f>AG598</f>
        <v>0</v>
      </c>
      <c r="AD615" s="1544"/>
      <c r="AE615" s="1544">
        <f>AI598</f>
        <v>0</v>
      </c>
      <c r="AF615" s="1544"/>
      <c r="AG615" s="1544">
        <f>AK598</f>
        <v>0</v>
      </c>
      <c r="AH615" s="1544"/>
      <c r="AI615" s="1544">
        <f>AM598</f>
        <v>0</v>
      </c>
      <c r="AJ615" s="1544"/>
      <c r="AK615" s="1544">
        <f>AO598</f>
        <v>0</v>
      </c>
      <c r="AL615" s="1544"/>
      <c r="AM615" s="1544">
        <f>AQ598</f>
        <v>0</v>
      </c>
      <c r="AN615" s="1544"/>
      <c r="AO615" s="1544">
        <f>AS598</f>
        <v>0</v>
      </c>
      <c r="AP615" s="1544"/>
      <c r="AQ615" s="1544">
        <f>AU598</f>
        <v>0</v>
      </c>
      <c r="AR615" s="1544"/>
      <c r="AS615" s="1547">
        <f>AW598</f>
        <v>0</v>
      </c>
      <c r="AT615" s="1548"/>
      <c r="AU615" s="1548"/>
      <c r="AV615" s="1548"/>
      <c r="AW615" s="1548"/>
      <c r="AX615" s="1548"/>
      <c r="AY615" s="1548"/>
      <c r="AZ615" s="1548"/>
      <c r="BA615" s="474"/>
    </row>
    <row r="616" spans="1:53" s="291" customFormat="1" ht="22.5" customHeight="1">
      <c r="A616" s="298"/>
      <c r="B616" s="1553" t="str">
        <f t="shared" ref="B616:B619" si="37">+B599</f>
        <v xml:space="preserve">Estudio Definitivo </v>
      </c>
      <c r="C616" s="1318"/>
      <c r="D616" s="1318"/>
      <c r="E616" s="1318"/>
      <c r="F616" s="1318"/>
      <c r="G616" s="1318"/>
      <c r="H616" s="1318"/>
      <c r="I616" s="1318"/>
      <c r="J616" s="1318"/>
      <c r="K616" s="1318"/>
      <c r="L616" s="1318"/>
      <c r="M616" s="1318"/>
      <c r="N616" s="1318"/>
      <c r="O616" s="1318"/>
      <c r="P616" s="1558" t="s">
        <v>396</v>
      </c>
      <c r="Q616" s="1559"/>
      <c r="R616" s="1559"/>
      <c r="S616" s="1559"/>
      <c r="T616" s="1560"/>
      <c r="U616" s="1544">
        <f>Y599</f>
        <v>0</v>
      </c>
      <c r="V616" s="1544"/>
      <c r="W616" s="1544">
        <f>AA599</f>
        <v>0</v>
      </c>
      <c r="X616" s="1544"/>
      <c r="Y616" s="1544">
        <f>AC599</f>
        <v>0</v>
      </c>
      <c r="Z616" s="1544"/>
      <c r="AA616" s="1544">
        <f>AE599</f>
        <v>0</v>
      </c>
      <c r="AB616" s="1544"/>
      <c r="AC616" s="1544">
        <f>AG599</f>
        <v>0</v>
      </c>
      <c r="AD616" s="1544"/>
      <c r="AE616" s="1544">
        <f>AI599</f>
        <v>0</v>
      </c>
      <c r="AF616" s="1544"/>
      <c r="AG616" s="1544">
        <f>AK599</f>
        <v>0</v>
      </c>
      <c r="AH616" s="1544"/>
      <c r="AI616" s="1544">
        <f>AM599</f>
        <v>0</v>
      </c>
      <c r="AJ616" s="1544"/>
      <c r="AK616" s="1544">
        <f>AO599</f>
        <v>0</v>
      </c>
      <c r="AL616" s="1544"/>
      <c r="AM616" s="1544">
        <f>AQ599</f>
        <v>0</v>
      </c>
      <c r="AN616" s="1544"/>
      <c r="AO616" s="1544">
        <f>AS599</f>
        <v>0</v>
      </c>
      <c r="AP616" s="1544"/>
      <c r="AQ616" s="1544">
        <f>AU599</f>
        <v>0</v>
      </c>
      <c r="AR616" s="1544"/>
      <c r="AS616" s="1547">
        <f>AW599</f>
        <v>0</v>
      </c>
      <c r="AT616" s="1548"/>
      <c r="AU616" s="1548"/>
      <c r="AV616" s="1548"/>
      <c r="AW616" s="1548"/>
      <c r="AX616" s="1548"/>
      <c r="AY616" s="1548"/>
      <c r="AZ616" s="1548"/>
      <c r="BA616" s="474">
        <f>BA614-BA615</f>
        <v>0</v>
      </c>
    </row>
    <row r="617" spans="1:53" s="291" customFormat="1" ht="22.5" customHeight="1">
      <c r="A617" s="298"/>
      <c r="B617" s="1553" t="str">
        <f t="shared" si="37"/>
        <v xml:space="preserve">Supervisión del Estudio Definitivo </v>
      </c>
      <c r="C617" s="1318"/>
      <c r="D617" s="1318"/>
      <c r="E617" s="1318"/>
      <c r="F617" s="1318"/>
      <c r="G617" s="1318"/>
      <c r="H617" s="1318"/>
      <c r="I617" s="1318"/>
      <c r="J617" s="1318"/>
      <c r="K617" s="1318"/>
      <c r="L617" s="1318"/>
      <c r="M617" s="1318"/>
      <c r="N617" s="1318"/>
      <c r="O617" s="1318"/>
      <c r="P617" s="1558" t="s">
        <v>554</v>
      </c>
      <c r="Q617" s="1559"/>
      <c r="R617" s="1559"/>
      <c r="S617" s="1559"/>
      <c r="T617" s="1560"/>
      <c r="U617" s="1544">
        <f>Y600</f>
        <v>0</v>
      </c>
      <c r="V617" s="1544"/>
      <c r="W617" s="1544">
        <f>AA600</f>
        <v>0</v>
      </c>
      <c r="X617" s="1544"/>
      <c r="Y617" s="1544">
        <f>AC600</f>
        <v>0</v>
      </c>
      <c r="Z617" s="1544"/>
      <c r="AA617" s="1544">
        <f>AE600</f>
        <v>0</v>
      </c>
      <c r="AB617" s="1544"/>
      <c r="AC617" s="1544">
        <f>AG600</f>
        <v>0</v>
      </c>
      <c r="AD617" s="1544"/>
      <c r="AE617" s="1544">
        <f>AI600</f>
        <v>0</v>
      </c>
      <c r="AF617" s="1544"/>
      <c r="AG617" s="1544">
        <f>AK600</f>
        <v>0</v>
      </c>
      <c r="AH617" s="1544"/>
      <c r="AI617" s="1544">
        <f>AM600</f>
        <v>0</v>
      </c>
      <c r="AJ617" s="1544"/>
      <c r="AK617" s="1544">
        <f>AO600</f>
        <v>0</v>
      </c>
      <c r="AL617" s="1544"/>
      <c r="AM617" s="1544">
        <f>AQ600</f>
        <v>0</v>
      </c>
      <c r="AN617" s="1544"/>
      <c r="AO617" s="1544">
        <f>AS600</f>
        <v>0</v>
      </c>
      <c r="AP617" s="1544"/>
      <c r="AQ617" s="1544">
        <f>AU600</f>
        <v>0</v>
      </c>
      <c r="AR617" s="1544"/>
      <c r="AS617" s="1547">
        <f>AW600</f>
        <v>0</v>
      </c>
      <c r="AT617" s="1548"/>
      <c r="AU617" s="1548"/>
      <c r="AV617" s="1548"/>
      <c r="AW617" s="1548"/>
      <c r="AX617" s="1548"/>
      <c r="AY617" s="1548"/>
      <c r="AZ617" s="1548"/>
    </row>
    <row r="618" spans="1:53" s="291" customFormat="1" ht="22.5" customHeight="1">
      <c r="A618" s="298"/>
      <c r="B618" s="1553" t="str">
        <f t="shared" si="37"/>
        <v>Supervisión de ejecución del Proyecto</v>
      </c>
      <c r="C618" s="1318"/>
      <c r="D618" s="1318"/>
      <c r="E618" s="1318"/>
      <c r="F618" s="1318"/>
      <c r="G618" s="1318"/>
      <c r="H618" s="1318"/>
      <c r="I618" s="1318"/>
      <c r="J618" s="1318"/>
      <c r="K618" s="1318"/>
      <c r="L618" s="1318"/>
      <c r="M618" s="1318"/>
      <c r="N618" s="1318"/>
      <c r="O618" s="1318"/>
      <c r="P618" s="1558" t="s">
        <v>554</v>
      </c>
      <c r="Q618" s="1559"/>
      <c r="R618" s="1559"/>
      <c r="S618" s="1559"/>
      <c r="T618" s="1560"/>
      <c r="U618" s="1544">
        <f>Y601</f>
        <v>0</v>
      </c>
      <c r="V618" s="1544"/>
      <c r="W618" s="1544">
        <f>AA601</f>
        <v>0</v>
      </c>
      <c r="X618" s="1544"/>
      <c r="Y618" s="1544">
        <f>AC601</f>
        <v>0</v>
      </c>
      <c r="Z618" s="1544"/>
      <c r="AA618" s="1544">
        <f>AE601</f>
        <v>0</v>
      </c>
      <c r="AB618" s="1544"/>
      <c r="AC618" s="1544">
        <f>AG601</f>
        <v>0</v>
      </c>
      <c r="AD618" s="1544"/>
      <c r="AE618" s="1544">
        <f>AI601</f>
        <v>0</v>
      </c>
      <c r="AF618" s="1544"/>
      <c r="AG618" s="1544">
        <f>AK601</f>
        <v>0</v>
      </c>
      <c r="AH618" s="1544"/>
      <c r="AI618" s="1544">
        <f>AM601</f>
        <v>0</v>
      </c>
      <c r="AJ618" s="1544"/>
      <c r="AK618" s="1544">
        <f>AO601</f>
        <v>0</v>
      </c>
      <c r="AL618" s="1544"/>
      <c r="AM618" s="1544">
        <f>AQ601</f>
        <v>0</v>
      </c>
      <c r="AN618" s="1544"/>
      <c r="AO618" s="1544">
        <f>AS601</f>
        <v>0</v>
      </c>
      <c r="AP618" s="1544"/>
      <c r="AQ618" s="1544">
        <f>AU601</f>
        <v>0</v>
      </c>
      <c r="AR618" s="1544"/>
      <c r="AS618" s="1547">
        <f>AW601</f>
        <v>0</v>
      </c>
      <c r="AT618" s="1548"/>
      <c r="AU618" s="1548"/>
      <c r="AV618" s="1548"/>
      <c r="AW618" s="1548"/>
      <c r="AX618" s="1548"/>
      <c r="AY618" s="1548"/>
      <c r="AZ618" s="1548"/>
    </row>
    <row r="619" spans="1:53" s="291" customFormat="1" ht="25.5" customHeight="1">
      <c r="A619" s="298"/>
      <c r="B619" s="1553" t="str">
        <f t="shared" si="37"/>
        <v>Liquidación del proyecto</v>
      </c>
      <c r="C619" s="1318"/>
      <c r="D619" s="1318"/>
      <c r="E619" s="1318"/>
      <c r="F619" s="1318"/>
      <c r="G619" s="1318"/>
      <c r="H619" s="1318"/>
      <c r="I619" s="1318"/>
      <c r="J619" s="1318"/>
      <c r="K619" s="1318"/>
      <c r="L619" s="1318"/>
      <c r="M619" s="1318"/>
      <c r="N619" s="1318"/>
      <c r="O619" s="1318"/>
      <c r="P619" s="1558" t="s">
        <v>554</v>
      </c>
      <c r="Q619" s="1559"/>
      <c r="R619" s="1559"/>
      <c r="S619" s="1559"/>
      <c r="T619" s="1560"/>
      <c r="U619" s="1544">
        <f>Y602</f>
        <v>0</v>
      </c>
      <c r="V619" s="1544"/>
      <c r="W619" s="1544">
        <f>AA602</f>
        <v>0</v>
      </c>
      <c r="X619" s="1544"/>
      <c r="Y619" s="1544">
        <f>AC602</f>
        <v>0</v>
      </c>
      <c r="Z619" s="1544"/>
      <c r="AA619" s="1544">
        <f>AE602</f>
        <v>0</v>
      </c>
      <c r="AB619" s="1544"/>
      <c r="AC619" s="1544">
        <f>AG602</f>
        <v>0</v>
      </c>
      <c r="AD619" s="1544"/>
      <c r="AE619" s="1544">
        <f>AI602</f>
        <v>0</v>
      </c>
      <c r="AF619" s="1544"/>
      <c r="AG619" s="1544">
        <f>AK602</f>
        <v>0</v>
      </c>
      <c r="AH619" s="1544"/>
      <c r="AI619" s="1544">
        <f>AM602</f>
        <v>0</v>
      </c>
      <c r="AJ619" s="1544"/>
      <c r="AK619" s="1544">
        <f>AO602</f>
        <v>0</v>
      </c>
      <c r="AL619" s="1544"/>
      <c r="AM619" s="1544">
        <f>AQ602</f>
        <v>0</v>
      </c>
      <c r="AN619" s="1544"/>
      <c r="AO619" s="1544">
        <f>AS602</f>
        <v>0</v>
      </c>
      <c r="AP619" s="1544"/>
      <c r="AQ619" s="1544">
        <f>AU602</f>
        <v>0</v>
      </c>
      <c r="AR619" s="1544"/>
      <c r="AS619" s="1547">
        <f>AW602</f>
        <v>0</v>
      </c>
      <c r="AT619" s="1548"/>
      <c r="AU619" s="1548"/>
      <c r="AV619" s="1548"/>
      <c r="AW619" s="1548"/>
      <c r="AX619" s="1548"/>
      <c r="AY619" s="1548"/>
      <c r="AZ619" s="1548"/>
    </row>
    <row r="620" spans="1:53" s="329" customFormat="1" ht="17.25" customHeight="1">
      <c r="A620" s="298"/>
      <c r="B620" s="1561"/>
      <c r="C620" s="1561"/>
      <c r="D620" s="1561"/>
      <c r="E620" s="1561"/>
      <c r="F620" s="1561"/>
      <c r="G620" s="1561"/>
      <c r="H620" s="1561"/>
      <c r="I620" s="1561"/>
      <c r="J620" s="1561"/>
      <c r="K620" s="1561"/>
      <c r="L620" s="1561"/>
      <c r="M620" s="1561"/>
      <c r="N620" s="1561"/>
      <c r="O620" s="1561"/>
      <c r="P620" s="1561"/>
      <c r="Q620" s="1561"/>
      <c r="R620" s="1561"/>
      <c r="S620" s="1561"/>
      <c r="T620" s="1561"/>
      <c r="U620" s="1277"/>
      <c r="V620" s="1277"/>
      <c r="W620" s="1277"/>
      <c r="X620" s="1277"/>
      <c r="Y620" s="1277"/>
      <c r="Z620" s="1277"/>
      <c r="AA620" s="1277"/>
      <c r="AB620" s="1277"/>
      <c r="AC620" s="1277"/>
      <c r="AD620" s="1277"/>
      <c r="AE620" s="1277"/>
      <c r="AF620" s="1277"/>
      <c r="AG620" s="1277"/>
      <c r="AH620" s="1277"/>
      <c r="AI620" s="1277"/>
      <c r="AJ620" s="1277"/>
      <c r="AK620" s="1277"/>
      <c r="AL620" s="1277"/>
      <c r="AM620" s="1277"/>
      <c r="AN620" s="1277"/>
      <c r="AO620" s="1277"/>
      <c r="AP620" s="1277"/>
      <c r="AQ620" s="1277"/>
      <c r="AR620" s="1277"/>
      <c r="AS620" s="1277"/>
      <c r="AT620" s="1277"/>
      <c r="AU620" s="1277"/>
      <c r="AV620" s="1277"/>
      <c r="AW620" s="1277"/>
      <c r="AX620" s="1277"/>
      <c r="AY620" s="1277"/>
      <c r="AZ620" s="1277"/>
    </row>
    <row r="621" spans="1:53" s="291" customFormat="1" ht="15.75" hidden="1">
      <c r="A621" s="298"/>
      <c r="B621" s="341"/>
      <c r="C621" s="341"/>
      <c r="D621" s="341"/>
      <c r="E621" s="341"/>
      <c r="F621" s="341"/>
      <c r="G621" s="341"/>
      <c r="H621" s="341"/>
      <c r="I621" s="341"/>
      <c r="J621" s="341"/>
      <c r="K621" s="341"/>
      <c r="L621" s="341"/>
      <c r="M621" s="341"/>
      <c r="N621" s="341"/>
      <c r="O621" s="341"/>
      <c r="P621" s="341"/>
      <c r="Q621" s="341"/>
      <c r="R621" s="341"/>
      <c r="S621" s="341"/>
      <c r="T621" s="341"/>
      <c r="U621" s="342"/>
      <c r="V621" s="342"/>
      <c r="W621" s="342"/>
      <c r="X621" s="342"/>
      <c r="Y621" s="342"/>
      <c r="Z621" s="342"/>
      <c r="AA621" s="342"/>
      <c r="AB621" s="342"/>
      <c r="AC621" s="342"/>
      <c r="AD621" s="342"/>
      <c r="AE621" s="342"/>
      <c r="AF621" s="342"/>
      <c r="AG621" s="342"/>
      <c r="AH621" s="342"/>
      <c r="AI621" s="342"/>
      <c r="AJ621" s="342"/>
      <c r="AK621" s="342"/>
      <c r="AL621" s="342"/>
      <c r="AM621" s="342"/>
      <c r="AN621" s="342"/>
      <c r="AO621" s="342"/>
      <c r="AP621" s="342"/>
      <c r="AQ621" s="342"/>
      <c r="AR621" s="342"/>
      <c r="AS621" s="345"/>
      <c r="AT621" s="345"/>
      <c r="AU621" s="345"/>
      <c r="AV621" s="345"/>
      <c r="AW621" s="345"/>
      <c r="AX621" s="345"/>
      <c r="AY621" s="345"/>
      <c r="AZ621" s="345"/>
    </row>
    <row r="622" spans="1:53" s="291" customFormat="1" ht="15.75">
      <c r="A622" s="297"/>
      <c r="B622" s="1246" t="s">
        <v>2594</v>
      </c>
      <c r="C622" s="1246"/>
      <c r="D622" s="1246"/>
      <c r="E622" s="1246"/>
      <c r="F622" s="1246"/>
      <c r="G622" s="1246"/>
      <c r="H622" s="1246"/>
      <c r="I622" s="1246"/>
      <c r="J622" s="1246"/>
      <c r="K622" s="1246"/>
      <c r="L622" s="1246"/>
      <c r="M622" s="1246"/>
      <c r="N622" s="1246"/>
      <c r="O622" s="1246"/>
      <c r="P622" s="1246"/>
      <c r="Q622" s="1246"/>
      <c r="R622" s="1246"/>
      <c r="S622" s="1246"/>
      <c r="T622" s="1246"/>
      <c r="U622" s="1246"/>
      <c r="V622" s="1246"/>
      <c r="W622" s="1246"/>
      <c r="X622" s="1246"/>
      <c r="Y622" s="1246"/>
      <c r="Z622" s="1246"/>
      <c r="AA622" s="1246"/>
      <c r="AB622" s="1246"/>
      <c r="AC622" s="1246"/>
      <c r="AD622" s="1246"/>
      <c r="AE622" s="1246"/>
      <c r="AF622" s="1246"/>
      <c r="AG622" s="1246"/>
      <c r="AH622" s="1246"/>
      <c r="AI622" s="1246"/>
      <c r="AJ622" s="1246"/>
      <c r="AK622" s="1246"/>
      <c r="AL622" s="1246"/>
      <c r="AM622" s="1246"/>
      <c r="AN622" s="1246"/>
      <c r="AO622" s="1246"/>
      <c r="AP622" s="1246"/>
      <c r="AQ622" s="1246"/>
      <c r="AR622" s="1246"/>
      <c r="AS622" s="1246"/>
      <c r="AT622" s="1246"/>
      <c r="AU622" s="1246"/>
      <c r="AV622" s="1246"/>
      <c r="AW622" s="1246"/>
      <c r="AX622" s="1246"/>
      <c r="AY622" s="1246"/>
      <c r="AZ622" s="1246"/>
    </row>
    <row r="623" spans="1:53" s="291" customFormat="1" ht="18" customHeight="1">
      <c r="A623" s="297"/>
      <c r="B623" s="1154"/>
      <c r="C623" s="1154"/>
      <c r="D623" s="1154"/>
      <c r="E623" s="1154"/>
      <c r="F623" s="1154"/>
      <c r="G623" s="1154"/>
      <c r="H623" s="1154"/>
      <c r="I623" s="1154"/>
      <c r="J623" s="1154"/>
      <c r="K623" s="1154"/>
      <c r="L623" s="1154"/>
      <c r="M623" s="1154"/>
      <c r="N623" s="1154"/>
      <c r="O623" s="1154"/>
      <c r="P623" s="1154"/>
      <c r="Q623" s="1157"/>
      <c r="R623" s="1157"/>
      <c r="S623" s="1154"/>
      <c r="T623" s="1154"/>
      <c r="U623" s="1154"/>
      <c r="V623" s="1154"/>
      <c r="W623" s="1154"/>
      <c r="X623" s="1154"/>
      <c r="Y623" s="1154"/>
      <c r="Z623" s="1154"/>
      <c r="AA623" s="1154"/>
      <c r="AB623" s="1154"/>
      <c r="AC623" s="1154"/>
      <c r="AD623" s="1154"/>
      <c r="AE623" s="1154"/>
      <c r="AF623" s="1154"/>
      <c r="AG623" s="1154"/>
      <c r="AH623" s="1154"/>
      <c r="AI623" s="1154"/>
      <c r="AJ623" s="1154"/>
      <c r="AK623" s="1154"/>
      <c r="AL623" s="1154"/>
      <c r="AM623" s="1154"/>
      <c r="AN623" s="1154"/>
      <c r="AO623" s="1154"/>
      <c r="AP623" s="1154"/>
      <c r="AQ623" s="1154"/>
      <c r="AR623" s="1154"/>
      <c r="AS623" s="1154"/>
      <c r="AT623" s="1154"/>
      <c r="AU623" s="1154"/>
      <c r="AV623" s="1154"/>
      <c r="AW623" s="1154"/>
      <c r="AX623" s="1154"/>
      <c r="AY623" s="1154"/>
      <c r="AZ623" s="1154"/>
    </row>
    <row r="624" spans="1:53" s="291" customFormat="1" ht="15.75">
      <c r="A624" s="297"/>
      <c r="B624" s="1562" t="s">
        <v>2578</v>
      </c>
      <c r="C624" s="1562"/>
      <c r="D624" s="1562"/>
      <c r="E624" s="1562"/>
      <c r="F624" s="1562"/>
      <c r="G624" s="1562"/>
      <c r="H624" s="1562"/>
      <c r="I624" s="1562"/>
      <c r="J624" s="1562"/>
      <c r="K624" s="1562"/>
      <c r="L624" s="1562"/>
      <c r="M624" s="1562"/>
      <c r="N624" s="1562"/>
      <c r="O624" s="1562"/>
      <c r="P624" s="1562"/>
      <c r="Q624" s="1158"/>
      <c r="R624" s="1155"/>
      <c r="S624" s="1156"/>
      <c r="T624" s="1156"/>
      <c r="U624" s="1156"/>
      <c r="V624" s="1156"/>
      <c r="W624" s="1156"/>
      <c r="X624" s="1156"/>
      <c r="Y624" s="1156"/>
      <c r="Z624" s="1156"/>
      <c r="AA624" s="1156"/>
      <c r="AB624" s="1156"/>
      <c r="AC624" s="1156"/>
      <c r="AD624" s="1156"/>
      <c r="AE624" s="1156"/>
      <c r="AF624" s="1156"/>
      <c r="AG624" s="1156"/>
      <c r="AH624" s="1156"/>
      <c r="AI624" s="1156"/>
      <c r="AJ624" s="1156"/>
      <c r="AK624" s="1156"/>
      <c r="AL624" s="1156"/>
      <c r="AM624" s="1156"/>
      <c r="AN624" s="1156"/>
      <c r="AO624" s="1156"/>
      <c r="AP624" s="1156"/>
      <c r="AQ624" s="1156"/>
      <c r="AR624" s="1156"/>
      <c r="AS624" s="1156"/>
      <c r="AT624" s="1156"/>
      <c r="AU624" s="1156"/>
      <c r="AV624" s="1156"/>
      <c r="AW624" s="288"/>
      <c r="AX624" s="288"/>
      <c r="AY624" s="288"/>
      <c r="AZ624" s="288"/>
    </row>
    <row r="625" spans="1:52" s="291" customFormat="1" ht="15.75">
      <c r="A625" s="297"/>
      <c r="B625" s="1256" t="s">
        <v>7</v>
      </c>
      <c r="C625" s="1256"/>
      <c r="D625" s="1256"/>
      <c r="E625" s="1256"/>
      <c r="F625" s="1256"/>
      <c r="G625" s="1256"/>
      <c r="H625" s="1256"/>
      <c r="I625" s="1256"/>
      <c r="J625" s="1256"/>
      <c r="K625" s="1256"/>
      <c r="L625" s="1256"/>
      <c r="M625" s="1256"/>
      <c r="N625" s="1256"/>
      <c r="O625" s="1256"/>
      <c r="P625" s="1256"/>
      <c r="Q625" s="1305" t="s">
        <v>572</v>
      </c>
      <c r="R625" s="1306"/>
      <c r="S625" s="1306"/>
      <c r="T625" s="1306"/>
      <c r="U625" s="1306"/>
      <c r="V625" s="1306"/>
      <c r="W625" s="1306"/>
      <c r="X625" s="1306"/>
      <c r="Y625" s="1306"/>
      <c r="Z625" s="1306"/>
      <c r="AA625" s="1306"/>
      <c r="AB625" s="1306"/>
      <c r="AC625" s="1306"/>
      <c r="AD625" s="1306"/>
      <c r="AE625" s="1306"/>
      <c r="AF625" s="1306"/>
      <c r="AG625" s="1306"/>
      <c r="AH625" s="1306"/>
      <c r="AI625" s="1306"/>
      <c r="AJ625" s="1306"/>
      <c r="AK625" s="1306"/>
      <c r="AL625" s="1306"/>
      <c r="AM625" s="1306"/>
      <c r="AN625" s="1306"/>
      <c r="AO625" s="1306"/>
      <c r="AP625" s="1306"/>
      <c r="AQ625" s="1306"/>
      <c r="AR625" s="1306"/>
      <c r="AS625" s="1306"/>
      <c r="AT625" s="1307"/>
      <c r="AU625" s="1156"/>
      <c r="AV625" s="1156"/>
      <c r="AW625" s="288"/>
      <c r="AX625" s="288"/>
      <c r="AY625" s="288"/>
      <c r="AZ625" s="288"/>
    </row>
    <row r="626" spans="1:52" s="291" customFormat="1" ht="15.75">
      <c r="A626" s="297"/>
      <c r="B626" s="1256"/>
      <c r="C626" s="1256"/>
      <c r="D626" s="1256"/>
      <c r="E626" s="1256"/>
      <c r="F626" s="1256"/>
      <c r="G626" s="1256"/>
      <c r="H626" s="1256"/>
      <c r="I626" s="1256"/>
      <c r="J626" s="1256"/>
      <c r="K626" s="1256"/>
      <c r="L626" s="1256"/>
      <c r="M626" s="1256"/>
      <c r="N626" s="1256"/>
      <c r="O626" s="1256"/>
      <c r="P626" s="1256"/>
      <c r="Q626" s="1221">
        <v>1</v>
      </c>
      <c r="R626" s="1221"/>
      <c r="S626" s="1221"/>
      <c r="T626" s="1305">
        <v>2</v>
      </c>
      <c r="U626" s="1306"/>
      <c r="V626" s="1307"/>
      <c r="W626" s="1221">
        <v>3</v>
      </c>
      <c r="X626" s="1221"/>
      <c r="Y626" s="1221"/>
      <c r="Z626" s="1221">
        <v>4</v>
      </c>
      <c r="AA626" s="1221"/>
      <c r="AB626" s="1221"/>
      <c r="AC626" s="1256">
        <v>5</v>
      </c>
      <c r="AD626" s="1256"/>
      <c r="AE626" s="1256"/>
      <c r="AF626" s="1256">
        <v>6</v>
      </c>
      <c r="AG626" s="1256"/>
      <c r="AH626" s="1256"/>
      <c r="AI626" s="1256">
        <v>7</v>
      </c>
      <c r="AJ626" s="1256"/>
      <c r="AK626" s="1256"/>
      <c r="AL626" s="1256">
        <v>8</v>
      </c>
      <c r="AM626" s="1256"/>
      <c r="AN626" s="1256"/>
      <c r="AO626" s="1256">
        <v>9</v>
      </c>
      <c r="AP626" s="1256"/>
      <c r="AQ626" s="1256"/>
      <c r="AR626" s="1256">
        <v>10</v>
      </c>
      <c r="AS626" s="1256"/>
      <c r="AT626" s="1256"/>
      <c r="AU626" s="1156"/>
      <c r="AV626" s="1156"/>
      <c r="AW626" s="288"/>
      <c r="AX626" s="288"/>
      <c r="AY626" s="288"/>
      <c r="AZ626" s="288"/>
    </row>
    <row r="627" spans="1:52" s="291" customFormat="1" ht="15.75">
      <c r="A627" s="297"/>
      <c r="B627" s="1322" t="s">
        <v>15</v>
      </c>
      <c r="C627" s="1322"/>
      <c r="D627" s="1322"/>
      <c r="E627" s="1322"/>
      <c r="F627" s="1322"/>
      <c r="G627" s="1322"/>
      <c r="H627" s="1322"/>
      <c r="I627" s="1322"/>
      <c r="J627" s="1322"/>
      <c r="K627" s="1322"/>
      <c r="L627" s="1322"/>
      <c r="M627" s="1322"/>
      <c r="N627" s="1322"/>
      <c r="O627" s="1322"/>
      <c r="P627" s="1322"/>
      <c r="Q627" s="1302">
        <f>REINV!C140</f>
        <v>0</v>
      </c>
      <c r="R627" s="1302"/>
      <c r="S627" s="1302"/>
      <c r="T627" s="1302">
        <f>REINV!F140</f>
        <v>0</v>
      </c>
      <c r="U627" s="1302"/>
      <c r="V627" s="1302"/>
      <c r="W627" s="1302">
        <f>REINV!I140</f>
        <v>0</v>
      </c>
      <c r="X627" s="1302"/>
      <c r="Y627" s="1302"/>
      <c r="Z627" s="1302">
        <f>REINV!L140</f>
        <v>0</v>
      </c>
      <c r="AA627" s="1302"/>
      <c r="AB627" s="1302"/>
      <c r="AC627" s="1302">
        <f>REINV!O140</f>
        <v>0</v>
      </c>
      <c r="AD627" s="1302"/>
      <c r="AE627" s="1302"/>
      <c r="AF627" s="1302">
        <f>REINV!R140</f>
        <v>0</v>
      </c>
      <c r="AG627" s="1302"/>
      <c r="AH627" s="1302"/>
      <c r="AI627" s="1302">
        <f>REINV!U140</f>
        <v>0</v>
      </c>
      <c r="AJ627" s="1302"/>
      <c r="AK627" s="1302"/>
      <c r="AL627" s="1302">
        <f>REINV!X140</f>
        <v>0</v>
      </c>
      <c r="AM627" s="1302"/>
      <c r="AN627" s="1302"/>
      <c r="AO627" s="1302">
        <f>REINV!AA140</f>
        <v>0</v>
      </c>
      <c r="AP627" s="1302"/>
      <c r="AQ627" s="1302"/>
      <c r="AR627" s="1302">
        <f>REINV!AD140</f>
        <v>0</v>
      </c>
      <c r="AS627" s="1302"/>
      <c r="AT627" s="1302"/>
      <c r="AU627" s="323"/>
      <c r="AV627" s="323"/>
      <c r="AW627" s="289"/>
      <c r="AX627" s="289"/>
      <c r="AY627" s="289"/>
      <c r="AZ627" s="289"/>
    </row>
    <row r="628" spans="1:52" s="291" customFormat="1" ht="15.75">
      <c r="A628" s="297"/>
      <c r="B628" s="1322" t="s">
        <v>573</v>
      </c>
      <c r="C628" s="1322"/>
      <c r="D628" s="1322"/>
      <c r="E628" s="1322"/>
      <c r="F628" s="1322"/>
      <c r="G628" s="1322"/>
      <c r="H628" s="1322"/>
      <c r="I628" s="1322"/>
      <c r="J628" s="1322"/>
      <c r="K628" s="1322"/>
      <c r="L628" s="1322"/>
      <c r="M628" s="1322"/>
      <c r="N628" s="1322"/>
      <c r="O628" s="1322"/>
      <c r="P628" s="1322"/>
      <c r="Q628" s="1302">
        <f>REINV!C141</f>
        <v>0</v>
      </c>
      <c r="R628" s="1302"/>
      <c r="S628" s="1302"/>
      <c r="T628" s="1302">
        <f>REINV!F141</f>
        <v>0</v>
      </c>
      <c r="U628" s="1302"/>
      <c r="V628" s="1302"/>
      <c r="W628" s="1302">
        <f>REINV!I141</f>
        <v>0</v>
      </c>
      <c r="X628" s="1302"/>
      <c r="Y628" s="1302"/>
      <c r="Z628" s="1302">
        <f>REINV!L141</f>
        <v>0</v>
      </c>
      <c r="AA628" s="1302"/>
      <c r="AB628" s="1302"/>
      <c r="AC628" s="1302">
        <f>REINV!O141</f>
        <v>0</v>
      </c>
      <c r="AD628" s="1302"/>
      <c r="AE628" s="1302"/>
      <c r="AF628" s="1302">
        <f>REINV!R141</f>
        <v>0</v>
      </c>
      <c r="AG628" s="1302"/>
      <c r="AH628" s="1302"/>
      <c r="AI628" s="1302">
        <f>REINV!U141</f>
        <v>0</v>
      </c>
      <c r="AJ628" s="1302"/>
      <c r="AK628" s="1302"/>
      <c r="AL628" s="1302">
        <f>REINV!X141</f>
        <v>0</v>
      </c>
      <c r="AM628" s="1302"/>
      <c r="AN628" s="1302"/>
      <c r="AO628" s="1302">
        <f>REINV!AA141</f>
        <v>0</v>
      </c>
      <c r="AP628" s="1302"/>
      <c r="AQ628" s="1302"/>
      <c r="AR628" s="1302">
        <f>REINV!AD141</f>
        <v>0</v>
      </c>
      <c r="AS628" s="1302"/>
      <c r="AT628" s="1302"/>
      <c r="AU628" s="323"/>
      <c r="AV628" s="289"/>
      <c r="AW628" s="289"/>
      <c r="AX628" s="289"/>
      <c r="AY628" s="289"/>
      <c r="AZ628" s="289"/>
    </row>
    <row r="629" spans="1:52" s="291" customFormat="1" ht="15.75">
      <c r="A629" s="297"/>
      <c r="B629" s="1362" t="s">
        <v>574</v>
      </c>
      <c r="C629" s="1362"/>
      <c r="D629" s="1362"/>
      <c r="E629" s="1362"/>
      <c r="F629" s="1362"/>
      <c r="G629" s="1362"/>
      <c r="H629" s="1362"/>
      <c r="I629" s="1362"/>
      <c r="J629" s="1362"/>
      <c r="K629" s="1362"/>
      <c r="L629" s="1362"/>
      <c r="M629" s="1362"/>
      <c r="N629" s="1362"/>
      <c r="O629" s="1362"/>
      <c r="P629" s="1362"/>
      <c r="Q629" s="1324">
        <f>+Q627+Q628</f>
        <v>0</v>
      </c>
      <c r="R629" s="1324"/>
      <c r="S629" s="1324"/>
      <c r="T629" s="1507">
        <f>+T627+T628</f>
        <v>0</v>
      </c>
      <c r="U629" s="1563"/>
      <c r="V629" s="1564"/>
      <c r="W629" s="1324">
        <f>+W627+W628</f>
        <v>0</v>
      </c>
      <c r="X629" s="1324"/>
      <c r="Y629" s="1324"/>
      <c r="Z629" s="1324">
        <f>+Z627+Z628</f>
        <v>0</v>
      </c>
      <c r="AA629" s="1324"/>
      <c r="AB629" s="1324"/>
      <c r="AC629" s="1207">
        <f>+AC627+AC628</f>
        <v>0</v>
      </c>
      <c r="AD629" s="1207"/>
      <c r="AE629" s="1207"/>
      <c r="AF629" s="1207">
        <f>+AF627+AF628</f>
        <v>0</v>
      </c>
      <c r="AG629" s="1207"/>
      <c r="AH629" s="1207"/>
      <c r="AI629" s="1207">
        <f>+AI627+AI628</f>
        <v>0</v>
      </c>
      <c r="AJ629" s="1207"/>
      <c r="AK629" s="1207"/>
      <c r="AL629" s="1207">
        <f>+AL627+AL628</f>
        <v>0</v>
      </c>
      <c r="AM629" s="1207"/>
      <c r="AN629" s="1207"/>
      <c r="AO629" s="1207">
        <f>+AO627+AO628</f>
        <v>0</v>
      </c>
      <c r="AP629" s="1207"/>
      <c r="AQ629" s="1207"/>
      <c r="AR629" s="1207">
        <f>+AR627+AR628</f>
        <v>0</v>
      </c>
      <c r="AS629" s="1207"/>
      <c r="AT629" s="1207"/>
      <c r="AU629" s="323"/>
      <c r="AV629" s="289"/>
      <c r="AW629" s="289"/>
      <c r="AX629" s="289"/>
      <c r="AY629" s="289"/>
      <c r="AZ629" s="289"/>
    </row>
    <row r="630" spans="1:52" s="291" customFormat="1" ht="15.75">
      <c r="A630" s="297"/>
      <c r="B630" s="483"/>
      <c r="C630" s="483"/>
      <c r="D630" s="483"/>
      <c r="E630" s="483"/>
      <c r="F630" s="486"/>
      <c r="G630" s="486"/>
      <c r="H630" s="486"/>
      <c r="I630" s="486"/>
      <c r="J630" s="486"/>
      <c r="K630" s="486"/>
      <c r="L630" s="486"/>
      <c r="M630" s="486"/>
      <c r="N630" s="486"/>
      <c r="O630" s="486"/>
      <c r="P630" s="486"/>
      <c r="Q630" s="346"/>
      <c r="R630" s="346"/>
      <c r="S630" s="346"/>
      <c r="T630" s="346"/>
      <c r="U630" s="337"/>
      <c r="V630" s="337"/>
      <c r="W630" s="337"/>
      <c r="X630" s="337"/>
      <c r="Y630" s="346"/>
      <c r="Z630" s="346"/>
      <c r="AA630" s="346"/>
      <c r="AB630" s="337"/>
      <c r="AC630" s="337"/>
      <c r="AD630" s="337"/>
      <c r="AE630" s="337"/>
      <c r="AF630" s="337"/>
      <c r="AG630" s="337"/>
      <c r="AH630" s="337"/>
      <c r="AI630" s="337"/>
      <c r="AJ630" s="337"/>
      <c r="AK630" s="337"/>
      <c r="AL630" s="337"/>
      <c r="AM630" s="337"/>
      <c r="AN630" s="337"/>
      <c r="AO630" s="337"/>
      <c r="AP630" s="337"/>
      <c r="AQ630" s="337"/>
      <c r="AR630" s="337"/>
      <c r="AS630" s="337"/>
      <c r="AT630" s="337"/>
      <c r="AU630" s="323"/>
      <c r="AV630" s="289"/>
      <c r="AW630" s="289"/>
      <c r="AX630" s="289"/>
      <c r="AY630" s="289"/>
      <c r="AZ630" s="289"/>
    </row>
    <row r="631" spans="1:52" s="291" customFormat="1" ht="15.75">
      <c r="A631" s="297"/>
      <c r="B631" s="1246" t="s">
        <v>90</v>
      </c>
      <c r="C631" s="1246"/>
      <c r="D631" s="1246"/>
      <c r="E631" s="1246"/>
      <c r="F631" s="1157"/>
      <c r="G631" s="1157"/>
      <c r="H631" s="1157"/>
      <c r="I631" s="1157"/>
      <c r="J631" s="1157"/>
      <c r="K631" s="1157"/>
      <c r="L631" s="1157"/>
      <c r="M631" s="1157"/>
      <c r="N631" s="1157"/>
      <c r="O631" s="1157"/>
      <c r="P631" s="1157"/>
      <c r="Q631" s="346"/>
      <c r="R631" s="346"/>
      <c r="S631" s="346"/>
      <c r="T631" s="346"/>
      <c r="U631" s="337"/>
      <c r="V631" s="337"/>
      <c r="W631" s="337"/>
      <c r="X631" s="337"/>
      <c r="Y631" s="346"/>
      <c r="Z631" s="346"/>
      <c r="AA631" s="346"/>
      <c r="AB631" s="337"/>
      <c r="AC631" s="337"/>
      <c r="AD631" s="337"/>
      <c r="AE631" s="337"/>
      <c r="AF631" s="337"/>
      <c r="AG631" s="337"/>
      <c r="AH631" s="337"/>
      <c r="AI631" s="337"/>
      <c r="AJ631" s="337"/>
      <c r="AK631" s="337"/>
      <c r="AL631" s="337"/>
      <c r="AM631" s="337"/>
      <c r="AN631" s="337"/>
      <c r="AO631" s="337"/>
      <c r="AP631" s="337"/>
      <c r="AQ631" s="337"/>
      <c r="AR631" s="337"/>
      <c r="AS631" s="337"/>
      <c r="AT631" s="337"/>
      <c r="AU631" s="323"/>
      <c r="AV631" s="289"/>
      <c r="AW631" s="289"/>
      <c r="AX631" s="289"/>
      <c r="AY631" s="289"/>
      <c r="AZ631" s="289"/>
    </row>
    <row r="632" spans="1:52" s="291" customFormat="1" ht="15.75">
      <c r="A632" s="297"/>
      <c r="B632" s="1508" t="s">
        <v>7</v>
      </c>
      <c r="C632" s="1509"/>
      <c r="D632" s="1509"/>
      <c r="E632" s="1509"/>
      <c r="F632" s="1509"/>
      <c r="G632" s="1509"/>
      <c r="H632" s="1509"/>
      <c r="I632" s="1509"/>
      <c r="J632" s="1509"/>
      <c r="K632" s="1509"/>
      <c r="L632" s="1509"/>
      <c r="M632" s="1509"/>
      <c r="N632" s="1509"/>
      <c r="O632" s="1509"/>
      <c r="P632" s="1510"/>
      <c r="Q632" s="1554" t="s">
        <v>572</v>
      </c>
      <c r="R632" s="1554"/>
      <c r="S632" s="1554"/>
      <c r="T632" s="1554"/>
      <c r="U632" s="1554"/>
      <c r="V632" s="1554"/>
      <c r="W632" s="1554"/>
      <c r="X632" s="1554"/>
      <c r="Y632" s="1554"/>
      <c r="Z632" s="1554"/>
      <c r="AA632" s="1554"/>
      <c r="AB632" s="1554"/>
      <c r="AC632" s="1554"/>
      <c r="AD632" s="1554"/>
      <c r="AE632" s="1554"/>
      <c r="AF632" s="1554"/>
      <c r="AG632" s="1554"/>
      <c r="AH632" s="1554"/>
      <c r="AI632" s="1554"/>
      <c r="AJ632" s="1554"/>
      <c r="AK632" s="1554"/>
      <c r="AL632" s="1554"/>
      <c r="AM632" s="1554"/>
      <c r="AN632" s="1554"/>
      <c r="AO632" s="1554"/>
      <c r="AP632" s="1554"/>
      <c r="AQ632" s="1554"/>
      <c r="AR632" s="1554"/>
      <c r="AS632" s="1554"/>
      <c r="AT632" s="1555"/>
      <c r="AU632" s="323"/>
      <c r="AV632" s="289"/>
      <c r="AW632" s="289"/>
      <c r="AX632" s="289"/>
      <c r="AY632" s="289"/>
      <c r="AZ632" s="289"/>
    </row>
    <row r="633" spans="1:52" s="291" customFormat="1" ht="15.75">
      <c r="A633" s="297"/>
      <c r="B633" s="1511"/>
      <c r="C633" s="1512"/>
      <c r="D633" s="1512"/>
      <c r="E633" s="1512"/>
      <c r="F633" s="1512"/>
      <c r="G633" s="1512"/>
      <c r="H633" s="1512"/>
      <c r="I633" s="1512"/>
      <c r="J633" s="1512"/>
      <c r="K633" s="1512"/>
      <c r="L633" s="1512"/>
      <c r="M633" s="1512"/>
      <c r="N633" s="1512"/>
      <c r="O633" s="1512"/>
      <c r="P633" s="1513"/>
      <c r="Q633" s="1555">
        <v>1</v>
      </c>
      <c r="R633" s="1556"/>
      <c r="S633" s="1556"/>
      <c r="T633" s="1557">
        <v>2</v>
      </c>
      <c r="U633" s="1554"/>
      <c r="V633" s="1555"/>
      <c r="W633" s="1556">
        <v>3</v>
      </c>
      <c r="X633" s="1556"/>
      <c r="Y633" s="1556"/>
      <c r="Z633" s="1556">
        <v>4</v>
      </c>
      <c r="AA633" s="1556"/>
      <c r="AB633" s="1556"/>
      <c r="AC633" s="1323">
        <v>5</v>
      </c>
      <c r="AD633" s="1323"/>
      <c r="AE633" s="1323"/>
      <c r="AF633" s="1323">
        <v>6</v>
      </c>
      <c r="AG633" s="1323"/>
      <c r="AH633" s="1323"/>
      <c r="AI633" s="1323">
        <v>7</v>
      </c>
      <c r="AJ633" s="1323"/>
      <c r="AK633" s="1323"/>
      <c r="AL633" s="1323">
        <v>8</v>
      </c>
      <c r="AM633" s="1323"/>
      <c r="AN633" s="1323"/>
      <c r="AO633" s="1323">
        <v>9</v>
      </c>
      <c r="AP633" s="1323"/>
      <c r="AQ633" s="1323"/>
      <c r="AR633" s="1323">
        <v>10</v>
      </c>
      <c r="AS633" s="1323"/>
      <c r="AT633" s="1323"/>
      <c r="AU633" s="323"/>
      <c r="AV633" s="323"/>
      <c r="AW633" s="289"/>
      <c r="AX633" s="289"/>
      <c r="AY633" s="289"/>
      <c r="AZ633" s="289"/>
    </row>
    <row r="634" spans="1:52" s="291" customFormat="1" ht="18.75" customHeight="1">
      <c r="A634" s="297"/>
      <c r="B634" s="1363" t="s">
        <v>2481</v>
      </c>
      <c r="C634" s="1363"/>
      <c r="D634" s="1363"/>
      <c r="E634" s="1363"/>
      <c r="F634" s="1363"/>
      <c r="G634" s="1363"/>
      <c r="H634" s="1363"/>
      <c r="I634" s="1363"/>
      <c r="J634" s="1363"/>
      <c r="K634" s="1363"/>
      <c r="L634" s="1363"/>
      <c r="M634" s="1363"/>
      <c r="N634" s="1363"/>
      <c r="O634" s="1363"/>
      <c r="P634" s="1363"/>
      <c r="Q634" s="1324">
        <f>REINV!C142</f>
        <v>0</v>
      </c>
      <c r="R634" s="1324"/>
      <c r="S634" s="1324"/>
      <c r="T634" s="1324">
        <f>REINV!F142</f>
        <v>0</v>
      </c>
      <c r="U634" s="1324"/>
      <c r="V634" s="1324"/>
      <c r="W634" s="1324">
        <f>REINV!I142</f>
        <v>0</v>
      </c>
      <c r="X634" s="1324"/>
      <c r="Y634" s="1324"/>
      <c r="Z634" s="1324">
        <f>REINV!L142</f>
        <v>0</v>
      </c>
      <c r="AA634" s="1324"/>
      <c r="AB634" s="1324"/>
      <c r="AC634" s="1324">
        <f>REINV!O142</f>
        <v>0</v>
      </c>
      <c r="AD634" s="1324"/>
      <c r="AE634" s="1324"/>
      <c r="AF634" s="1324">
        <f>REINV!R142</f>
        <v>0</v>
      </c>
      <c r="AG634" s="1324"/>
      <c r="AH634" s="1324"/>
      <c r="AI634" s="1324">
        <f>REINV!U142</f>
        <v>0</v>
      </c>
      <c r="AJ634" s="1324"/>
      <c r="AK634" s="1324"/>
      <c r="AL634" s="1324">
        <f>REINV!X142</f>
        <v>0</v>
      </c>
      <c r="AM634" s="1324"/>
      <c r="AN634" s="1324"/>
      <c r="AO634" s="1324">
        <f>REINV!AA142</f>
        <v>0</v>
      </c>
      <c r="AP634" s="1324"/>
      <c r="AQ634" s="1324"/>
      <c r="AR634" s="1324">
        <f>REINV!AD142</f>
        <v>0</v>
      </c>
      <c r="AS634" s="1324"/>
      <c r="AT634" s="1324"/>
      <c r="AU634" s="323"/>
      <c r="AV634" s="323"/>
      <c r="AW634" s="289"/>
      <c r="AX634" s="289"/>
      <c r="AY634" s="289"/>
      <c r="AZ634" s="289"/>
    </row>
    <row r="635" spans="1:52" s="291" customFormat="1" ht="15.75">
      <c r="A635" s="297"/>
      <c r="B635" s="487"/>
      <c r="C635" s="487"/>
      <c r="D635" s="487"/>
      <c r="E635" s="487"/>
      <c r="F635" s="487"/>
      <c r="G635" s="487"/>
      <c r="H635" s="487"/>
      <c r="I635" s="487"/>
      <c r="J635" s="487"/>
      <c r="K635" s="487"/>
      <c r="L635" s="487"/>
      <c r="M635" s="487"/>
      <c r="N635" s="487"/>
      <c r="O635" s="487"/>
      <c r="P635" s="487"/>
      <c r="Q635" s="1324">
        <f>+Q634</f>
        <v>0</v>
      </c>
      <c r="R635" s="1324"/>
      <c r="S635" s="1324"/>
      <c r="T635" s="1507">
        <f>+T634</f>
        <v>0</v>
      </c>
      <c r="U635" s="1563"/>
      <c r="V635" s="1564"/>
      <c r="W635" s="1324">
        <f>+W634</f>
        <v>0</v>
      </c>
      <c r="X635" s="1324"/>
      <c r="Y635" s="1324"/>
      <c r="Z635" s="1324">
        <f>+Z634</f>
        <v>0</v>
      </c>
      <c r="AA635" s="1324"/>
      <c r="AB635" s="1324"/>
      <c r="AC635" s="1207">
        <f>+AC634</f>
        <v>0</v>
      </c>
      <c r="AD635" s="1207"/>
      <c r="AE635" s="1207"/>
      <c r="AF635" s="1207">
        <f>+AF634</f>
        <v>0</v>
      </c>
      <c r="AG635" s="1207"/>
      <c r="AH635" s="1207"/>
      <c r="AI635" s="1207">
        <f>+AI634</f>
        <v>0</v>
      </c>
      <c r="AJ635" s="1207"/>
      <c r="AK635" s="1207"/>
      <c r="AL635" s="1207">
        <f>+AL634</f>
        <v>0</v>
      </c>
      <c r="AM635" s="1207"/>
      <c r="AN635" s="1207"/>
      <c r="AO635" s="1207">
        <f>+AO634</f>
        <v>0</v>
      </c>
      <c r="AP635" s="1207"/>
      <c r="AQ635" s="1207"/>
      <c r="AR635" s="1207">
        <f>+AR634</f>
        <v>0</v>
      </c>
      <c r="AS635" s="1207"/>
      <c r="AT635" s="1207"/>
      <c r="AU635" s="323"/>
      <c r="AV635" s="323"/>
      <c r="AW635" s="289"/>
      <c r="AX635" s="289"/>
      <c r="AY635" s="289"/>
      <c r="AZ635" s="289"/>
    </row>
    <row r="636" spans="1:52" s="291" customFormat="1" ht="15.75">
      <c r="A636" s="297"/>
      <c r="B636" s="289"/>
      <c r="C636" s="289"/>
      <c r="D636" s="289"/>
      <c r="E636" s="289"/>
      <c r="F636" s="289"/>
      <c r="G636" s="289"/>
      <c r="H636" s="289"/>
      <c r="I636" s="289"/>
      <c r="J636" s="289"/>
      <c r="K636" s="308"/>
      <c r="L636" s="308"/>
      <c r="M636" s="308"/>
      <c r="N636" s="308"/>
      <c r="O636" s="308"/>
      <c r="P636" s="308"/>
      <c r="Q636" s="309"/>
      <c r="R636" s="487"/>
      <c r="S636" s="323"/>
      <c r="T636" s="323"/>
      <c r="U636" s="323"/>
      <c r="V636" s="323"/>
      <c r="W636" s="323"/>
      <c r="X636" s="323"/>
      <c r="Y636" s="323"/>
      <c r="Z636" s="323"/>
      <c r="AA636" s="323"/>
      <c r="AB636" s="323"/>
      <c r="AC636" s="323"/>
      <c r="AD636" s="323"/>
      <c r="AE636" s="323"/>
      <c r="AF636" s="323"/>
      <c r="AG636" s="323"/>
      <c r="AH636" s="323"/>
      <c r="AI636" s="323"/>
      <c r="AJ636" s="323"/>
      <c r="AK636" s="323"/>
      <c r="AL636" s="323"/>
      <c r="AM636" s="323"/>
      <c r="AN636" s="323"/>
      <c r="AO636" s="323"/>
      <c r="AP636" s="323"/>
      <c r="AQ636" s="323"/>
      <c r="AR636" s="323"/>
      <c r="AS636" s="323"/>
      <c r="AT636" s="323"/>
      <c r="AU636" s="323"/>
      <c r="AV636" s="323"/>
      <c r="AW636" s="289"/>
      <c r="AX636" s="289"/>
      <c r="AY636" s="289"/>
      <c r="AZ636" s="289"/>
    </row>
    <row r="637" spans="1:52" s="291" customFormat="1" ht="15" customHeight="1">
      <c r="A637" s="297"/>
      <c r="B637" s="1246" t="s">
        <v>2595</v>
      </c>
      <c r="C637" s="1246"/>
      <c r="D637" s="1246"/>
      <c r="E637" s="1246"/>
      <c r="F637" s="1246"/>
      <c r="G637" s="1246"/>
      <c r="H637" s="1246"/>
      <c r="I637" s="1246"/>
      <c r="J637" s="1246"/>
      <c r="K637" s="1246"/>
      <c r="L637" s="1246"/>
      <c r="M637" s="1246"/>
      <c r="N637" s="1246"/>
      <c r="O637" s="1246"/>
      <c r="P637" s="1246"/>
      <c r="Q637" s="1246"/>
      <c r="R637" s="1246"/>
      <c r="S637" s="1246"/>
      <c r="T637" s="1246"/>
      <c r="U637" s="1246"/>
      <c r="V637" s="1246"/>
      <c r="W637" s="1246"/>
      <c r="X637" s="1246"/>
      <c r="Y637" s="1246"/>
      <c r="Z637" s="1246"/>
      <c r="AA637" s="1246"/>
      <c r="AB637" s="1246"/>
      <c r="AC637" s="1246"/>
      <c r="AD637" s="1493"/>
      <c r="AE637" s="1493"/>
      <c r="AF637" s="1493"/>
      <c r="AG637" s="1493"/>
      <c r="AH637" s="1493"/>
      <c r="AI637" s="1493"/>
      <c r="AJ637" s="1493"/>
      <c r="AK637" s="318"/>
      <c r="AL637" s="318"/>
      <c r="AM637" s="318"/>
      <c r="AN637" s="318"/>
      <c r="AO637" s="318"/>
      <c r="AP637" s="318"/>
      <c r="AQ637" s="318"/>
      <c r="AR637" s="318"/>
      <c r="AS637" s="318"/>
      <c r="AT637" s="318"/>
      <c r="AU637" s="318"/>
      <c r="AV637" s="318"/>
      <c r="AW637" s="318"/>
      <c r="AX637" s="318"/>
      <c r="AY637" s="318"/>
      <c r="AZ637" s="318"/>
    </row>
    <row r="638" spans="1:52" s="291" customFormat="1" ht="15.75">
      <c r="A638" s="297"/>
      <c r="B638" s="288"/>
      <c r="C638" s="288"/>
      <c r="D638" s="288"/>
      <c r="E638" s="288"/>
      <c r="F638" s="288"/>
      <c r="G638" s="288"/>
      <c r="H638" s="288"/>
      <c r="I638" s="288"/>
      <c r="J638" s="288"/>
      <c r="K638" s="287"/>
      <c r="L638" s="287"/>
      <c r="M638" s="287"/>
      <c r="N638" s="287"/>
      <c r="O638" s="287"/>
      <c r="P638" s="287"/>
      <c r="Q638" s="488"/>
      <c r="R638" s="488"/>
      <c r="S638" s="287"/>
      <c r="T638" s="287"/>
      <c r="U638" s="288"/>
      <c r="V638" s="288"/>
      <c r="W638" s="288"/>
      <c r="X638" s="288"/>
      <c r="Y638" s="287"/>
      <c r="Z638" s="287"/>
      <c r="AA638" s="287"/>
      <c r="AB638" s="288"/>
      <c r="AC638" s="288"/>
      <c r="AD638" s="288"/>
      <c r="AE638" s="288"/>
      <c r="AF638" s="288"/>
      <c r="AG638" s="288"/>
      <c r="AH638" s="288"/>
      <c r="AI638" s="288"/>
      <c r="AJ638" s="288"/>
      <c r="AK638" s="288"/>
      <c r="AL638" s="288"/>
      <c r="AM638" s="288"/>
      <c r="AN638" s="288"/>
      <c r="AO638" s="288"/>
      <c r="AP638" s="288"/>
      <c r="AQ638" s="288"/>
      <c r="AR638" s="288"/>
      <c r="AS638" s="288"/>
      <c r="AT638" s="288"/>
      <c r="AU638" s="288"/>
      <c r="AV638" s="288"/>
      <c r="AW638" s="288"/>
      <c r="AX638" s="288"/>
      <c r="AY638" s="288"/>
      <c r="AZ638" s="288"/>
    </row>
    <row r="639" spans="1:52" s="291" customFormat="1" ht="15.75">
      <c r="A639" s="297"/>
      <c r="B639" s="1256" t="s">
        <v>575</v>
      </c>
      <c r="C639" s="1256"/>
      <c r="D639" s="1256"/>
      <c r="E639" s="1256"/>
      <c r="F639" s="1256"/>
      <c r="G639" s="1256"/>
      <c r="H639" s="1256"/>
      <c r="I639" s="1256"/>
      <c r="J639" s="1256"/>
      <c r="K639" s="1256"/>
      <c r="L639" s="1256"/>
      <c r="M639" s="1256"/>
      <c r="N639" s="1256"/>
      <c r="O639" s="1256"/>
      <c r="P639" s="1256"/>
      <c r="Q639" s="1305" t="s">
        <v>572</v>
      </c>
      <c r="R639" s="1306"/>
      <c r="S639" s="1306"/>
      <c r="T639" s="1306"/>
      <c r="U639" s="1306"/>
      <c r="V639" s="1306"/>
      <c r="W639" s="1306"/>
      <c r="X639" s="1306"/>
      <c r="Y639" s="1306"/>
      <c r="Z639" s="1306"/>
      <c r="AA639" s="1306"/>
      <c r="AB639" s="1306"/>
      <c r="AC639" s="1306"/>
      <c r="AD639" s="1306"/>
      <c r="AE639" s="1306"/>
      <c r="AF639" s="1306"/>
      <c r="AG639" s="1306"/>
      <c r="AH639" s="1306"/>
      <c r="AI639" s="1306"/>
      <c r="AJ639" s="1306"/>
      <c r="AK639" s="1306"/>
      <c r="AL639" s="1306"/>
      <c r="AM639" s="1306"/>
      <c r="AN639" s="1306"/>
      <c r="AO639" s="1306"/>
      <c r="AP639" s="1306"/>
      <c r="AQ639" s="1306"/>
      <c r="AR639" s="1306"/>
      <c r="AS639" s="1306"/>
      <c r="AT639" s="1307"/>
      <c r="AU639" s="288"/>
      <c r="AV639" s="288"/>
      <c r="AW639" s="288"/>
      <c r="AX639" s="288"/>
      <c r="AY639" s="288"/>
      <c r="AZ639" s="288"/>
    </row>
    <row r="640" spans="1:52" s="291" customFormat="1" ht="15.75">
      <c r="A640" s="297"/>
      <c r="B640" s="1256"/>
      <c r="C640" s="1256"/>
      <c r="D640" s="1256"/>
      <c r="E640" s="1256"/>
      <c r="F640" s="1256"/>
      <c r="G640" s="1256"/>
      <c r="H640" s="1256"/>
      <c r="I640" s="1256"/>
      <c r="J640" s="1256"/>
      <c r="K640" s="1256"/>
      <c r="L640" s="1256"/>
      <c r="M640" s="1256"/>
      <c r="N640" s="1256"/>
      <c r="O640" s="1256"/>
      <c r="P640" s="1256"/>
      <c r="Q640" s="1221">
        <v>1</v>
      </c>
      <c r="R640" s="1221"/>
      <c r="S640" s="1221"/>
      <c r="T640" s="1305">
        <v>2</v>
      </c>
      <c r="U640" s="1306"/>
      <c r="V640" s="1307"/>
      <c r="W640" s="1221">
        <v>3</v>
      </c>
      <c r="X640" s="1221"/>
      <c r="Y640" s="1221"/>
      <c r="Z640" s="1221">
        <v>4</v>
      </c>
      <c r="AA640" s="1221"/>
      <c r="AB640" s="1221"/>
      <c r="AC640" s="1256">
        <v>5</v>
      </c>
      <c r="AD640" s="1256"/>
      <c r="AE640" s="1256"/>
      <c r="AF640" s="1256">
        <v>6</v>
      </c>
      <c r="AG640" s="1256"/>
      <c r="AH640" s="1256"/>
      <c r="AI640" s="1256">
        <v>7</v>
      </c>
      <c r="AJ640" s="1256"/>
      <c r="AK640" s="1256"/>
      <c r="AL640" s="1256">
        <v>8</v>
      </c>
      <c r="AM640" s="1256"/>
      <c r="AN640" s="1256"/>
      <c r="AO640" s="1256">
        <v>9</v>
      </c>
      <c r="AP640" s="1256"/>
      <c r="AQ640" s="1256"/>
      <c r="AR640" s="1256">
        <v>10</v>
      </c>
      <c r="AS640" s="1256"/>
      <c r="AT640" s="1256"/>
      <c r="AU640" s="288"/>
      <c r="AV640" s="288"/>
      <c r="AW640" s="288"/>
      <c r="AX640" s="288"/>
      <c r="AY640" s="288"/>
      <c r="AZ640" s="288"/>
    </row>
    <row r="641" spans="1:52" s="291" customFormat="1" ht="15.75">
      <c r="A641" s="297"/>
      <c r="B641" s="1344" t="s">
        <v>576</v>
      </c>
      <c r="C641" s="1345"/>
      <c r="D641" s="1345"/>
      <c r="E641" s="1345"/>
      <c r="F641" s="1345"/>
      <c r="G641" s="1346"/>
      <c r="H641" s="1322" t="s">
        <v>13</v>
      </c>
      <c r="I641" s="1322"/>
      <c r="J641" s="1322"/>
      <c r="K641" s="1322"/>
      <c r="L641" s="1322"/>
      <c r="M641" s="1322"/>
      <c r="N641" s="1322"/>
      <c r="O641" s="1322"/>
      <c r="P641" s="1322"/>
      <c r="Q641" s="1324">
        <f>DATOS!W192</f>
        <v>0</v>
      </c>
      <c r="R641" s="1324"/>
      <c r="S641" s="1324"/>
      <c r="T641" s="1324">
        <f>Q641</f>
        <v>0</v>
      </c>
      <c r="U641" s="1324"/>
      <c r="V641" s="1324"/>
      <c r="W641" s="1324">
        <f>T641</f>
        <v>0</v>
      </c>
      <c r="X641" s="1324"/>
      <c r="Y641" s="1324"/>
      <c r="Z641" s="1324">
        <f>W641</f>
        <v>0</v>
      </c>
      <c r="AA641" s="1324"/>
      <c r="AB641" s="1324"/>
      <c r="AC641" s="1324">
        <f>Z641</f>
        <v>0</v>
      </c>
      <c r="AD641" s="1324"/>
      <c r="AE641" s="1324"/>
      <c r="AF641" s="1324">
        <f>AC641</f>
        <v>0</v>
      </c>
      <c r="AG641" s="1324"/>
      <c r="AH641" s="1324"/>
      <c r="AI641" s="1324">
        <f>AF641</f>
        <v>0</v>
      </c>
      <c r="AJ641" s="1324"/>
      <c r="AK641" s="1324"/>
      <c r="AL641" s="1324">
        <f>AI641</f>
        <v>0</v>
      </c>
      <c r="AM641" s="1324"/>
      <c r="AN641" s="1324"/>
      <c r="AO641" s="1324">
        <f>AL641</f>
        <v>0</v>
      </c>
      <c r="AP641" s="1324"/>
      <c r="AQ641" s="1324"/>
      <c r="AR641" s="1324">
        <f>AO641</f>
        <v>0</v>
      </c>
      <c r="AS641" s="1324"/>
      <c r="AT641" s="1324"/>
      <c r="AU641" s="289"/>
      <c r="AV641" s="289"/>
      <c r="AW641" s="289"/>
      <c r="AX641" s="289"/>
      <c r="AY641" s="289"/>
      <c r="AZ641" s="289"/>
    </row>
    <row r="642" spans="1:52" s="291" customFormat="1" ht="15.75">
      <c r="A642" s="297"/>
      <c r="B642" s="1347"/>
      <c r="C642" s="1348"/>
      <c r="D642" s="1348"/>
      <c r="E642" s="1348"/>
      <c r="F642" s="1348"/>
      <c r="G642" s="1349"/>
      <c r="H642" s="1322" t="s">
        <v>24</v>
      </c>
      <c r="I642" s="1322"/>
      <c r="J642" s="1322"/>
      <c r="K642" s="1322"/>
      <c r="L642" s="1322"/>
      <c r="M642" s="1322"/>
      <c r="N642" s="1322"/>
      <c r="O642" s="1322"/>
      <c r="P642" s="1322"/>
      <c r="Q642" s="1324">
        <f>DATOS!W264</f>
        <v>0</v>
      </c>
      <c r="R642" s="1324"/>
      <c r="S642" s="1324"/>
      <c r="T642" s="1324">
        <f>Q642</f>
        <v>0</v>
      </c>
      <c r="U642" s="1324"/>
      <c r="V642" s="1324"/>
      <c r="W642" s="1324">
        <f>T642</f>
        <v>0</v>
      </c>
      <c r="X642" s="1324"/>
      <c r="Y642" s="1324"/>
      <c r="Z642" s="1324">
        <f>W642</f>
        <v>0</v>
      </c>
      <c r="AA642" s="1324"/>
      <c r="AB642" s="1324"/>
      <c r="AC642" s="1324">
        <f>Z642</f>
        <v>0</v>
      </c>
      <c r="AD642" s="1324"/>
      <c r="AE642" s="1324"/>
      <c r="AF642" s="1324">
        <f>AC642</f>
        <v>0</v>
      </c>
      <c r="AG642" s="1324"/>
      <c r="AH642" s="1324"/>
      <c r="AI642" s="1324">
        <f>AF642</f>
        <v>0</v>
      </c>
      <c r="AJ642" s="1324"/>
      <c r="AK642" s="1324"/>
      <c r="AL642" s="1324">
        <f>AI642</f>
        <v>0</v>
      </c>
      <c r="AM642" s="1324"/>
      <c r="AN642" s="1324"/>
      <c r="AO642" s="1324">
        <f>AL642</f>
        <v>0</v>
      </c>
      <c r="AP642" s="1324"/>
      <c r="AQ642" s="1324"/>
      <c r="AR642" s="1324">
        <f>AO642</f>
        <v>0</v>
      </c>
      <c r="AS642" s="1324"/>
      <c r="AT642" s="1324"/>
      <c r="AU642" s="289"/>
      <c r="AV642" s="289"/>
      <c r="AW642" s="289"/>
      <c r="AX642" s="289"/>
      <c r="AY642" s="289"/>
      <c r="AZ642" s="289"/>
    </row>
    <row r="643" spans="1:52" s="291" customFormat="1" ht="15.75">
      <c r="A643" s="297"/>
      <c r="B643" s="1347"/>
      <c r="C643" s="1348"/>
      <c r="D643" s="1348"/>
      <c r="E643" s="1348"/>
      <c r="F643" s="1348"/>
      <c r="G643" s="1349"/>
      <c r="H643" s="1325" t="s">
        <v>577</v>
      </c>
      <c r="I643" s="1326"/>
      <c r="J643" s="1326"/>
      <c r="K643" s="1326"/>
      <c r="L643" s="1326"/>
      <c r="M643" s="1326"/>
      <c r="N643" s="1326"/>
      <c r="O643" s="1326"/>
      <c r="P643" s="1327"/>
      <c r="Q643" s="1328">
        <f>+Q641+Q642</f>
        <v>0</v>
      </c>
      <c r="R643" s="1328"/>
      <c r="S643" s="1328"/>
      <c r="T643" s="1364">
        <f>+T641+T642</f>
        <v>0</v>
      </c>
      <c r="U643" s="1365"/>
      <c r="V643" s="1366"/>
      <c r="W643" s="1328">
        <f>+W641+W642</f>
        <v>0</v>
      </c>
      <c r="X643" s="1328"/>
      <c r="Y643" s="1328"/>
      <c r="Z643" s="1328">
        <f>+Z641+Z642</f>
        <v>0</v>
      </c>
      <c r="AA643" s="1328"/>
      <c r="AB643" s="1328"/>
      <c r="AC643" s="1360">
        <f>+AC641+AC642</f>
        <v>0</v>
      </c>
      <c r="AD643" s="1360"/>
      <c r="AE643" s="1360"/>
      <c r="AF643" s="1360">
        <f>+AF641+AF642</f>
        <v>0</v>
      </c>
      <c r="AG643" s="1360"/>
      <c r="AH643" s="1360"/>
      <c r="AI643" s="1360">
        <f>+AI641+AI642</f>
        <v>0</v>
      </c>
      <c r="AJ643" s="1360"/>
      <c r="AK643" s="1360"/>
      <c r="AL643" s="1360">
        <f>+AL641+AL642</f>
        <v>0</v>
      </c>
      <c r="AM643" s="1360"/>
      <c r="AN643" s="1360"/>
      <c r="AO643" s="1360">
        <f>+AO641+AO642</f>
        <v>0</v>
      </c>
      <c r="AP643" s="1360"/>
      <c r="AQ643" s="1360"/>
      <c r="AR643" s="1360">
        <f>+AR641+AR642</f>
        <v>0</v>
      </c>
      <c r="AS643" s="1360"/>
      <c r="AT643" s="1360"/>
      <c r="AU643" s="289"/>
      <c r="AV643" s="289"/>
      <c r="AW643" s="289"/>
      <c r="AX643" s="289"/>
      <c r="AY643" s="289"/>
      <c r="AZ643" s="289"/>
    </row>
    <row r="644" spans="1:52" s="291" customFormat="1" ht="15.75">
      <c r="A644" s="297"/>
      <c r="B644" s="1350"/>
      <c r="C644" s="1351"/>
      <c r="D644" s="1351"/>
      <c r="E644" s="1351"/>
      <c r="F644" s="1351"/>
      <c r="G644" s="1352"/>
      <c r="H644" s="1325" t="s">
        <v>578</v>
      </c>
      <c r="I644" s="1326"/>
      <c r="J644" s="1326"/>
      <c r="K644" s="1326"/>
      <c r="L644" s="1326"/>
      <c r="M644" s="1326"/>
      <c r="N644" s="1326"/>
      <c r="O644" s="1326"/>
      <c r="P644" s="1327"/>
      <c r="Q644" s="1355">
        <f>'Costos Alter.'!E80</f>
        <v>0</v>
      </c>
      <c r="R644" s="1355"/>
      <c r="S644" s="1355"/>
      <c r="T644" s="1355">
        <f>'Costos Alter.'!H80</f>
        <v>0</v>
      </c>
      <c r="U644" s="1355"/>
      <c r="V644" s="1355"/>
      <c r="W644" s="1355">
        <f>'Costos Alter.'!K80</f>
        <v>0</v>
      </c>
      <c r="X644" s="1355"/>
      <c r="Y644" s="1355"/>
      <c r="Z644" s="1355">
        <f>'Costos Alter.'!N80</f>
        <v>0</v>
      </c>
      <c r="AA644" s="1355"/>
      <c r="AB644" s="1355"/>
      <c r="AC644" s="1355">
        <f>'Costos Alter.'!Q80</f>
        <v>0</v>
      </c>
      <c r="AD644" s="1355"/>
      <c r="AE644" s="1355"/>
      <c r="AF644" s="1355">
        <f>'Costos Alter.'!T80</f>
        <v>0</v>
      </c>
      <c r="AG644" s="1355"/>
      <c r="AH644" s="1355"/>
      <c r="AI644" s="1355">
        <f>'Costos Alter.'!W80</f>
        <v>0</v>
      </c>
      <c r="AJ644" s="1355"/>
      <c r="AK644" s="1355"/>
      <c r="AL644" s="1355">
        <f>'Costos Alter.'!Z80</f>
        <v>0</v>
      </c>
      <c r="AM644" s="1355"/>
      <c r="AN644" s="1355"/>
      <c r="AO644" s="1355">
        <f>'Costos Alter.'!AC80</f>
        <v>0</v>
      </c>
      <c r="AP644" s="1355"/>
      <c r="AQ644" s="1355"/>
      <c r="AR644" s="1355">
        <f>'Costos Alter.'!AF80</f>
        <v>0</v>
      </c>
      <c r="AS644" s="1355"/>
      <c r="AT644" s="1355"/>
      <c r="AU644" s="289"/>
      <c r="AV644" s="289"/>
      <c r="AW644" s="289"/>
      <c r="AX644" s="289"/>
      <c r="AY644" s="289"/>
      <c r="AZ644" s="289"/>
    </row>
    <row r="645" spans="1:52" s="291" customFormat="1" ht="15.75">
      <c r="A645" s="297"/>
      <c r="B645" s="1362" t="s">
        <v>579</v>
      </c>
      <c r="C645" s="1362"/>
      <c r="D645" s="1362"/>
      <c r="E645" s="1362"/>
      <c r="F645" s="1362"/>
      <c r="G645" s="1362"/>
      <c r="H645" s="1329" t="s">
        <v>41</v>
      </c>
      <c r="I645" s="1329"/>
      <c r="J645" s="1329"/>
      <c r="K645" s="1329"/>
      <c r="L645" s="1329"/>
      <c r="M645" s="1329"/>
      <c r="N645" s="1329"/>
      <c r="O645" s="1329"/>
      <c r="P645" s="1329"/>
      <c r="Q645" s="1328">
        <f>+SUM(Q646:S651)</f>
        <v>0</v>
      </c>
      <c r="R645" s="1328"/>
      <c r="S645" s="1328"/>
      <c r="T645" s="1364">
        <f>+SUM(T646:V651)</f>
        <v>0</v>
      </c>
      <c r="U645" s="1365"/>
      <c r="V645" s="1366"/>
      <c r="W645" s="1328">
        <f>+SUM(W646:Y651)</f>
        <v>0</v>
      </c>
      <c r="X645" s="1328"/>
      <c r="Y645" s="1328"/>
      <c r="Z645" s="1328">
        <f>+SUM(Z646:AB651)</f>
        <v>0</v>
      </c>
      <c r="AA645" s="1328"/>
      <c r="AB645" s="1328"/>
      <c r="AC645" s="1360">
        <f>+SUM(AC646:AE651)</f>
        <v>0</v>
      </c>
      <c r="AD645" s="1360"/>
      <c r="AE645" s="1360"/>
      <c r="AF645" s="1360">
        <f>+SUM(AF646:AH651)</f>
        <v>0</v>
      </c>
      <c r="AG645" s="1360"/>
      <c r="AH645" s="1360"/>
      <c r="AI645" s="1360">
        <f>+SUM(AI646:AK651)</f>
        <v>0</v>
      </c>
      <c r="AJ645" s="1360"/>
      <c r="AK645" s="1360"/>
      <c r="AL645" s="1360">
        <f>+SUM(AL646:AN651)</f>
        <v>0</v>
      </c>
      <c r="AM645" s="1360"/>
      <c r="AN645" s="1360"/>
      <c r="AO645" s="1360">
        <f>+SUM(AO646:AQ651)</f>
        <v>0</v>
      </c>
      <c r="AP645" s="1360"/>
      <c r="AQ645" s="1360"/>
      <c r="AR645" s="1360">
        <f>+SUM(AR646:AT651)</f>
        <v>0</v>
      </c>
      <c r="AS645" s="1360"/>
      <c r="AT645" s="1360"/>
      <c r="AU645" s="289"/>
      <c r="AV645" s="289"/>
      <c r="AW645" s="289"/>
      <c r="AX645" s="289"/>
      <c r="AY645" s="289"/>
      <c r="AZ645" s="289"/>
    </row>
    <row r="646" spans="1:52" s="291" customFormat="1" ht="15.75">
      <c r="A646" s="297"/>
      <c r="B646" s="1362"/>
      <c r="C646" s="1362"/>
      <c r="D646" s="1362"/>
      <c r="E646" s="1362"/>
      <c r="F646" s="1362"/>
      <c r="G646" s="1362"/>
      <c r="H646" s="1322" t="s">
        <v>2233</v>
      </c>
      <c r="I646" s="1322"/>
      <c r="J646" s="1322"/>
      <c r="K646" s="1322"/>
      <c r="L646" s="1322"/>
      <c r="M646" s="1322"/>
      <c r="N646" s="1322"/>
      <c r="O646" s="1322"/>
      <c r="P646" s="1322"/>
      <c r="Q646" s="1302">
        <f>'O&amp;M'!C483</f>
        <v>0</v>
      </c>
      <c r="R646" s="1302"/>
      <c r="S646" s="1302"/>
      <c r="T646" s="1302">
        <f>'O&amp;M'!F483</f>
        <v>0</v>
      </c>
      <c r="U646" s="1302"/>
      <c r="V646" s="1302"/>
      <c r="W646" s="1302">
        <f>'O&amp;M'!I483</f>
        <v>0</v>
      </c>
      <c r="X646" s="1302"/>
      <c r="Y646" s="1302"/>
      <c r="Z646" s="1302">
        <f>'O&amp;M'!L483</f>
        <v>0</v>
      </c>
      <c r="AA646" s="1302"/>
      <c r="AB646" s="1302"/>
      <c r="AC646" s="1302">
        <f>'O&amp;M'!O483</f>
        <v>0</v>
      </c>
      <c r="AD646" s="1302"/>
      <c r="AE646" s="1302"/>
      <c r="AF646" s="1302">
        <f>'O&amp;M'!R483</f>
        <v>0</v>
      </c>
      <c r="AG646" s="1302"/>
      <c r="AH646" s="1302"/>
      <c r="AI646" s="1302">
        <f>'O&amp;M'!U483</f>
        <v>0</v>
      </c>
      <c r="AJ646" s="1302"/>
      <c r="AK646" s="1302"/>
      <c r="AL646" s="1302">
        <f>'O&amp;M'!X483</f>
        <v>0</v>
      </c>
      <c r="AM646" s="1302"/>
      <c r="AN646" s="1302"/>
      <c r="AO646" s="1302">
        <f>'O&amp;M'!AA483</f>
        <v>0</v>
      </c>
      <c r="AP646" s="1302"/>
      <c r="AQ646" s="1302"/>
      <c r="AR646" s="1302">
        <f>'O&amp;M'!AD483</f>
        <v>0</v>
      </c>
      <c r="AS646" s="1302"/>
      <c r="AT646" s="1302"/>
      <c r="AU646" s="289"/>
      <c r="AV646" s="289"/>
      <c r="AW646" s="289"/>
      <c r="AX646" s="289"/>
      <c r="AY646" s="289"/>
      <c r="AZ646" s="289"/>
    </row>
    <row r="647" spans="1:52" s="291" customFormat="1" ht="15.75">
      <c r="A647" s="297"/>
      <c r="B647" s="1362"/>
      <c r="C647" s="1362"/>
      <c r="D647" s="1362"/>
      <c r="E647" s="1362"/>
      <c r="F647" s="1362"/>
      <c r="G647" s="1362"/>
      <c r="H647" s="1322" t="s">
        <v>2234</v>
      </c>
      <c r="I647" s="1322"/>
      <c r="J647" s="1322"/>
      <c r="K647" s="1322"/>
      <c r="L647" s="1322"/>
      <c r="M647" s="1322"/>
      <c r="N647" s="1322"/>
      <c r="O647" s="1322"/>
      <c r="P647" s="1322"/>
      <c r="Q647" s="1302">
        <f>'O&amp;M'!C484</f>
        <v>0</v>
      </c>
      <c r="R647" s="1302"/>
      <c r="S647" s="1302"/>
      <c r="T647" s="1302">
        <f>'O&amp;M'!F484</f>
        <v>0</v>
      </c>
      <c r="U647" s="1302"/>
      <c r="V647" s="1302"/>
      <c r="W647" s="1302">
        <f>'O&amp;M'!I484</f>
        <v>0</v>
      </c>
      <c r="X647" s="1302"/>
      <c r="Y647" s="1302"/>
      <c r="Z647" s="1302">
        <f>'O&amp;M'!L484</f>
        <v>0</v>
      </c>
      <c r="AA647" s="1302"/>
      <c r="AB647" s="1302"/>
      <c r="AC647" s="1302">
        <f>'O&amp;M'!O484</f>
        <v>0</v>
      </c>
      <c r="AD647" s="1302"/>
      <c r="AE647" s="1302"/>
      <c r="AF647" s="1302">
        <f>'O&amp;M'!R484</f>
        <v>0</v>
      </c>
      <c r="AG647" s="1302"/>
      <c r="AH647" s="1302"/>
      <c r="AI647" s="1302">
        <f>'O&amp;M'!U484</f>
        <v>0</v>
      </c>
      <c r="AJ647" s="1302"/>
      <c r="AK647" s="1302"/>
      <c r="AL647" s="1302">
        <f>'O&amp;M'!X484</f>
        <v>0</v>
      </c>
      <c r="AM647" s="1302"/>
      <c r="AN647" s="1302"/>
      <c r="AO647" s="1302">
        <f>'O&amp;M'!AA484</f>
        <v>0</v>
      </c>
      <c r="AP647" s="1302"/>
      <c r="AQ647" s="1302"/>
      <c r="AR647" s="1302">
        <f>'O&amp;M'!AD484</f>
        <v>0</v>
      </c>
      <c r="AS647" s="1302"/>
      <c r="AT647" s="1302"/>
      <c r="AU647" s="289"/>
      <c r="AV647" s="289"/>
      <c r="AW647" s="289"/>
      <c r="AX647" s="289"/>
      <c r="AY647" s="289"/>
      <c r="AZ647" s="289"/>
    </row>
    <row r="648" spans="1:52" s="291" customFormat="1" ht="15.75">
      <c r="A648" s="297"/>
      <c r="B648" s="1362"/>
      <c r="C648" s="1362"/>
      <c r="D648" s="1362"/>
      <c r="E648" s="1362"/>
      <c r="F648" s="1362"/>
      <c r="G648" s="1362"/>
      <c r="H648" s="1322" t="s">
        <v>281</v>
      </c>
      <c r="I648" s="1322"/>
      <c r="J648" s="1322"/>
      <c r="K648" s="1322"/>
      <c r="L648" s="1322"/>
      <c r="M648" s="1322"/>
      <c r="N648" s="1322"/>
      <c r="O648" s="1322"/>
      <c r="P648" s="1322"/>
      <c r="Q648" s="1302">
        <f>'O&amp;M'!C485</f>
        <v>0</v>
      </c>
      <c r="R648" s="1302"/>
      <c r="S648" s="1302"/>
      <c r="T648" s="1302">
        <f>'O&amp;M'!F485</f>
        <v>0</v>
      </c>
      <c r="U648" s="1302"/>
      <c r="V648" s="1302"/>
      <c r="W648" s="1302">
        <f>'O&amp;M'!I485</f>
        <v>0</v>
      </c>
      <c r="X648" s="1302"/>
      <c r="Y648" s="1302"/>
      <c r="Z648" s="1302">
        <f>'O&amp;M'!L485</f>
        <v>0</v>
      </c>
      <c r="AA648" s="1302"/>
      <c r="AB648" s="1302"/>
      <c r="AC648" s="1302">
        <f>'O&amp;M'!O485</f>
        <v>0</v>
      </c>
      <c r="AD648" s="1302"/>
      <c r="AE648" s="1302"/>
      <c r="AF648" s="1302">
        <f>'O&amp;M'!R485</f>
        <v>0</v>
      </c>
      <c r="AG648" s="1302"/>
      <c r="AH648" s="1302"/>
      <c r="AI648" s="1302">
        <f>'O&amp;M'!U485</f>
        <v>0</v>
      </c>
      <c r="AJ648" s="1302"/>
      <c r="AK648" s="1302"/>
      <c r="AL648" s="1302">
        <f>'O&amp;M'!X485</f>
        <v>0</v>
      </c>
      <c r="AM648" s="1302"/>
      <c r="AN648" s="1302"/>
      <c r="AO648" s="1302">
        <f>'O&amp;M'!AA485</f>
        <v>0</v>
      </c>
      <c r="AP648" s="1302"/>
      <c r="AQ648" s="1302"/>
      <c r="AR648" s="1302">
        <f>'O&amp;M'!AD485</f>
        <v>0</v>
      </c>
      <c r="AS648" s="1302"/>
      <c r="AT648" s="1302"/>
      <c r="AU648" s="289"/>
      <c r="AV648" s="289"/>
      <c r="AW648" s="289"/>
      <c r="AX648" s="289"/>
      <c r="AY648" s="289"/>
      <c r="AZ648" s="289"/>
    </row>
    <row r="649" spans="1:52" s="291" customFormat="1" ht="15.75">
      <c r="A649" s="297"/>
      <c r="B649" s="1362"/>
      <c r="C649" s="1362"/>
      <c r="D649" s="1362"/>
      <c r="E649" s="1362"/>
      <c r="F649" s="1362"/>
      <c r="G649" s="1362"/>
      <c r="H649" s="1322" t="s">
        <v>17</v>
      </c>
      <c r="I649" s="1322"/>
      <c r="J649" s="1322"/>
      <c r="K649" s="1322"/>
      <c r="L649" s="1322"/>
      <c r="M649" s="1322"/>
      <c r="N649" s="1322"/>
      <c r="O649" s="1322"/>
      <c r="P649" s="1322"/>
      <c r="Q649" s="1302">
        <f>'O&amp;M'!C486</f>
        <v>0</v>
      </c>
      <c r="R649" s="1302"/>
      <c r="S649" s="1302"/>
      <c r="T649" s="1302">
        <f>'O&amp;M'!F486</f>
        <v>0</v>
      </c>
      <c r="U649" s="1302"/>
      <c r="V649" s="1302"/>
      <c r="W649" s="1302">
        <f>'O&amp;M'!I486</f>
        <v>0</v>
      </c>
      <c r="X649" s="1302"/>
      <c r="Y649" s="1302"/>
      <c r="Z649" s="1302">
        <f>'O&amp;M'!L486</f>
        <v>0</v>
      </c>
      <c r="AA649" s="1302"/>
      <c r="AB649" s="1302"/>
      <c r="AC649" s="1302">
        <f>'O&amp;M'!O486</f>
        <v>0</v>
      </c>
      <c r="AD649" s="1302"/>
      <c r="AE649" s="1302"/>
      <c r="AF649" s="1302">
        <f>'O&amp;M'!R486</f>
        <v>0</v>
      </c>
      <c r="AG649" s="1302"/>
      <c r="AH649" s="1302"/>
      <c r="AI649" s="1302">
        <f>'O&amp;M'!U486</f>
        <v>0</v>
      </c>
      <c r="AJ649" s="1302"/>
      <c r="AK649" s="1302"/>
      <c r="AL649" s="1302">
        <f>'O&amp;M'!X486</f>
        <v>0</v>
      </c>
      <c r="AM649" s="1302"/>
      <c r="AN649" s="1302"/>
      <c r="AO649" s="1302">
        <f>'O&amp;M'!AA486</f>
        <v>0</v>
      </c>
      <c r="AP649" s="1302"/>
      <c r="AQ649" s="1302"/>
      <c r="AR649" s="1302">
        <f>'O&amp;M'!AD486</f>
        <v>0</v>
      </c>
      <c r="AS649" s="1302"/>
      <c r="AT649" s="1302"/>
      <c r="AU649" s="289"/>
      <c r="AV649" s="289"/>
      <c r="AW649" s="289"/>
      <c r="AX649" s="289"/>
      <c r="AY649" s="289"/>
      <c r="AZ649" s="289"/>
    </row>
    <row r="650" spans="1:52" s="291" customFormat="1" ht="15.75">
      <c r="A650" s="297"/>
      <c r="B650" s="1362"/>
      <c r="C650" s="1362"/>
      <c r="D650" s="1362"/>
      <c r="E650" s="1362"/>
      <c r="F650" s="1362"/>
      <c r="G650" s="1362"/>
      <c r="H650" s="1322" t="s">
        <v>42</v>
      </c>
      <c r="I650" s="1322"/>
      <c r="J650" s="1322"/>
      <c r="K650" s="1322"/>
      <c r="L650" s="1322"/>
      <c r="M650" s="1322"/>
      <c r="N650" s="1322"/>
      <c r="O650" s="1322"/>
      <c r="P650" s="1322"/>
      <c r="Q650" s="1302">
        <f>'O&amp;M'!C487</f>
        <v>0</v>
      </c>
      <c r="R650" s="1302"/>
      <c r="S650" s="1302"/>
      <c r="T650" s="1302">
        <f>'O&amp;M'!F487</f>
        <v>0</v>
      </c>
      <c r="U650" s="1302"/>
      <c r="V650" s="1302"/>
      <c r="W650" s="1302">
        <f>'O&amp;M'!I487</f>
        <v>0</v>
      </c>
      <c r="X650" s="1302"/>
      <c r="Y650" s="1302"/>
      <c r="Z650" s="1302">
        <f>'O&amp;M'!L487</f>
        <v>0</v>
      </c>
      <c r="AA650" s="1302"/>
      <c r="AB650" s="1302"/>
      <c r="AC650" s="1302">
        <f>'O&amp;M'!O487</f>
        <v>0</v>
      </c>
      <c r="AD650" s="1302"/>
      <c r="AE650" s="1302"/>
      <c r="AF650" s="1302">
        <f>'O&amp;M'!R487</f>
        <v>0</v>
      </c>
      <c r="AG650" s="1302"/>
      <c r="AH650" s="1302"/>
      <c r="AI650" s="1302">
        <f>'O&amp;M'!U487</f>
        <v>0</v>
      </c>
      <c r="AJ650" s="1302"/>
      <c r="AK650" s="1302"/>
      <c r="AL650" s="1302">
        <f>'O&amp;M'!X487</f>
        <v>0</v>
      </c>
      <c r="AM650" s="1302"/>
      <c r="AN650" s="1302"/>
      <c r="AO650" s="1302">
        <f>'O&amp;M'!AA487</f>
        <v>0</v>
      </c>
      <c r="AP650" s="1302"/>
      <c r="AQ650" s="1302"/>
      <c r="AR650" s="1302">
        <f>'O&amp;M'!AD487</f>
        <v>0</v>
      </c>
      <c r="AS650" s="1302"/>
      <c r="AT650" s="1302"/>
      <c r="AU650" s="289"/>
      <c r="AV650" s="289"/>
      <c r="AW650" s="289"/>
      <c r="AX650" s="289"/>
      <c r="AY650" s="289"/>
      <c r="AZ650" s="289"/>
    </row>
    <row r="651" spans="1:52" s="291" customFormat="1" ht="15.75">
      <c r="A651" s="297"/>
      <c r="B651" s="1362"/>
      <c r="C651" s="1362"/>
      <c r="D651" s="1362"/>
      <c r="E651" s="1362"/>
      <c r="F651" s="1362"/>
      <c r="G651" s="1362"/>
      <c r="H651" s="1322" t="s">
        <v>2235</v>
      </c>
      <c r="I651" s="1322"/>
      <c r="J651" s="1322"/>
      <c r="K651" s="1322"/>
      <c r="L651" s="1322"/>
      <c r="M651" s="1322"/>
      <c r="N651" s="1322"/>
      <c r="O651" s="1322"/>
      <c r="P651" s="1322"/>
      <c r="Q651" s="1359"/>
      <c r="R651" s="1359"/>
      <c r="S651" s="1359"/>
      <c r="T651" s="1356"/>
      <c r="U651" s="1357"/>
      <c r="V651" s="1358"/>
      <c r="W651" s="1359"/>
      <c r="X651" s="1359"/>
      <c r="Y651" s="1359"/>
      <c r="Z651" s="1359"/>
      <c r="AA651" s="1359"/>
      <c r="AB651" s="1359"/>
      <c r="AC651" s="1361"/>
      <c r="AD651" s="1361"/>
      <c r="AE651" s="1361"/>
      <c r="AF651" s="1361"/>
      <c r="AG651" s="1361"/>
      <c r="AH651" s="1361"/>
      <c r="AI651" s="1361"/>
      <c r="AJ651" s="1361"/>
      <c r="AK651" s="1361"/>
      <c r="AL651" s="1361"/>
      <c r="AM651" s="1361"/>
      <c r="AN651" s="1361"/>
      <c r="AO651" s="1361"/>
      <c r="AP651" s="1361"/>
      <c r="AQ651" s="1361"/>
      <c r="AR651" s="1361"/>
      <c r="AS651" s="1361"/>
      <c r="AT651" s="1361"/>
      <c r="AU651" s="289"/>
      <c r="AV651" s="289"/>
      <c r="AW651" s="289"/>
      <c r="AX651" s="289"/>
      <c r="AY651" s="289"/>
      <c r="AZ651" s="289"/>
    </row>
    <row r="652" spans="1:52" s="291" customFormat="1" ht="15.75">
      <c r="A652" s="297"/>
      <c r="B652" s="1362"/>
      <c r="C652" s="1362"/>
      <c r="D652" s="1362"/>
      <c r="E652" s="1362"/>
      <c r="F652" s="1362"/>
      <c r="G652" s="1362"/>
      <c r="H652" s="1329" t="s">
        <v>43</v>
      </c>
      <c r="I652" s="1329"/>
      <c r="J652" s="1329"/>
      <c r="K652" s="1329"/>
      <c r="L652" s="1329"/>
      <c r="M652" s="1329"/>
      <c r="N652" s="1329"/>
      <c r="O652" s="1329"/>
      <c r="P652" s="1329"/>
      <c r="Q652" s="1328">
        <f>+Q653+Q654</f>
        <v>0</v>
      </c>
      <c r="R652" s="1328"/>
      <c r="S652" s="1328"/>
      <c r="T652" s="1364">
        <f>+T653+T654</f>
        <v>0</v>
      </c>
      <c r="U652" s="1365"/>
      <c r="V652" s="1366"/>
      <c r="W652" s="1328">
        <f>+W653+W654</f>
        <v>0</v>
      </c>
      <c r="X652" s="1328"/>
      <c r="Y652" s="1328"/>
      <c r="Z652" s="1328">
        <f>+Z653+Z654</f>
        <v>0</v>
      </c>
      <c r="AA652" s="1328"/>
      <c r="AB652" s="1328"/>
      <c r="AC652" s="1360">
        <f>+AC653+AC654</f>
        <v>0</v>
      </c>
      <c r="AD652" s="1360"/>
      <c r="AE652" s="1360"/>
      <c r="AF652" s="1360">
        <f>+AF653+AF654</f>
        <v>0</v>
      </c>
      <c r="AG652" s="1360"/>
      <c r="AH652" s="1360"/>
      <c r="AI652" s="1360">
        <f>+AI653+AI654</f>
        <v>0</v>
      </c>
      <c r="AJ652" s="1360"/>
      <c r="AK652" s="1360"/>
      <c r="AL652" s="1360">
        <f>+AL653+AL654</f>
        <v>0</v>
      </c>
      <c r="AM652" s="1360"/>
      <c r="AN652" s="1360"/>
      <c r="AO652" s="1360">
        <f>+AO653+AO654</f>
        <v>0</v>
      </c>
      <c r="AP652" s="1360"/>
      <c r="AQ652" s="1360"/>
      <c r="AR652" s="1360">
        <f>+AR653+AR654</f>
        <v>0</v>
      </c>
      <c r="AS652" s="1360"/>
      <c r="AT652" s="1360"/>
      <c r="AU652" s="289"/>
      <c r="AV652" s="289"/>
      <c r="AW652" s="289"/>
      <c r="AX652" s="289"/>
      <c r="AY652" s="289"/>
      <c r="AZ652" s="289"/>
    </row>
    <row r="653" spans="1:52" s="291" customFormat="1" ht="15.75">
      <c r="A653" s="297"/>
      <c r="B653" s="1362"/>
      <c r="C653" s="1362"/>
      <c r="D653" s="1362"/>
      <c r="E653" s="1362"/>
      <c r="F653" s="1362"/>
      <c r="G653" s="1362"/>
      <c r="H653" s="1322" t="s">
        <v>2236</v>
      </c>
      <c r="I653" s="1322"/>
      <c r="J653" s="1322"/>
      <c r="K653" s="1322"/>
      <c r="L653" s="1322"/>
      <c r="M653" s="1322"/>
      <c r="N653" s="1322"/>
      <c r="O653" s="1322"/>
      <c r="P653" s="1322"/>
      <c r="Q653" s="1302">
        <f>'O&amp;M'!C489</f>
        <v>0</v>
      </c>
      <c r="R653" s="1302"/>
      <c r="S653" s="1302"/>
      <c r="T653" s="1302">
        <f>'O&amp;M'!F489</f>
        <v>0</v>
      </c>
      <c r="U653" s="1302"/>
      <c r="V653" s="1302"/>
      <c r="W653" s="1302">
        <f>'O&amp;M'!I489</f>
        <v>0</v>
      </c>
      <c r="X653" s="1302"/>
      <c r="Y653" s="1302"/>
      <c r="Z653" s="1302">
        <f>'O&amp;M'!L489</f>
        <v>0</v>
      </c>
      <c r="AA653" s="1302"/>
      <c r="AB653" s="1302"/>
      <c r="AC653" s="1302">
        <f>'O&amp;M'!O489</f>
        <v>0</v>
      </c>
      <c r="AD653" s="1302"/>
      <c r="AE653" s="1302"/>
      <c r="AF653" s="1302">
        <f>'O&amp;M'!R489</f>
        <v>0</v>
      </c>
      <c r="AG653" s="1302"/>
      <c r="AH653" s="1302"/>
      <c r="AI653" s="1302">
        <f>'O&amp;M'!U489</f>
        <v>0</v>
      </c>
      <c r="AJ653" s="1302"/>
      <c r="AK653" s="1302"/>
      <c r="AL653" s="1302">
        <f>'O&amp;M'!X489</f>
        <v>0</v>
      </c>
      <c r="AM653" s="1302"/>
      <c r="AN653" s="1302"/>
      <c r="AO653" s="1302">
        <f>'O&amp;M'!AA489</f>
        <v>0</v>
      </c>
      <c r="AP653" s="1302"/>
      <c r="AQ653" s="1302"/>
      <c r="AR653" s="1302">
        <f>'O&amp;M'!AD489</f>
        <v>0</v>
      </c>
      <c r="AS653" s="1302"/>
      <c r="AT653" s="1302"/>
      <c r="AU653" s="289"/>
      <c r="AV653" s="289"/>
      <c r="AW653" s="289"/>
      <c r="AX653" s="289"/>
      <c r="AY653" s="289"/>
      <c r="AZ653" s="289"/>
    </row>
    <row r="654" spans="1:52" s="291" customFormat="1" ht="15.75">
      <c r="A654" s="297"/>
      <c r="B654" s="1362"/>
      <c r="C654" s="1362"/>
      <c r="D654" s="1362"/>
      <c r="E654" s="1362"/>
      <c r="F654" s="1362"/>
      <c r="G654" s="1362"/>
      <c r="H654" s="1322" t="s">
        <v>17</v>
      </c>
      <c r="I654" s="1322"/>
      <c r="J654" s="1322"/>
      <c r="K654" s="1322"/>
      <c r="L654" s="1322"/>
      <c r="M654" s="1322"/>
      <c r="N654" s="1322"/>
      <c r="O654" s="1322"/>
      <c r="P654" s="1322"/>
      <c r="Q654" s="1302">
        <f>'O&amp;M'!C490</f>
        <v>0</v>
      </c>
      <c r="R654" s="1302"/>
      <c r="S654" s="1302"/>
      <c r="T654" s="1302">
        <f>'O&amp;M'!F490</f>
        <v>0</v>
      </c>
      <c r="U654" s="1302"/>
      <c r="V654" s="1302"/>
      <c r="W654" s="1302">
        <f>'O&amp;M'!I490</f>
        <v>0</v>
      </c>
      <c r="X654" s="1302"/>
      <c r="Y654" s="1302"/>
      <c r="Z654" s="1302">
        <f>'O&amp;M'!L490</f>
        <v>0</v>
      </c>
      <c r="AA654" s="1302"/>
      <c r="AB654" s="1302"/>
      <c r="AC654" s="1302">
        <f>'O&amp;M'!O490</f>
        <v>0</v>
      </c>
      <c r="AD654" s="1302"/>
      <c r="AE654" s="1302"/>
      <c r="AF654" s="1302">
        <f>'O&amp;M'!R490</f>
        <v>0</v>
      </c>
      <c r="AG654" s="1302"/>
      <c r="AH654" s="1302"/>
      <c r="AI654" s="1302">
        <f>'O&amp;M'!U490</f>
        <v>0</v>
      </c>
      <c r="AJ654" s="1302"/>
      <c r="AK654" s="1302"/>
      <c r="AL654" s="1302">
        <f>'O&amp;M'!X490</f>
        <v>0</v>
      </c>
      <c r="AM654" s="1302"/>
      <c r="AN654" s="1302"/>
      <c r="AO654" s="1302">
        <f>'O&amp;M'!AA490</f>
        <v>0</v>
      </c>
      <c r="AP654" s="1302"/>
      <c r="AQ654" s="1302"/>
      <c r="AR654" s="1302">
        <f>'O&amp;M'!AD490</f>
        <v>0</v>
      </c>
      <c r="AS654" s="1302"/>
      <c r="AT654" s="1302"/>
      <c r="AU654" s="289"/>
      <c r="AV654" s="289"/>
      <c r="AW654" s="289"/>
      <c r="AX654" s="289"/>
      <c r="AY654" s="289"/>
      <c r="AZ654" s="289"/>
    </row>
    <row r="655" spans="1:52" s="291" customFormat="1" ht="15.75">
      <c r="A655" s="297"/>
      <c r="B655" s="1362"/>
      <c r="C655" s="1362"/>
      <c r="D655" s="1362"/>
      <c r="E655" s="1362"/>
      <c r="F655" s="1362"/>
      <c r="G655" s="1362"/>
      <c r="H655" s="1329" t="s">
        <v>577</v>
      </c>
      <c r="I655" s="1329"/>
      <c r="J655" s="1329"/>
      <c r="K655" s="1329"/>
      <c r="L655" s="1329"/>
      <c r="M655" s="1329"/>
      <c r="N655" s="1329"/>
      <c r="O655" s="1329"/>
      <c r="P655" s="1329"/>
      <c r="Q655" s="1328">
        <f>'O&amp;M'!C491</f>
        <v>0</v>
      </c>
      <c r="R655" s="1328"/>
      <c r="S655" s="1328"/>
      <c r="T655" s="1328">
        <f>'O&amp;M'!F491</f>
        <v>0</v>
      </c>
      <c r="U655" s="1328"/>
      <c r="V655" s="1328"/>
      <c r="W655" s="1328">
        <f>'O&amp;M'!I491</f>
        <v>0</v>
      </c>
      <c r="X655" s="1328"/>
      <c r="Y655" s="1328"/>
      <c r="Z655" s="1328">
        <f>'O&amp;M'!L491</f>
        <v>0</v>
      </c>
      <c r="AA655" s="1328"/>
      <c r="AB655" s="1328"/>
      <c r="AC655" s="1328">
        <f>'O&amp;M'!O491</f>
        <v>0</v>
      </c>
      <c r="AD655" s="1328"/>
      <c r="AE655" s="1328"/>
      <c r="AF655" s="1328">
        <f>'O&amp;M'!R491</f>
        <v>0</v>
      </c>
      <c r="AG655" s="1328"/>
      <c r="AH655" s="1328"/>
      <c r="AI655" s="1328">
        <f>'O&amp;M'!U491</f>
        <v>0</v>
      </c>
      <c r="AJ655" s="1328"/>
      <c r="AK655" s="1328"/>
      <c r="AL655" s="1328">
        <f>'O&amp;M'!X491</f>
        <v>0</v>
      </c>
      <c r="AM655" s="1328"/>
      <c r="AN655" s="1328"/>
      <c r="AO655" s="1328">
        <f>'O&amp;M'!AA491</f>
        <v>0</v>
      </c>
      <c r="AP655" s="1328"/>
      <c r="AQ655" s="1328"/>
      <c r="AR655" s="1328">
        <f>'O&amp;M'!AD491</f>
        <v>0</v>
      </c>
      <c r="AS655" s="1328"/>
      <c r="AT655" s="1328"/>
      <c r="AU655" s="289"/>
      <c r="AV655" s="289"/>
      <c r="AW655" s="289"/>
      <c r="AX655" s="289"/>
      <c r="AY655" s="289"/>
      <c r="AZ655" s="289"/>
    </row>
    <row r="656" spans="1:52" s="291" customFormat="1" ht="15.75">
      <c r="A656" s="297"/>
      <c r="B656" s="1362"/>
      <c r="C656" s="1362"/>
      <c r="D656" s="1362"/>
      <c r="E656" s="1362"/>
      <c r="F656" s="1362"/>
      <c r="G656" s="1362"/>
      <c r="H656" s="1329" t="s">
        <v>578</v>
      </c>
      <c r="I656" s="1329"/>
      <c r="J656" s="1329"/>
      <c r="K656" s="1329"/>
      <c r="L656" s="1329"/>
      <c r="M656" s="1329"/>
      <c r="N656" s="1329"/>
      <c r="O656" s="1329"/>
      <c r="P656" s="1329"/>
      <c r="Q656" s="1355">
        <f>Q655*'Costos Alter.'!$D$99</f>
        <v>0</v>
      </c>
      <c r="R656" s="1355"/>
      <c r="S656" s="1355"/>
      <c r="T656" s="1355">
        <f>T655*'Costos Alter.'!$D$99</f>
        <v>0</v>
      </c>
      <c r="U656" s="1355"/>
      <c r="V656" s="1355"/>
      <c r="W656" s="1355">
        <f>W655*'Costos Alter.'!$D$99</f>
        <v>0</v>
      </c>
      <c r="X656" s="1355"/>
      <c r="Y656" s="1355"/>
      <c r="Z656" s="1355">
        <f>Z655*'Costos Alter.'!$D$99</f>
        <v>0</v>
      </c>
      <c r="AA656" s="1355"/>
      <c r="AB656" s="1355"/>
      <c r="AC656" s="1355">
        <f>AC655*'Costos Alter.'!$D$99</f>
        <v>0</v>
      </c>
      <c r="AD656" s="1355"/>
      <c r="AE656" s="1355"/>
      <c r="AF656" s="1355">
        <f>AF655*'Costos Alter.'!$D$99</f>
        <v>0</v>
      </c>
      <c r="AG656" s="1355"/>
      <c r="AH656" s="1355"/>
      <c r="AI656" s="1355">
        <f>AI655*'Costos Alter.'!$D$99</f>
        <v>0</v>
      </c>
      <c r="AJ656" s="1355"/>
      <c r="AK656" s="1355"/>
      <c r="AL656" s="1355">
        <f>AL655*'Costos Alter.'!$D$99</f>
        <v>0</v>
      </c>
      <c r="AM656" s="1355"/>
      <c r="AN656" s="1355"/>
      <c r="AO656" s="1355">
        <f>AO655*'Costos Alter.'!$D$99</f>
        <v>0</v>
      </c>
      <c r="AP656" s="1355"/>
      <c r="AQ656" s="1355"/>
      <c r="AR656" s="1355">
        <f>AR655*'Costos Alter.'!$D$99</f>
        <v>0</v>
      </c>
      <c r="AS656" s="1355"/>
      <c r="AT656" s="1355"/>
      <c r="AU656" s="289"/>
      <c r="AV656" s="289"/>
      <c r="AW656" s="289"/>
      <c r="AX656" s="289"/>
      <c r="AY656" s="289"/>
      <c r="AZ656" s="289"/>
    </row>
    <row r="657" spans="1:52" s="291" customFormat="1" ht="15.75">
      <c r="A657" s="297"/>
      <c r="B657" s="486"/>
      <c r="C657" s="486"/>
      <c r="D657" s="486"/>
      <c r="E657" s="486"/>
      <c r="F657" s="486"/>
      <c r="G657" s="486"/>
      <c r="H657" s="486"/>
      <c r="I657" s="486"/>
      <c r="J657" s="486"/>
      <c r="K657" s="486"/>
      <c r="L657" s="486"/>
      <c r="M657" s="486"/>
      <c r="N657" s="486"/>
      <c r="O657" s="486"/>
      <c r="P657" s="486"/>
      <c r="Q657" s="343"/>
      <c r="R657" s="343"/>
      <c r="S657" s="343"/>
      <c r="T657" s="343"/>
      <c r="U657" s="344"/>
      <c r="V657" s="344"/>
      <c r="W657" s="344"/>
      <c r="X657" s="344"/>
      <c r="Y657" s="343"/>
      <c r="Z657" s="343"/>
      <c r="AA657" s="343"/>
      <c r="AB657" s="344"/>
      <c r="AC657" s="344"/>
      <c r="AD657" s="344"/>
      <c r="AE657" s="344"/>
      <c r="AF657" s="344"/>
      <c r="AG657" s="344"/>
      <c r="AH657" s="344"/>
      <c r="AI657" s="344"/>
      <c r="AJ657" s="344"/>
      <c r="AK657" s="344"/>
      <c r="AL657" s="344"/>
      <c r="AM657" s="344"/>
      <c r="AN657" s="344"/>
      <c r="AO657" s="344"/>
      <c r="AP657" s="344"/>
      <c r="AQ657" s="344"/>
      <c r="AR657" s="344"/>
      <c r="AS657" s="344"/>
      <c r="AT657" s="344"/>
      <c r="AU657" s="289"/>
      <c r="AV657" s="289"/>
      <c r="AW657" s="289"/>
      <c r="AX657" s="289"/>
      <c r="AY657" s="289"/>
      <c r="AZ657" s="289"/>
    </row>
    <row r="658" spans="1:52" s="291" customFormat="1" ht="26.25" customHeight="1">
      <c r="A658" s="297"/>
      <c r="B658" s="1336" t="s">
        <v>2579</v>
      </c>
      <c r="C658" s="1336"/>
      <c r="D658" s="1336"/>
      <c r="E658" s="1336"/>
      <c r="F658" s="1336"/>
      <c r="G658" s="1336"/>
      <c r="H658" s="1336"/>
      <c r="I658" s="1336"/>
      <c r="J658" s="1336"/>
      <c r="K658" s="1336"/>
      <c r="L658" s="1336"/>
      <c r="M658" s="1336"/>
      <c r="N658" s="1336"/>
      <c r="O658" s="1257" t="s">
        <v>558</v>
      </c>
      <c r="P658" s="1257"/>
      <c r="Q658" s="1257"/>
      <c r="R658" s="1565" t="s">
        <v>3252</v>
      </c>
      <c r="S658" s="1566"/>
      <c r="T658" s="1567"/>
      <c r="U658" s="344"/>
      <c r="V658" s="344"/>
      <c r="W658" s="344"/>
      <c r="X658" s="344"/>
      <c r="Y658" s="343"/>
      <c r="Z658" s="343"/>
      <c r="AA658" s="343"/>
      <c r="AB658" s="344"/>
      <c r="AC658" s="344"/>
      <c r="AD658" s="344"/>
      <c r="AE658" s="344"/>
      <c r="AF658" s="344"/>
      <c r="AG658" s="344"/>
      <c r="AH658" s="344"/>
      <c r="AI658" s="344"/>
      <c r="AJ658" s="344"/>
      <c r="AK658" s="344"/>
      <c r="AL658" s="344"/>
      <c r="AM658" s="344"/>
      <c r="AN658" s="344"/>
      <c r="AO658" s="344"/>
      <c r="AP658" s="344"/>
      <c r="AQ658" s="344"/>
      <c r="AR658" s="344"/>
      <c r="AS658" s="344"/>
      <c r="AT658" s="344"/>
      <c r="AU658" s="289"/>
      <c r="AV658" s="289"/>
      <c r="AW658" s="289"/>
      <c r="AX658" s="289"/>
      <c r="AY658" s="289"/>
      <c r="AZ658" s="289"/>
    </row>
    <row r="659" spans="1:52" s="291" customFormat="1" ht="15.75">
      <c r="A659" s="297"/>
      <c r="B659" s="486"/>
      <c r="C659" s="486"/>
      <c r="D659" s="486"/>
      <c r="E659" s="486"/>
      <c r="F659" s="486"/>
      <c r="G659" s="486"/>
      <c r="H659" s="486"/>
      <c r="I659" s="486"/>
      <c r="J659" s="486"/>
      <c r="K659" s="486"/>
      <c r="L659" s="486"/>
      <c r="M659" s="486"/>
      <c r="N659" s="486"/>
      <c r="O659" s="486"/>
      <c r="P659" s="486"/>
      <c r="Q659" s="488"/>
      <c r="R659" s="488"/>
      <c r="S659" s="287"/>
      <c r="T659" s="287"/>
      <c r="U659" s="288"/>
      <c r="V659" s="288"/>
      <c r="W659" s="288"/>
      <c r="X659" s="288"/>
      <c r="Y659" s="287"/>
      <c r="Z659" s="287"/>
      <c r="AA659" s="287"/>
      <c r="AB659" s="288"/>
      <c r="AC659" s="288"/>
      <c r="AD659" s="288"/>
      <c r="AE659" s="288"/>
      <c r="AF659" s="288"/>
      <c r="AG659" s="288"/>
      <c r="AH659" s="288"/>
      <c r="AI659" s="288"/>
      <c r="AJ659" s="288"/>
      <c r="AK659" s="288"/>
      <c r="AL659" s="288"/>
      <c r="AM659" s="288"/>
      <c r="AN659" s="288"/>
      <c r="AO659" s="288"/>
      <c r="AP659" s="288"/>
      <c r="AQ659" s="288"/>
      <c r="AR659" s="288"/>
      <c r="AS659" s="288"/>
      <c r="AT659" s="288"/>
      <c r="AU659" s="288"/>
      <c r="AV659" s="288"/>
      <c r="AW659" s="288"/>
      <c r="AX659" s="288"/>
      <c r="AY659" s="288"/>
      <c r="AZ659" s="288"/>
    </row>
    <row r="660" spans="1:52" s="291" customFormat="1" ht="15.75">
      <c r="A660" s="297"/>
      <c r="B660" s="1246" t="s">
        <v>2596</v>
      </c>
      <c r="C660" s="1246"/>
      <c r="D660" s="1246"/>
      <c r="E660" s="1246"/>
      <c r="F660" s="1246"/>
      <c r="G660" s="1246"/>
      <c r="H660" s="1246"/>
      <c r="I660" s="1246"/>
      <c r="J660" s="1246"/>
      <c r="K660" s="1246"/>
      <c r="L660" s="1246"/>
      <c r="M660" s="1246"/>
      <c r="N660" s="1246"/>
      <c r="O660" s="1246"/>
      <c r="P660" s="1246"/>
      <c r="Q660" s="1246"/>
      <c r="R660" s="1246"/>
      <c r="S660" s="1246"/>
      <c r="T660" s="1246"/>
      <c r="U660" s="1246"/>
      <c r="V660" s="1246"/>
      <c r="W660" s="1246"/>
      <c r="X660" s="1246"/>
      <c r="Y660" s="1246"/>
      <c r="Z660" s="1246"/>
      <c r="AA660" s="1246"/>
      <c r="AB660" s="1246"/>
      <c r="AC660" s="1246"/>
      <c r="AD660" s="1246"/>
      <c r="AE660" s="1246"/>
      <c r="AF660" s="1246"/>
      <c r="AG660" s="1246"/>
      <c r="AH660" s="1246"/>
      <c r="AI660" s="1246"/>
      <c r="AJ660" s="1246"/>
      <c r="AK660" s="1246"/>
      <c r="AL660" s="1246"/>
      <c r="AM660" s="1246"/>
      <c r="AN660" s="1246"/>
      <c r="AO660" s="1246"/>
      <c r="AP660" s="1246"/>
      <c r="AQ660" s="1246"/>
      <c r="AR660" s="1246"/>
      <c r="AS660" s="1246"/>
      <c r="AT660" s="1246"/>
      <c r="AU660" s="1246"/>
      <c r="AV660" s="1246"/>
      <c r="AW660" s="1246"/>
      <c r="AX660" s="1246"/>
      <c r="AY660" s="1246"/>
      <c r="AZ660" s="1246"/>
    </row>
    <row r="661" spans="1:52" s="291" customFormat="1" ht="15.75">
      <c r="A661" s="297"/>
      <c r="B661" s="1246" t="s">
        <v>2580</v>
      </c>
      <c r="C661" s="1246"/>
      <c r="D661" s="1246"/>
      <c r="E661" s="1246"/>
      <c r="F661" s="1246"/>
      <c r="G661" s="1246"/>
      <c r="H661" s="1246"/>
      <c r="I661" s="1246"/>
      <c r="J661" s="1246"/>
      <c r="K661" s="1246"/>
      <c r="L661" s="1246"/>
      <c r="M661" s="1246"/>
      <c r="N661" s="486"/>
      <c r="O661" s="486"/>
      <c r="P661" s="486"/>
      <c r="Q661" s="488"/>
      <c r="R661" s="488"/>
      <c r="S661" s="287"/>
      <c r="T661" s="287"/>
      <c r="U661" s="288"/>
      <c r="V661" s="288"/>
      <c r="W661" s="288"/>
      <c r="X661" s="288"/>
      <c r="Y661" s="287"/>
      <c r="Z661" s="287"/>
      <c r="AA661" s="287"/>
      <c r="AB661" s="288"/>
      <c r="AC661" s="288"/>
      <c r="AD661" s="288"/>
      <c r="AE661" s="288"/>
      <c r="AF661" s="288"/>
      <c r="AG661" s="288"/>
      <c r="AH661" s="288"/>
      <c r="AI661" s="288"/>
      <c r="AJ661" s="288"/>
      <c r="AK661" s="288"/>
      <c r="AL661" s="288"/>
      <c r="AM661" s="288"/>
      <c r="AN661" s="288"/>
      <c r="AO661" s="288"/>
      <c r="AP661" s="288"/>
      <c r="AQ661" s="288"/>
      <c r="AR661" s="288"/>
      <c r="AS661" s="288"/>
      <c r="AT661" s="288"/>
      <c r="AU661" s="288"/>
      <c r="AV661" s="288"/>
      <c r="AW661" s="288"/>
      <c r="AX661" s="288"/>
      <c r="AY661" s="288"/>
      <c r="AZ661" s="288"/>
    </row>
    <row r="662" spans="1:52" s="291" customFormat="1" ht="15" customHeight="1">
      <c r="A662" s="297"/>
      <c r="B662" s="1256" t="s">
        <v>608</v>
      </c>
      <c r="C662" s="1256"/>
      <c r="D662" s="1256"/>
      <c r="E662" s="1256"/>
      <c r="F662" s="1256"/>
      <c r="G662" s="1256"/>
      <c r="H662" s="1256"/>
      <c r="I662" s="1256"/>
      <c r="J662" s="1256"/>
      <c r="K662" s="1256"/>
      <c r="L662" s="1256"/>
      <c r="M662" s="1256"/>
      <c r="N662" s="1256"/>
      <c r="O662" s="1256"/>
      <c r="P662" s="1256"/>
      <c r="Q662" s="1305" t="s">
        <v>572</v>
      </c>
      <c r="R662" s="1306"/>
      <c r="S662" s="1306"/>
      <c r="T662" s="1306"/>
      <c r="U662" s="1306"/>
      <c r="V662" s="1306"/>
      <c r="W662" s="1306"/>
      <c r="X662" s="1306"/>
      <c r="Y662" s="1306"/>
      <c r="Z662" s="1306"/>
      <c r="AA662" s="1306"/>
      <c r="AB662" s="1306"/>
      <c r="AC662" s="1306"/>
      <c r="AD662" s="1306"/>
      <c r="AE662" s="1306"/>
      <c r="AF662" s="1306"/>
      <c r="AG662" s="1306"/>
      <c r="AH662" s="1306"/>
      <c r="AI662" s="1306"/>
      <c r="AJ662" s="1306"/>
      <c r="AK662" s="1306"/>
      <c r="AL662" s="1306"/>
      <c r="AM662" s="1306"/>
      <c r="AN662" s="1306"/>
      <c r="AO662" s="1306"/>
      <c r="AP662" s="1306"/>
      <c r="AQ662" s="1306"/>
      <c r="AR662" s="1306"/>
      <c r="AS662" s="1306"/>
      <c r="AT662" s="1307"/>
      <c r="AU662" s="288"/>
      <c r="AV662" s="288"/>
      <c r="AW662" s="288"/>
      <c r="AX662" s="288"/>
      <c r="AY662" s="288"/>
      <c r="AZ662" s="288"/>
    </row>
    <row r="663" spans="1:52" s="291" customFormat="1" ht="15.75">
      <c r="A663" s="297"/>
      <c r="B663" s="1256"/>
      <c r="C663" s="1256"/>
      <c r="D663" s="1256"/>
      <c r="E663" s="1256"/>
      <c r="F663" s="1256"/>
      <c r="G663" s="1256"/>
      <c r="H663" s="1256"/>
      <c r="I663" s="1256"/>
      <c r="J663" s="1256"/>
      <c r="K663" s="1256"/>
      <c r="L663" s="1256"/>
      <c r="M663" s="1256"/>
      <c r="N663" s="1256"/>
      <c r="O663" s="1256"/>
      <c r="P663" s="1256"/>
      <c r="Q663" s="1305">
        <v>1</v>
      </c>
      <c r="R663" s="1306"/>
      <c r="S663" s="1307"/>
      <c r="T663" s="1305">
        <v>2</v>
      </c>
      <c r="U663" s="1306"/>
      <c r="V663" s="1307"/>
      <c r="W663" s="1305">
        <v>3</v>
      </c>
      <c r="X663" s="1306"/>
      <c r="Y663" s="1307"/>
      <c r="Z663" s="1305">
        <v>4</v>
      </c>
      <c r="AA663" s="1306"/>
      <c r="AB663" s="1307"/>
      <c r="AC663" s="1305">
        <v>5</v>
      </c>
      <c r="AD663" s="1306"/>
      <c r="AE663" s="1307"/>
      <c r="AF663" s="1305">
        <v>6</v>
      </c>
      <c r="AG663" s="1306"/>
      <c r="AH663" s="1307"/>
      <c r="AI663" s="1305">
        <v>7</v>
      </c>
      <c r="AJ663" s="1306"/>
      <c r="AK663" s="1307"/>
      <c r="AL663" s="1305">
        <v>8</v>
      </c>
      <c r="AM663" s="1306"/>
      <c r="AN663" s="1307"/>
      <c r="AO663" s="1305">
        <v>9</v>
      </c>
      <c r="AP663" s="1306"/>
      <c r="AQ663" s="1307"/>
      <c r="AR663" s="1305">
        <v>10</v>
      </c>
      <c r="AS663" s="1306"/>
      <c r="AT663" s="1307"/>
      <c r="AU663" s="321"/>
      <c r="AV663" s="321"/>
      <c r="AW663" s="321"/>
      <c r="AX663" s="288"/>
      <c r="AY663" s="288"/>
      <c r="AZ663" s="288"/>
    </row>
    <row r="664" spans="1:52" s="291" customFormat="1" ht="15" customHeight="1">
      <c r="A664" s="297"/>
      <c r="B664" s="1322" t="s">
        <v>2582</v>
      </c>
      <c r="C664" s="1322"/>
      <c r="D664" s="1322"/>
      <c r="E664" s="1322"/>
      <c r="F664" s="1322"/>
      <c r="G664" s="1322"/>
      <c r="H664" s="1322"/>
      <c r="I664" s="1322"/>
      <c r="J664" s="1322"/>
      <c r="K664" s="1322"/>
      <c r="L664" s="1322"/>
      <c r="M664" s="1322"/>
      <c r="N664" s="1322"/>
      <c r="O664" s="1322"/>
      <c r="P664" s="1322"/>
      <c r="Q664" s="1507">
        <f>'Costos Alter.'!F29</f>
        <v>0</v>
      </c>
      <c r="R664" s="1563"/>
      <c r="S664" s="1564"/>
      <c r="T664" s="1507">
        <f>'Costos Alter.'!I29</f>
        <v>0</v>
      </c>
      <c r="U664" s="1563"/>
      <c r="V664" s="1564"/>
      <c r="W664" s="1507">
        <f>'Costos Alter.'!L29</f>
        <v>0</v>
      </c>
      <c r="X664" s="1563"/>
      <c r="Y664" s="1564"/>
      <c r="Z664" s="1507">
        <f>'Costos Alter.'!O29</f>
        <v>0</v>
      </c>
      <c r="AA664" s="1563"/>
      <c r="AB664" s="1564"/>
      <c r="AC664" s="1507">
        <f>'Costos Alter.'!R29</f>
        <v>0</v>
      </c>
      <c r="AD664" s="1563"/>
      <c r="AE664" s="1564"/>
      <c r="AF664" s="1507">
        <f>'Costos Alter.'!U29</f>
        <v>0</v>
      </c>
      <c r="AG664" s="1563"/>
      <c r="AH664" s="1564"/>
      <c r="AI664" s="1507">
        <f>'Costos Alter.'!X29</f>
        <v>0</v>
      </c>
      <c r="AJ664" s="1563"/>
      <c r="AK664" s="1564"/>
      <c r="AL664" s="1507">
        <f>'Costos Alter.'!AA29</f>
        <v>0</v>
      </c>
      <c r="AM664" s="1563"/>
      <c r="AN664" s="1564"/>
      <c r="AO664" s="1507">
        <f>'Costos Alter.'!AD29</f>
        <v>0</v>
      </c>
      <c r="AP664" s="1563"/>
      <c r="AQ664" s="1564"/>
      <c r="AR664" s="1507">
        <f>'Costos Alter.'!AG29</f>
        <v>0</v>
      </c>
      <c r="AS664" s="1563"/>
      <c r="AT664" s="1564"/>
      <c r="AU664" s="321"/>
      <c r="AV664" s="321"/>
      <c r="AW664" s="321"/>
      <c r="AX664" s="288"/>
      <c r="AY664" s="288"/>
      <c r="AZ664" s="288"/>
    </row>
    <row r="665" spans="1:52" s="291" customFormat="1" ht="15" customHeight="1">
      <c r="A665" s="297"/>
      <c r="B665" s="1322" t="s">
        <v>2581</v>
      </c>
      <c r="C665" s="1322"/>
      <c r="D665" s="1322"/>
      <c r="E665" s="1322"/>
      <c r="F665" s="1322"/>
      <c r="G665" s="1322"/>
      <c r="H665" s="1322"/>
      <c r="I665" s="1322"/>
      <c r="J665" s="1322"/>
      <c r="K665" s="1322"/>
      <c r="L665" s="1322"/>
      <c r="M665" s="1322"/>
      <c r="N665" s="1322"/>
      <c r="O665" s="1322"/>
      <c r="P665" s="1322"/>
      <c r="Q665" s="1507">
        <f>'Costos Alter.'!F30</f>
        <v>0</v>
      </c>
      <c r="R665" s="1563"/>
      <c r="S665" s="1564"/>
      <c r="T665" s="1507">
        <f>'Costos Alter.'!I30</f>
        <v>0</v>
      </c>
      <c r="U665" s="1563"/>
      <c r="V665" s="1564"/>
      <c r="W665" s="1507">
        <f>'Costos Alter.'!L30</f>
        <v>0</v>
      </c>
      <c r="X665" s="1563"/>
      <c r="Y665" s="1564"/>
      <c r="Z665" s="1507">
        <f>'Costos Alter.'!O30</f>
        <v>0</v>
      </c>
      <c r="AA665" s="1563"/>
      <c r="AB665" s="1564"/>
      <c r="AC665" s="1507">
        <f>'Costos Alter.'!R30</f>
        <v>0</v>
      </c>
      <c r="AD665" s="1563"/>
      <c r="AE665" s="1564"/>
      <c r="AF665" s="1507">
        <f>'Costos Alter.'!U30</f>
        <v>0</v>
      </c>
      <c r="AG665" s="1563"/>
      <c r="AH665" s="1564"/>
      <c r="AI665" s="1507">
        <f>'Costos Alter.'!X30</f>
        <v>0</v>
      </c>
      <c r="AJ665" s="1563"/>
      <c r="AK665" s="1564"/>
      <c r="AL665" s="1507">
        <f>'Costos Alter.'!AA30</f>
        <v>0</v>
      </c>
      <c r="AM665" s="1563"/>
      <c r="AN665" s="1564"/>
      <c r="AO665" s="1507">
        <f>'Costos Alter.'!AD30</f>
        <v>0</v>
      </c>
      <c r="AP665" s="1563"/>
      <c r="AQ665" s="1564"/>
      <c r="AR665" s="1507">
        <f>'Costos Alter.'!AG30</f>
        <v>0</v>
      </c>
      <c r="AS665" s="1563"/>
      <c r="AT665" s="1564"/>
      <c r="AU665" s="321"/>
      <c r="AV665" s="321"/>
      <c r="AW665" s="321"/>
      <c r="AX665" s="288"/>
      <c r="AY665" s="288"/>
      <c r="AZ665" s="288"/>
    </row>
    <row r="666" spans="1:52" s="291" customFormat="1" ht="15" customHeight="1">
      <c r="A666" s="297"/>
      <c r="B666" s="1329" t="s">
        <v>161</v>
      </c>
      <c r="C666" s="1329"/>
      <c r="D666" s="1329"/>
      <c r="E666" s="1329"/>
      <c r="F666" s="1329"/>
      <c r="G666" s="1329"/>
      <c r="H666" s="1329"/>
      <c r="I666" s="1329"/>
      <c r="J666" s="1329"/>
      <c r="K666" s="1329"/>
      <c r="L666" s="1329"/>
      <c r="M666" s="1329"/>
      <c r="N666" s="1329"/>
      <c r="O666" s="1329"/>
      <c r="P666" s="1329"/>
      <c r="Q666" s="1364">
        <f>+Q664-Q665</f>
        <v>0</v>
      </c>
      <c r="R666" s="1365"/>
      <c r="S666" s="1366"/>
      <c r="T666" s="1364">
        <f>+T664-T665</f>
        <v>0</v>
      </c>
      <c r="U666" s="1365"/>
      <c r="V666" s="1366"/>
      <c r="W666" s="1364">
        <f>+W664-W665</f>
        <v>0</v>
      </c>
      <c r="X666" s="1365"/>
      <c r="Y666" s="1366"/>
      <c r="Z666" s="1364">
        <f>+Z664-Z665</f>
        <v>0</v>
      </c>
      <c r="AA666" s="1365"/>
      <c r="AB666" s="1366"/>
      <c r="AC666" s="1364">
        <f>+AC664-AC665</f>
        <v>0</v>
      </c>
      <c r="AD666" s="1365"/>
      <c r="AE666" s="1366"/>
      <c r="AF666" s="1364">
        <f>+AF664-AF665</f>
        <v>0</v>
      </c>
      <c r="AG666" s="1365"/>
      <c r="AH666" s="1366"/>
      <c r="AI666" s="1364">
        <f>+AI664-AI665</f>
        <v>0</v>
      </c>
      <c r="AJ666" s="1365"/>
      <c r="AK666" s="1366"/>
      <c r="AL666" s="1364">
        <f>+AL664-AL665</f>
        <v>0</v>
      </c>
      <c r="AM666" s="1365"/>
      <c r="AN666" s="1366"/>
      <c r="AO666" s="1364">
        <f>+AO664-AO665</f>
        <v>0</v>
      </c>
      <c r="AP666" s="1365"/>
      <c r="AQ666" s="1366"/>
      <c r="AR666" s="1364">
        <f>+AR664-AR665</f>
        <v>0</v>
      </c>
      <c r="AS666" s="1365"/>
      <c r="AT666" s="1366"/>
      <c r="AU666" s="321"/>
      <c r="AV666" s="321"/>
      <c r="AW666" s="321"/>
      <c r="AX666" s="288"/>
      <c r="AY666" s="288"/>
      <c r="AZ666" s="288"/>
    </row>
    <row r="667" spans="1:52" s="291" customFormat="1" ht="15.75">
      <c r="A667" s="297"/>
      <c r="B667" s="492"/>
      <c r="C667" s="492"/>
      <c r="D667" s="492"/>
      <c r="E667" s="492"/>
      <c r="F667" s="492"/>
      <c r="G667" s="492"/>
      <c r="H667" s="492"/>
      <c r="I667" s="492"/>
      <c r="J667" s="492"/>
      <c r="K667" s="492"/>
      <c r="L667" s="492"/>
      <c r="M667" s="492"/>
      <c r="Q667" s="347"/>
      <c r="R667" s="347"/>
      <c r="S667" s="347"/>
      <c r="T667" s="348"/>
      <c r="U667" s="477"/>
      <c r="V667" s="350"/>
      <c r="W667" s="350"/>
      <c r="X667" s="350"/>
      <c r="Y667" s="349"/>
      <c r="Z667" s="349"/>
      <c r="AA667" s="349"/>
      <c r="AB667" s="349"/>
      <c r="AC667" s="349"/>
      <c r="AD667" s="349"/>
      <c r="AE667" s="350"/>
      <c r="AF667" s="350"/>
      <c r="AG667" s="350"/>
      <c r="AH667" s="350"/>
      <c r="AI667" s="350"/>
      <c r="AJ667" s="350"/>
      <c r="AK667" s="350"/>
      <c r="AL667" s="350"/>
      <c r="AM667" s="350"/>
      <c r="AN667" s="350"/>
      <c r="AO667" s="350"/>
      <c r="AP667" s="350"/>
      <c r="AQ667" s="350"/>
      <c r="AR667" s="350"/>
      <c r="AS667" s="350"/>
      <c r="AT667" s="350"/>
      <c r="AU667" s="350"/>
      <c r="AV667" s="350"/>
      <c r="AW667" s="350"/>
      <c r="AX667" s="289"/>
      <c r="AY667" s="289"/>
      <c r="AZ667" s="289"/>
    </row>
    <row r="668" spans="1:52" s="291" customFormat="1" ht="15.75">
      <c r="A668" s="297"/>
      <c r="B668" s="1562" t="s">
        <v>580</v>
      </c>
      <c r="C668" s="1562"/>
      <c r="D668" s="1562"/>
      <c r="E668" s="1562"/>
      <c r="F668" s="1562"/>
      <c r="G668" s="1562"/>
      <c r="H668" s="1562"/>
      <c r="I668" s="1562"/>
      <c r="J668" s="1562"/>
      <c r="K668" s="1562"/>
      <c r="L668" s="1562"/>
      <c r="M668" s="1562"/>
      <c r="Q668" s="351"/>
      <c r="R668" s="351"/>
      <c r="S668" s="351"/>
      <c r="T668" s="346"/>
      <c r="U668" s="337"/>
      <c r="V668" s="353"/>
      <c r="W668" s="353"/>
      <c r="X668" s="353"/>
      <c r="Y668" s="352"/>
      <c r="Z668" s="352"/>
      <c r="AA668" s="352"/>
      <c r="AB668" s="352"/>
      <c r="AC668" s="352"/>
      <c r="AD668" s="352"/>
      <c r="AE668" s="353"/>
      <c r="AF668" s="353"/>
      <c r="AG668" s="353"/>
      <c r="AH668" s="353"/>
      <c r="AI668" s="353"/>
      <c r="AJ668" s="353"/>
      <c r="AK668" s="353"/>
      <c r="AL668" s="353"/>
      <c r="AM668" s="353"/>
      <c r="AN668" s="353"/>
      <c r="AO668" s="353"/>
      <c r="AP668" s="353"/>
      <c r="AQ668" s="353"/>
      <c r="AR668" s="353"/>
      <c r="AS668" s="353"/>
      <c r="AT668" s="353"/>
      <c r="AU668" s="353"/>
      <c r="AV668" s="353"/>
      <c r="AW668" s="353"/>
      <c r="AX668" s="289"/>
      <c r="AY668" s="289"/>
      <c r="AZ668" s="289"/>
    </row>
    <row r="669" spans="1:52" s="291" customFormat="1" ht="15" customHeight="1">
      <c r="A669" s="297"/>
      <c r="B669" s="1256" t="s">
        <v>608</v>
      </c>
      <c r="C669" s="1256"/>
      <c r="D669" s="1256"/>
      <c r="E669" s="1256"/>
      <c r="F669" s="1256"/>
      <c r="G669" s="1256"/>
      <c r="H669" s="1256"/>
      <c r="I669" s="1256"/>
      <c r="J669" s="1256"/>
      <c r="K669" s="1256"/>
      <c r="L669" s="1256"/>
      <c r="M669" s="1256"/>
      <c r="N669" s="1256"/>
      <c r="O669" s="1256"/>
      <c r="P669" s="1256"/>
      <c r="Q669" s="1305" t="s">
        <v>572</v>
      </c>
      <c r="R669" s="1306"/>
      <c r="S669" s="1306"/>
      <c r="T669" s="1306"/>
      <c r="U669" s="1306"/>
      <c r="V669" s="1306"/>
      <c r="W669" s="1306"/>
      <c r="X669" s="1306"/>
      <c r="Y669" s="1306"/>
      <c r="Z669" s="1306"/>
      <c r="AA669" s="1306"/>
      <c r="AB669" s="1306"/>
      <c r="AC669" s="1306"/>
      <c r="AD669" s="1306"/>
      <c r="AE669" s="1306"/>
      <c r="AF669" s="1306"/>
      <c r="AG669" s="1306"/>
      <c r="AH669" s="1306"/>
      <c r="AI669" s="1306"/>
      <c r="AJ669" s="1306"/>
      <c r="AK669" s="1306"/>
      <c r="AL669" s="1306"/>
      <c r="AM669" s="1306"/>
      <c r="AN669" s="1306"/>
      <c r="AO669" s="1306"/>
      <c r="AP669" s="1306"/>
      <c r="AQ669" s="1306"/>
      <c r="AR669" s="1306"/>
      <c r="AS669" s="1306"/>
      <c r="AT669" s="1307"/>
      <c r="AU669" s="289"/>
      <c r="AV669" s="289"/>
      <c r="AW669" s="289"/>
      <c r="AX669" s="289"/>
      <c r="AY669" s="289"/>
      <c r="AZ669" s="289"/>
    </row>
    <row r="670" spans="1:52" s="291" customFormat="1" ht="15.75">
      <c r="A670" s="297"/>
      <c r="B670" s="1256"/>
      <c r="C670" s="1256"/>
      <c r="D670" s="1256"/>
      <c r="E670" s="1256"/>
      <c r="F670" s="1256"/>
      <c r="G670" s="1256"/>
      <c r="H670" s="1256"/>
      <c r="I670" s="1256"/>
      <c r="J670" s="1256"/>
      <c r="K670" s="1256"/>
      <c r="L670" s="1256"/>
      <c r="M670" s="1256"/>
      <c r="N670" s="1256"/>
      <c r="O670" s="1256"/>
      <c r="P670" s="1256"/>
      <c r="Q670" s="1305">
        <v>1</v>
      </c>
      <c r="R670" s="1306"/>
      <c r="S670" s="1307"/>
      <c r="T670" s="1305">
        <v>2</v>
      </c>
      <c r="U670" s="1306"/>
      <c r="V670" s="1307"/>
      <c r="W670" s="1305">
        <v>3</v>
      </c>
      <c r="X670" s="1306"/>
      <c r="Y670" s="1307"/>
      <c r="Z670" s="1305">
        <v>4</v>
      </c>
      <c r="AA670" s="1306"/>
      <c r="AB670" s="1307"/>
      <c r="AC670" s="1305">
        <v>5</v>
      </c>
      <c r="AD670" s="1306"/>
      <c r="AE670" s="1307"/>
      <c r="AF670" s="1305">
        <v>6</v>
      </c>
      <c r="AG670" s="1306"/>
      <c r="AH670" s="1307"/>
      <c r="AI670" s="1305">
        <v>7</v>
      </c>
      <c r="AJ670" s="1306"/>
      <c r="AK670" s="1307"/>
      <c r="AL670" s="1305">
        <v>8</v>
      </c>
      <c r="AM670" s="1306"/>
      <c r="AN670" s="1307"/>
      <c r="AO670" s="1305">
        <v>9</v>
      </c>
      <c r="AP670" s="1306"/>
      <c r="AQ670" s="1307"/>
      <c r="AR670" s="1305">
        <v>10</v>
      </c>
      <c r="AS670" s="1306"/>
      <c r="AT670" s="1307"/>
      <c r="AU670" s="289"/>
      <c r="AV670" s="289"/>
      <c r="AW670" s="289"/>
      <c r="AX670" s="289"/>
      <c r="AY670" s="289"/>
      <c r="AZ670" s="289"/>
    </row>
    <row r="671" spans="1:52" s="291" customFormat="1" ht="15" customHeight="1">
      <c r="A671" s="297"/>
      <c r="B671" s="1322" t="s">
        <v>2582</v>
      </c>
      <c r="C671" s="1322"/>
      <c r="D671" s="1322"/>
      <c r="E671" s="1322"/>
      <c r="F671" s="1322"/>
      <c r="G671" s="1322"/>
      <c r="H671" s="1322"/>
      <c r="I671" s="1322"/>
      <c r="J671" s="1322"/>
      <c r="K671" s="1322"/>
      <c r="L671" s="1322"/>
      <c r="M671" s="1322"/>
      <c r="N671" s="1322"/>
      <c r="O671" s="1322"/>
      <c r="P671" s="1322"/>
      <c r="Q671" s="1507">
        <f>'Costos Alter.'!F70</f>
        <v>0</v>
      </c>
      <c r="R671" s="1563"/>
      <c r="S671" s="1564"/>
      <c r="T671" s="1507">
        <f>'Costos Alter.'!I70</f>
        <v>0</v>
      </c>
      <c r="U671" s="1563"/>
      <c r="V671" s="1564"/>
      <c r="W671" s="1507">
        <f>'Costos Alter.'!L70</f>
        <v>0</v>
      </c>
      <c r="X671" s="1563"/>
      <c r="Y671" s="1564"/>
      <c r="Z671" s="1507">
        <f>'Costos Alter.'!O70</f>
        <v>0</v>
      </c>
      <c r="AA671" s="1563"/>
      <c r="AB671" s="1564"/>
      <c r="AC671" s="1507">
        <f>'Costos Alter.'!R70</f>
        <v>0</v>
      </c>
      <c r="AD671" s="1563"/>
      <c r="AE671" s="1564"/>
      <c r="AF671" s="1507">
        <f>'Costos Alter.'!U70</f>
        <v>0</v>
      </c>
      <c r="AG671" s="1563"/>
      <c r="AH671" s="1564"/>
      <c r="AI671" s="1507">
        <f>'Costos Alter.'!X70</f>
        <v>0</v>
      </c>
      <c r="AJ671" s="1563"/>
      <c r="AK671" s="1564"/>
      <c r="AL671" s="1507">
        <f>'Costos Alter.'!AA70</f>
        <v>0</v>
      </c>
      <c r="AM671" s="1563"/>
      <c r="AN671" s="1564"/>
      <c r="AO671" s="1507">
        <f>'Costos Alter.'!AD70</f>
        <v>0</v>
      </c>
      <c r="AP671" s="1563"/>
      <c r="AQ671" s="1564"/>
      <c r="AR671" s="1507">
        <f>'Costos Alter.'!AG70</f>
        <v>0</v>
      </c>
      <c r="AS671" s="1563"/>
      <c r="AT671" s="1564"/>
      <c r="AU671" s="289"/>
      <c r="AV671" s="289"/>
      <c r="AW671" s="289"/>
      <c r="AX671" s="289"/>
      <c r="AY671" s="289"/>
      <c r="AZ671" s="289"/>
    </row>
    <row r="672" spans="1:52" s="291" customFormat="1" ht="15" customHeight="1">
      <c r="A672" s="297"/>
      <c r="B672" s="1322" t="s">
        <v>2581</v>
      </c>
      <c r="C672" s="1322"/>
      <c r="D672" s="1322"/>
      <c r="E672" s="1322"/>
      <c r="F672" s="1322"/>
      <c r="G672" s="1322"/>
      <c r="H672" s="1322"/>
      <c r="I672" s="1322"/>
      <c r="J672" s="1322"/>
      <c r="K672" s="1322"/>
      <c r="L672" s="1322"/>
      <c r="M672" s="1322"/>
      <c r="N672" s="1322"/>
      <c r="O672" s="1322"/>
      <c r="P672" s="1322"/>
      <c r="Q672" s="1507">
        <f>'Costos Alter.'!F71</f>
        <v>0</v>
      </c>
      <c r="R672" s="1563"/>
      <c r="S672" s="1564"/>
      <c r="T672" s="1507">
        <f>'Costos Alter.'!I71</f>
        <v>0</v>
      </c>
      <c r="U672" s="1563"/>
      <c r="V672" s="1564"/>
      <c r="W672" s="1507">
        <f>'Costos Alter.'!L71</f>
        <v>0</v>
      </c>
      <c r="X672" s="1563"/>
      <c r="Y672" s="1564"/>
      <c r="Z672" s="1507">
        <f>'Costos Alter.'!O71</f>
        <v>0</v>
      </c>
      <c r="AA672" s="1563"/>
      <c r="AB672" s="1564"/>
      <c r="AC672" s="1507">
        <f>'Costos Alter.'!R71</f>
        <v>0</v>
      </c>
      <c r="AD672" s="1563"/>
      <c r="AE672" s="1564"/>
      <c r="AF672" s="1507">
        <f>'Costos Alter.'!U71</f>
        <v>0</v>
      </c>
      <c r="AG672" s="1563"/>
      <c r="AH672" s="1564"/>
      <c r="AI672" s="1507">
        <f>'Costos Alter.'!X71</f>
        <v>0</v>
      </c>
      <c r="AJ672" s="1563"/>
      <c r="AK672" s="1564"/>
      <c r="AL672" s="1507">
        <f>'Costos Alter.'!AA71</f>
        <v>0</v>
      </c>
      <c r="AM672" s="1563"/>
      <c r="AN672" s="1564"/>
      <c r="AO672" s="1507">
        <f>'Costos Alter.'!AD71</f>
        <v>0</v>
      </c>
      <c r="AP672" s="1563"/>
      <c r="AQ672" s="1564"/>
      <c r="AR672" s="1507">
        <f>'Costos Alter.'!AG71</f>
        <v>0</v>
      </c>
      <c r="AS672" s="1563"/>
      <c r="AT672" s="1564"/>
      <c r="AU672" s="289"/>
      <c r="AV672" s="289"/>
      <c r="AW672" s="289"/>
      <c r="AX672" s="289"/>
      <c r="AY672" s="289"/>
      <c r="AZ672" s="289"/>
    </row>
    <row r="673" spans="1:52" s="291" customFormat="1" ht="15" customHeight="1">
      <c r="A673" s="297"/>
      <c r="B673" s="1329" t="s">
        <v>161</v>
      </c>
      <c r="C673" s="1329"/>
      <c r="D673" s="1329"/>
      <c r="E673" s="1329"/>
      <c r="F673" s="1329"/>
      <c r="G673" s="1329"/>
      <c r="H673" s="1329"/>
      <c r="I673" s="1329"/>
      <c r="J673" s="1329"/>
      <c r="K673" s="1329"/>
      <c r="L673" s="1329"/>
      <c r="M673" s="1329"/>
      <c r="N673" s="1329"/>
      <c r="O673" s="1329"/>
      <c r="P673" s="1329"/>
      <c r="Q673" s="1507">
        <f>+Q671+Q672</f>
        <v>0</v>
      </c>
      <c r="R673" s="1563"/>
      <c r="S673" s="1564"/>
      <c r="T673" s="1507">
        <f>+T671+T672</f>
        <v>0</v>
      </c>
      <c r="U673" s="1563"/>
      <c r="V673" s="1564"/>
      <c r="W673" s="1507">
        <f>+W671-W672</f>
        <v>0</v>
      </c>
      <c r="X673" s="1563"/>
      <c r="Y673" s="1564"/>
      <c r="Z673" s="1507">
        <f>+Z671-Z672</f>
        <v>0</v>
      </c>
      <c r="AA673" s="1563"/>
      <c r="AB673" s="1564"/>
      <c r="AC673" s="1507">
        <f>+AC671-AC672</f>
        <v>0</v>
      </c>
      <c r="AD673" s="1563"/>
      <c r="AE673" s="1564"/>
      <c r="AF673" s="1507">
        <f>+AF671-AF672</f>
        <v>0</v>
      </c>
      <c r="AG673" s="1563"/>
      <c r="AH673" s="1564"/>
      <c r="AI673" s="1507">
        <f>+AI671-AI672</f>
        <v>0</v>
      </c>
      <c r="AJ673" s="1563"/>
      <c r="AK673" s="1564"/>
      <c r="AL673" s="1507">
        <f>+AL671-AL672</f>
        <v>0</v>
      </c>
      <c r="AM673" s="1563"/>
      <c r="AN673" s="1564"/>
      <c r="AO673" s="1507">
        <f>+AO671-AO672</f>
        <v>0</v>
      </c>
      <c r="AP673" s="1563"/>
      <c r="AQ673" s="1564"/>
      <c r="AR673" s="1507">
        <f>+AR671-AR672</f>
        <v>0</v>
      </c>
      <c r="AS673" s="1563"/>
      <c r="AT673" s="1564"/>
      <c r="AU673" s="289"/>
      <c r="AV673" s="289"/>
      <c r="AW673" s="289"/>
      <c r="AX673" s="289"/>
      <c r="AY673" s="289"/>
      <c r="AZ673" s="289"/>
    </row>
    <row r="674" spans="1:52" s="291" customFormat="1" ht="15.75">
      <c r="A674" s="297"/>
      <c r="B674" s="289"/>
      <c r="C674" s="289"/>
      <c r="D674" s="289"/>
      <c r="E674" s="289"/>
      <c r="F674" s="289"/>
      <c r="G674" s="289"/>
      <c r="H674" s="289"/>
      <c r="I674" s="289"/>
      <c r="J674" s="289"/>
      <c r="K674" s="308"/>
      <c r="L674" s="308"/>
      <c r="M674" s="308"/>
      <c r="N674" s="308"/>
      <c r="O674" s="308"/>
      <c r="P674" s="308"/>
      <c r="Q674" s="309"/>
      <c r="R674" s="309"/>
      <c r="S674" s="308"/>
      <c r="T674" s="308"/>
      <c r="U674" s="289"/>
      <c r="V674" s="289"/>
      <c r="W674" s="289"/>
      <c r="X674" s="289"/>
      <c r="Y674" s="308"/>
      <c r="Z674" s="308"/>
      <c r="AA674" s="308"/>
      <c r="AB674" s="289"/>
      <c r="AC674" s="289"/>
      <c r="AD674" s="289"/>
      <c r="AE674" s="289"/>
      <c r="AF674" s="289"/>
      <c r="AG674" s="289"/>
      <c r="AH674" s="289"/>
      <c r="AI674" s="289"/>
      <c r="AJ674" s="289"/>
      <c r="AK674" s="289"/>
      <c r="AL674" s="289"/>
      <c r="AM674" s="289"/>
      <c r="AN674" s="289"/>
      <c r="AO674" s="289"/>
      <c r="AP674" s="289"/>
      <c r="AQ674" s="289"/>
      <c r="AR674" s="289"/>
      <c r="AS674" s="289"/>
      <c r="AT674" s="289"/>
      <c r="AU674" s="289"/>
      <c r="AV674" s="289"/>
      <c r="AW674" s="289"/>
      <c r="AX674" s="289"/>
      <c r="AY674" s="289"/>
      <c r="AZ674" s="289"/>
    </row>
    <row r="675" spans="1:52" s="291" customFormat="1" ht="15.75">
      <c r="A675" s="292" t="s">
        <v>583</v>
      </c>
      <c r="B675" s="1246" t="s">
        <v>582</v>
      </c>
      <c r="C675" s="1246"/>
      <c r="D675" s="1246"/>
      <c r="E675" s="1246"/>
      <c r="F675" s="1246"/>
      <c r="G675" s="1246"/>
      <c r="H675" s="1246"/>
      <c r="I675" s="1246"/>
      <c r="J675" s="1246"/>
      <c r="K675" s="1246"/>
      <c r="L675" s="1246"/>
      <c r="M675" s="1246"/>
      <c r="N675" s="1246"/>
      <c r="O675" s="1246"/>
      <c r="P675" s="1246"/>
      <c r="Q675" s="1246"/>
      <c r="R675" s="1246"/>
      <c r="S675" s="1246"/>
      <c r="T675" s="1246"/>
      <c r="U675" s="1246"/>
      <c r="V675" s="1246"/>
      <c r="W675" s="1246"/>
      <c r="X675" s="1246"/>
      <c r="Y675" s="1246"/>
      <c r="Z675" s="1246"/>
      <c r="AA675" s="1246"/>
      <c r="AB675" s="1246"/>
      <c r="AC675" s="1246"/>
      <c r="AD675" s="1246"/>
      <c r="AE675" s="1246"/>
      <c r="AF675" s="1246"/>
      <c r="AG675" s="1246"/>
      <c r="AH675" s="1246"/>
      <c r="AI675" s="1246"/>
      <c r="AJ675" s="1246"/>
      <c r="AK675" s="1246"/>
      <c r="AL675" s="1246"/>
      <c r="AM675" s="1246"/>
      <c r="AN675" s="1246"/>
      <c r="AO675" s="1246"/>
      <c r="AP675" s="1246"/>
      <c r="AQ675" s="1246"/>
      <c r="AR675" s="1246"/>
      <c r="AS675" s="1246"/>
      <c r="AT675" s="1246"/>
      <c r="AU675" s="1246"/>
      <c r="AV675" s="1246"/>
      <c r="AW675" s="1246"/>
      <c r="AX675" s="1246"/>
      <c r="AY675" s="1246"/>
      <c r="AZ675" s="1246"/>
    </row>
    <row r="676" spans="1:52" s="291" customFormat="1" ht="15.75">
      <c r="A676" s="294"/>
      <c r="B676" s="288"/>
      <c r="C676" s="288"/>
      <c r="D676" s="288"/>
      <c r="E676" s="288"/>
      <c r="F676" s="288"/>
      <c r="G676" s="288"/>
      <c r="H676" s="288"/>
      <c r="I676" s="288"/>
      <c r="J676" s="288"/>
      <c r="K676" s="287"/>
      <c r="L676" s="287"/>
      <c r="M676" s="287"/>
      <c r="N676" s="287"/>
      <c r="O676" s="287"/>
      <c r="P676" s="287"/>
      <c r="Q676" s="488"/>
      <c r="R676" s="488"/>
      <c r="S676" s="287"/>
      <c r="T676" s="287"/>
      <c r="U676" s="288"/>
      <c r="V676" s="288"/>
      <c r="W676" s="288"/>
      <c r="X676" s="288"/>
      <c r="Y676" s="287"/>
      <c r="Z676" s="287"/>
      <c r="AA676" s="287"/>
      <c r="AB676" s="288"/>
      <c r="AC676" s="288"/>
      <c r="AD676" s="288"/>
      <c r="AE676" s="288"/>
      <c r="AF676" s="288"/>
      <c r="AG676" s="288"/>
      <c r="AH676" s="288"/>
      <c r="AI676" s="288"/>
      <c r="AJ676" s="288"/>
      <c r="AK676" s="288"/>
      <c r="AL676" s="288"/>
      <c r="AM676" s="288"/>
      <c r="AN676" s="288"/>
      <c r="AO676" s="288"/>
      <c r="AP676" s="288"/>
      <c r="AQ676" s="288"/>
      <c r="AR676" s="288"/>
      <c r="AS676" s="288"/>
      <c r="AT676" s="288"/>
      <c r="AU676" s="288"/>
      <c r="AV676" s="288"/>
      <c r="AW676" s="288"/>
      <c r="AX676" s="288"/>
      <c r="AY676" s="288"/>
      <c r="AZ676" s="288"/>
    </row>
    <row r="677" spans="1:52" s="291" customFormat="1" ht="15.75">
      <c r="A677" s="294"/>
      <c r="B677" s="1256" t="s">
        <v>2583</v>
      </c>
      <c r="C677" s="1256"/>
      <c r="D677" s="1256"/>
      <c r="E677" s="1256"/>
      <c r="F677" s="1256"/>
      <c r="G677" s="1256"/>
      <c r="H677" s="1256"/>
      <c r="I677" s="1256"/>
      <c r="J677" s="1256" t="s">
        <v>409</v>
      </c>
      <c r="K677" s="1256"/>
      <c r="L677" s="1256"/>
      <c r="M677" s="1256"/>
      <c r="N677" s="1256"/>
      <c r="O677" s="1256"/>
      <c r="P677" s="1256"/>
      <c r="Q677" s="1256"/>
      <c r="R677" s="1256"/>
      <c r="S677" s="1305" t="s">
        <v>72</v>
      </c>
      <c r="T677" s="1306"/>
      <c r="U677" s="1306"/>
      <c r="V677" s="1306"/>
      <c r="W677" s="1306"/>
      <c r="X677" s="1489"/>
      <c r="Y677" s="1490"/>
      <c r="Z677" s="1490"/>
      <c r="AA677" s="1490"/>
      <c r="AB677" s="1491"/>
      <c r="AC677" s="288"/>
      <c r="AD677" s="288"/>
      <c r="AE677" s="288"/>
      <c r="AF677" s="288"/>
      <c r="AG677" s="288"/>
      <c r="AH677" s="288"/>
      <c r="AI677" s="288"/>
      <c r="AJ677" s="288"/>
      <c r="AK677" s="288"/>
      <c r="AL677" s="288"/>
      <c r="AM677" s="288"/>
      <c r="AN677" s="1586"/>
      <c r="AO677" s="1586"/>
      <c r="AP677" s="1586"/>
      <c r="AQ677" s="1586"/>
      <c r="AR677" s="288"/>
      <c r="AS677" s="288"/>
      <c r="AT677" s="288"/>
      <c r="AU677" s="288"/>
      <c r="AV677" s="288"/>
      <c r="AW677" s="288"/>
      <c r="AX677" s="288"/>
      <c r="AY677" s="288"/>
      <c r="AZ677" s="288"/>
    </row>
    <row r="678" spans="1:52" s="291" customFormat="1" ht="15.75">
      <c r="A678" s="294"/>
      <c r="B678" s="1362" t="s">
        <v>2584</v>
      </c>
      <c r="C678" s="1362"/>
      <c r="D678" s="1362"/>
      <c r="E678" s="1362"/>
      <c r="F678" s="1362"/>
      <c r="G678" s="1362"/>
      <c r="H678" s="1362"/>
      <c r="I678" s="1362"/>
      <c r="J678" s="1322" t="s">
        <v>2585</v>
      </c>
      <c r="K678" s="1322"/>
      <c r="L678" s="1322"/>
      <c r="M678" s="1322"/>
      <c r="N678" s="1322"/>
      <c r="O678" s="1322"/>
      <c r="P678" s="1322"/>
      <c r="Q678" s="1322"/>
      <c r="R678" s="1322"/>
      <c r="S678" s="1655">
        <f>'CEF-Tarifa'!D58</f>
        <v>0</v>
      </c>
      <c r="T678" s="1656"/>
      <c r="U678" s="1656"/>
      <c r="V678" s="1656"/>
      <c r="W678" s="1656"/>
      <c r="X678" s="1492"/>
      <c r="Y678" s="1493"/>
      <c r="Z678" s="1493"/>
      <c r="AA678" s="1493"/>
      <c r="AB678" s="1494"/>
      <c r="AC678" s="288"/>
      <c r="AD678" s="288"/>
      <c r="AE678" s="288"/>
      <c r="AF678" s="288"/>
      <c r="AG678" s="288"/>
      <c r="AH678" s="288"/>
      <c r="AI678" s="288"/>
      <c r="AJ678" s="288"/>
      <c r="AK678" s="288"/>
      <c r="AL678" s="288"/>
      <c r="AM678" s="288"/>
      <c r="AN678" s="288"/>
      <c r="AO678" s="288"/>
      <c r="AP678" s="288"/>
      <c r="AQ678" s="288"/>
      <c r="AR678" s="288"/>
      <c r="AS678" s="288"/>
      <c r="AT678" s="288"/>
      <c r="AU678" s="288"/>
      <c r="AV678" s="288"/>
      <c r="AW678" s="288"/>
      <c r="AX678" s="288"/>
      <c r="AY678" s="288"/>
      <c r="AZ678" s="288"/>
    </row>
    <row r="679" spans="1:52" s="291" customFormat="1" ht="15.75">
      <c r="A679" s="294"/>
      <c r="B679" s="1362"/>
      <c r="C679" s="1362"/>
      <c r="D679" s="1362"/>
      <c r="E679" s="1362"/>
      <c r="F679" s="1362"/>
      <c r="G679" s="1362"/>
      <c r="H679" s="1362"/>
      <c r="I679" s="1362"/>
      <c r="J679" s="1322" t="s">
        <v>2820</v>
      </c>
      <c r="K679" s="1322"/>
      <c r="L679" s="1322"/>
      <c r="M679" s="1322"/>
      <c r="N679" s="1322"/>
      <c r="O679" s="1322"/>
      <c r="P679" s="1322"/>
      <c r="Q679" s="1322"/>
      <c r="R679" s="1322"/>
      <c r="S679" s="1592">
        <f>'CEF-Tarifa'!D59</f>
        <v>0</v>
      </c>
      <c r="T679" s="1593"/>
      <c r="U679" s="1593"/>
      <c r="V679" s="1593"/>
      <c r="W679" s="1593"/>
      <c r="X679" s="1492"/>
      <c r="Y679" s="1493"/>
      <c r="Z679" s="1493"/>
      <c r="AA679" s="1493"/>
      <c r="AB679" s="1494"/>
      <c r="AC679" s="288"/>
      <c r="AD679" s="288"/>
      <c r="AE679" s="288"/>
      <c r="AF679" s="288"/>
      <c r="AG679" s="288"/>
      <c r="AH679" s="288"/>
      <c r="AI679" s="288"/>
      <c r="AJ679" s="288"/>
      <c r="AK679" s="288"/>
      <c r="AL679" s="288"/>
      <c r="AM679" s="288"/>
      <c r="AN679" s="288"/>
      <c r="AO679" s="288"/>
      <c r="AP679" s="288"/>
      <c r="AQ679" s="288"/>
      <c r="AR679" s="288"/>
      <c r="AS679" s="288"/>
      <c r="AT679" s="288"/>
      <c r="AU679" s="288"/>
      <c r="AV679" s="288"/>
      <c r="AW679" s="288"/>
      <c r="AX679" s="288"/>
      <c r="AY679" s="288"/>
      <c r="AZ679" s="288"/>
    </row>
    <row r="680" spans="1:52" s="291" customFormat="1" ht="15.75">
      <c r="A680" s="294"/>
      <c r="B680" s="1362"/>
      <c r="C680" s="1362"/>
      <c r="D680" s="1362"/>
      <c r="E680" s="1362"/>
      <c r="F680" s="1362"/>
      <c r="G680" s="1362"/>
      <c r="H680" s="1362"/>
      <c r="I680" s="1362"/>
      <c r="J680" s="1322" t="s">
        <v>2821</v>
      </c>
      <c r="K680" s="1322"/>
      <c r="L680" s="1322"/>
      <c r="M680" s="1322"/>
      <c r="N680" s="1322"/>
      <c r="O680" s="1322"/>
      <c r="P680" s="1322"/>
      <c r="Q680" s="1322"/>
      <c r="R680" s="1322"/>
      <c r="S680" s="1592">
        <f>IFERROR(+S678/S679,0)</f>
        <v>0</v>
      </c>
      <c r="T680" s="1593"/>
      <c r="U680" s="1593"/>
      <c r="V680" s="1593"/>
      <c r="W680" s="1593"/>
      <c r="X680" s="1495"/>
      <c r="Y680" s="1496"/>
      <c r="Z680" s="1496"/>
      <c r="AA680" s="1496"/>
      <c r="AB680" s="1497"/>
      <c r="AC680" s="288"/>
      <c r="AD680" s="288"/>
      <c r="AE680" s="288"/>
      <c r="AF680" s="288"/>
      <c r="AG680" s="288"/>
      <c r="AH680" s="288"/>
      <c r="AI680" s="288"/>
      <c r="AJ680" s="288"/>
      <c r="AK680" s="288"/>
      <c r="AL680" s="288"/>
      <c r="AM680" s="288"/>
      <c r="AN680" s="288"/>
      <c r="AO680" s="288"/>
      <c r="AP680" s="288"/>
      <c r="AQ680" s="288"/>
      <c r="AR680" s="288"/>
      <c r="AS680" s="288"/>
      <c r="AT680" s="288"/>
      <c r="AU680" s="288"/>
      <c r="AV680" s="288"/>
      <c r="AW680" s="288"/>
      <c r="AX680" s="288"/>
      <c r="AY680" s="288"/>
      <c r="AZ680" s="288"/>
    </row>
    <row r="681" spans="1:52" s="291" customFormat="1" ht="15.75">
      <c r="A681" s="294"/>
      <c r="B681" s="288"/>
      <c r="C681" s="288"/>
      <c r="D681" s="288"/>
      <c r="E681" s="288"/>
      <c r="F681" s="288"/>
      <c r="G681" s="288"/>
      <c r="H681" s="288"/>
      <c r="I681" s="288"/>
      <c r="J681" s="288"/>
      <c r="K681" s="287"/>
      <c r="L681" s="287"/>
      <c r="M681" s="287"/>
      <c r="N681" s="287"/>
      <c r="O681" s="287"/>
      <c r="P681" s="287"/>
      <c r="Q681" s="488"/>
      <c r="R681" s="488"/>
      <c r="S681" s="287"/>
      <c r="T681" s="354"/>
      <c r="U681" s="288"/>
      <c r="V681" s="288"/>
      <c r="W681" s="288"/>
      <c r="X681" s="288"/>
      <c r="Y681" s="287"/>
      <c r="Z681" s="287"/>
      <c r="AA681" s="287"/>
      <c r="AB681" s="355"/>
      <c r="AC681" s="355"/>
      <c r="AD681" s="355"/>
      <c r="AE681" s="288"/>
      <c r="AF681" s="288"/>
      <c r="AG681" s="288"/>
      <c r="AH681" s="288"/>
      <c r="AI681" s="288"/>
      <c r="AJ681" s="288"/>
      <c r="AK681" s="288"/>
      <c r="AL681" s="288"/>
      <c r="AM681" s="288"/>
      <c r="AN681" s="288"/>
      <c r="AO681" s="288"/>
      <c r="AP681" s="288"/>
      <c r="AQ681" s="288"/>
      <c r="AR681" s="288"/>
      <c r="AS681" s="288"/>
      <c r="AT681" s="288"/>
      <c r="AU681" s="288"/>
      <c r="AV681" s="288"/>
      <c r="AW681" s="288"/>
      <c r="AX681" s="288"/>
      <c r="AY681" s="288"/>
      <c r="AZ681" s="288"/>
    </row>
    <row r="682" spans="1:52" s="291" customFormat="1" ht="15.75">
      <c r="A682" s="292" t="s">
        <v>599</v>
      </c>
      <c r="B682" s="1246" t="s">
        <v>584</v>
      </c>
      <c r="C682" s="1246"/>
      <c r="D682" s="1246"/>
      <c r="E682" s="1246"/>
      <c r="F682" s="1246"/>
      <c r="G682" s="1246"/>
      <c r="H682" s="1246"/>
      <c r="I682" s="1246"/>
      <c r="J682" s="1246"/>
      <c r="K682" s="1246"/>
      <c r="L682" s="1246"/>
      <c r="M682" s="1246"/>
      <c r="N682" s="1246"/>
      <c r="O682" s="1246"/>
      <c r="P682" s="1246"/>
      <c r="Q682" s="1246"/>
      <c r="R682" s="1246"/>
      <c r="S682" s="1246"/>
      <c r="T682" s="1246"/>
      <c r="U682" s="1246"/>
      <c r="V682" s="1246"/>
      <c r="W682" s="1246"/>
      <c r="X682" s="1246"/>
      <c r="Y682" s="1246"/>
      <c r="Z682" s="1246"/>
      <c r="AA682" s="1246"/>
      <c r="AB682" s="1246"/>
      <c r="AC682" s="1246"/>
      <c r="AD682" s="1246"/>
      <c r="AE682" s="1246"/>
      <c r="AF682" s="1246"/>
      <c r="AG682" s="1246"/>
      <c r="AH682" s="1246"/>
      <c r="AI682" s="1246"/>
      <c r="AJ682" s="1246"/>
      <c r="AK682" s="1246"/>
      <c r="AL682" s="1246"/>
      <c r="AM682" s="1246"/>
      <c r="AN682" s="1246"/>
      <c r="AO682" s="1246"/>
      <c r="AP682" s="1246"/>
      <c r="AQ682" s="1246"/>
      <c r="AR682" s="1246"/>
      <c r="AS682" s="1246"/>
      <c r="AT682" s="1246"/>
      <c r="AU682" s="1246"/>
      <c r="AV682" s="1246"/>
      <c r="AW682" s="1246"/>
      <c r="AX682" s="1246"/>
      <c r="AY682" s="1246"/>
      <c r="AZ682" s="1246"/>
    </row>
    <row r="683" spans="1:52" s="291" customFormat="1" ht="15.75">
      <c r="A683" s="294"/>
      <c r="B683" s="288"/>
      <c r="C683" s="288"/>
      <c r="D683" s="288"/>
      <c r="E683" s="288"/>
      <c r="F683" s="288"/>
      <c r="G683" s="288"/>
      <c r="H683" s="288"/>
      <c r="I683" s="288"/>
      <c r="J683" s="288"/>
      <c r="K683" s="287"/>
      <c r="L683" s="287"/>
      <c r="M683" s="287"/>
      <c r="N683" s="287"/>
      <c r="O683" s="287"/>
      <c r="P683" s="287"/>
      <c r="Q683" s="488"/>
      <c r="R683" s="488"/>
      <c r="S683" s="287"/>
      <c r="T683" s="287"/>
      <c r="U683" s="288"/>
      <c r="V683" s="288"/>
      <c r="W683" s="288"/>
      <c r="X683" s="288"/>
      <c r="Y683" s="287"/>
      <c r="Z683" s="287"/>
      <c r="AA683" s="287"/>
      <c r="AB683" s="288"/>
      <c r="AC683" s="288"/>
      <c r="AD683" s="288"/>
      <c r="AE683" s="288"/>
      <c r="AF683" s="288"/>
      <c r="AG683" s="288"/>
      <c r="AH683" s="288"/>
      <c r="AI683" s="288"/>
      <c r="AJ683" s="288"/>
      <c r="AK683" s="288"/>
      <c r="AL683" s="288"/>
      <c r="AM683" s="288"/>
      <c r="AN683" s="288"/>
      <c r="AO683" s="288"/>
      <c r="AP683" s="288"/>
      <c r="AQ683" s="288"/>
      <c r="AR683" s="288"/>
      <c r="AS683" s="288"/>
      <c r="AT683" s="288"/>
      <c r="AU683" s="288"/>
      <c r="AV683" s="288"/>
      <c r="AW683" s="288"/>
      <c r="AX683" s="288"/>
      <c r="AY683" s="288"/>
      <c r="AZ683" s="288"/>
    </row>
    <row r="684" spans="1:52" s="291" customFormat="1" ht="15.75">
      <c r="A684" s="294"/>
      <c r="B684" s="1562" t="s">
        <v>2597</v>
      </c>
      <c r="C684" s="1562"/>
      <c r="D684" s="1562"/>
      <c r="E684" s="1562"/>
      <c r="F684" s="1562"/>
      <c r="G684" s="1562"/>
      <c r="H684" s="1562"/>
      <c r="I684" s="1562"/>
      <c r="J684" s="1562"/>
      <c r="K684" s="1562"/>
      <c r="L684" s="1562"/>
      <c r="M684" s="1562"/>
      <c r="N684" s="1562"/>
      <c r="O684" s="1562"/>
      <c r="P684" s="1562"/>
      <c r="Q684" s="1562"/>
      <c r="R684" s="1562"/>
      <c r="S684" s="1562"/>
      <c r="T684" s="1562"/>
      <c r="U684" s="1562"/>
      <c r="V684" s="1562"/>
      <c r="W684" s="1562"/>
      <c r="X684" s="1562"/>
      <c r="Y684" s="1562"/>
      <c r="Z684" s="1562"/>
      <c r="AA684" s="1562"/>
      <c r="AB684" s="1562"/>
      <c r="AC684" s="1562"/>
      <c r="AD684" s="1562"/>
      <c r="AE684" s="1562"/>
      <c r="AF684" s="1562"/>
      <c r="AG684" s="1562"/>
      <c r="AH684" s="1562"/>
      <c r="AI684" s="1562"/>
      <c r="AJ684" s="1562"/>
      <c r="AK684" s="1562"/>
      <c r="AL684" s="1562"/>
      <c r="AM684" s="1562"/>
      <c r="AN684" s="1562"/>
      <c r="AO684" s="1562"/>
      <c r="AP684" s="1562"/>
      <c r="AQ684" s="1562"/>
      <c r="AR684" s="1562"/>
      <c r="AS684" s="1562"/>
      <c r="AT684" s="1562"/>
      <c r="AU684" s="1562"/>
      <c r="AV684" s="1562"/>
      <c r="AW684" s="1562"/>
      <c r="AX684" s="1562"/>
      <c r="AY684" s="1562"/>
      <c r="AZ684" s="1562"/>
    </row>
    <row r="685" spans="1:52" s="291" customFormat="1" ht="15.75">
      <c r="A685" s="297"/>
      <c r="B685" s="1580"/>
      <c r="C685" s="1581"/>
      <c r="D685" s="1581"/>
      <c r="E685" s="1581"/>
      <c r="F685" s="1581"/>
      <c r="G685" s="1581"/>
      <c r="H685" s="1581"/>
      <c r="I685" s="1581"/>
      <c r="J685" s="1581"/>
      <c r="K685" s="1581"/>
      <c r="L685" s="1581"/>
      <c r="M685" s="1581"/>
      <c r="N685" s="1581"/>
      <c r="O685" s="1581"/>
      <c r="P685" s="1581"/>
      <c r="Q685" s="1581"/>
      <c r="R685" s="1581"/>
      <c r="S685" s="1581"/>
      <c r="T685" s="1581"/>
      <c r="U685" s="1581"/>
      <c r="V685" s="1581"/>
      <c r="W685" s="1581"/>
      <c r="X685" s="1581"/>
      <c r="Y685" s="1581"/>
      <c r="Z685" s="1581"/>
      <c r="AA685" s="1581"/>
      <c r="AB685" s="1581"/>
      <c r="AC685" s="1581"/>
      <c r="AD685" s="1581"/>
      <c r="AE685" s="1581"/>
      <c r="AF685" s="1581"/>
      <c r="AG685" s="1581"/>
      <c r="AH685" s="1581"/>
      <c r="AI685" s="1581"/>
      <c r="AJ685" s="1581"/>
      <c r="AK685" s="1581"/>
      <c r="AL685" s="1581"/>
      <c r="AM685" s="1581"/>
      <c r="AN685" s="1581"/>
      <c r="AO685" s="1581"/>
      <c r="AP685" s="1581"/>
      <c r="AQ685" s="1581"/>
      <c r="AR685" s="1581"/>
      <c r="AS685" s="1581"/>
      <c r="AT685" s="1581"/>
      <c r="AU685" s="1581"/>
      <c r="AV685" s="1581"/>
      <c r="AW685" s="1581"/>
      <c r="AX685" s="1581"/>
      <c r="AY685" s="1581"/>
      <c r="AZ685" s="1582"/>
    </row>
    <row r="686" spans="1:52" s="291" customFormat="1" ht="15.75">
      <c r="A686" s="297"/>
      <c r="B686" s="1583"/>
      <c r="C686" s="1584"/>
      <c r="D686" s="1584"/>
      <c r="E686" s="1584"/>
      <c r="F686" s="1584"/>
      <c r="G686" s="1584"/>
      <c r="H686" s="1584"/>
      <c r="I686" s="1584"/>
      <c r="J686" s="1584"/>
      <c r="K686" s="1584"/>
      <c r="L686" s="1584"/>
      <c r="M686" s="1584"/>
      <c r="N686" s="1584"/>
      <c r="O686" s="1584"/>
      <c r="P686" s="1584"/>
      <c r="Q686" s="1584"/>
      <c r="R686" s="1584"/>
      <c r="S686" s="1584"/>
      <c r="T686" s="1584"/>
      <c r="U686" s="1584"/>
      <c r="V686" s="1584"/>
      <c r="W686" s="1584"/>
      <c r="X686" s="1584"/>
      <c r="Y686" s="1584"/>
      <c r="Z686" s="1584"/>
      <c r="AA686" s="1584"/>
      <c r="AB686" s="1584"/>
      <c r="AC686" s="1584"/>
      <c r="AD686" s="1584"/>
      <c r="AE686" s="1584"/>
      <c r="AF686" s="1584"/>
      <c r="AG686" s="1584"/>
      <c r="AH686" s="1584"/>
      <c r="AI686" s="1584"/>
      <c r="AJ686" s="1584"/>
      <c r="AK686" s="1584"/>
      <c r="AL686" s="1584"/>
      <c r="AM686" s="1584"/>
      <c r="AN686" s="1584"/>
      <c r="AO686" s="1584"/>
      <c r="AP686" s="1584"/>
      <c r="AQ686" s="1584"/>
      <c r="AR686" s="1584"/>
      <c r="AS686" s="1584"/>
      <c r="AT686" s="1584"/>
      <c r="AU686" s="1584"/>
      <c r="AV686" s="1584"/>
      <c r="AW686" s="1584"/>
      <c r="AX686" s="1584"/>
      <c r="AY686" s="1584"/>
      <c r="AZ686" s="1585"/>
    </row>
    <row r="687" spans="1:52" s="291" customFormat="1" ht="15.75">
      <c r="A687" s="297"/>
      <c r="B687" s="288"/>
      <c r="C687" s="288"/>
      <c r="D687" s="288"/>
      <c r="E687" s="288"/>
      <c r="F687" s="288"/>
      <c r="G687" s="288"/>
      <c r="H687" s="288"/>
      <c r="I687" s="288"/>
      <c r="J687" s="288"/>
      <c r="K687" s="287"/>
      <c r="L687" s="287"/>
      <c r="M687" s="287"/>
      <c r="N687" s="287"/>
      <c r="O687" s="287"/>
      <c r="P687" s="287"/>
      <c r="Q687" s="488"/>
      <c r="R687" s="488"/>
      <c r="S687" s="287"/>
      <c r="T687" s="287"/>
      <c r="U687" s="288"/>
      <c r="V687" s="288"/>
      <c r="W687" s="288"/>
      <c r="X687" s="288"/>
      <c r="Y687" s="287"/>
      <c r="Z687" s="287"/>
      <c r="AA687" s="287"/>
      <c r="AB687" s="288"/>
      <c r="AC687" s="288"/>
      <c r="AD687" s="288"/>
      <c r="AE687" s="288"/>
      <c r="AF687" s="288"/>
      <c r="AG687" s="288"/>
      <c r="AH687" s="288"/>
      <c r="AI687" s="288"/>
      <c r="AJ687" s="288"/>
      <c r="AK687" s="288"/>
      <c r="AL687" s="288"/>
      <c r="AM687" s="288"/>
      <c r="AN687" s="288"/>
      <c r="AO687" s="288"/>
      <c r="AP687" s="288"/>
      <c r="AQ687" s="288"/>
      <c r="AR687" s="288"/>
      <c r="AS687" s="288"/>
      <c r="AT687" s="288"/>
      <c r="AU687" s="288"/>
      <c r="AV687" s="288"/>
      <c r="AW687" s="288"/>
      <c r="AX687" s="288"/>
      <c r="AY687" s="288"/>
      <c r="AZ687" s="288"/>
    </row>
    <row r="688" spans="1:52" s="291" customFormat="1" ht="15.75">
      <c r="A688" s="297"/>
      <c r="B688" s="1246" t="s">
        <v>2598</v>
      </c>
      <c r="C688" s="1246"/>
      <c r="D688" s="1246"/>
      <c r="E688" s="1246"/>
      <c r="F688" s="1246"/>
      <c r="G688" s="1246"/>
      <c r="H688" s="1246"/>
      <c r="I688" s="1246"/>
      <c r="J688" s="1246"/>
      <c r="K688" s="1246"/>
      <c r="L688" s="1246"/>
      <c r="M688" s="1246"/>
      <c r="N688" s="1246"/>
      <c r="O688" s="1246"/>
      <c r="P688" s="1246"/>
      <c r="Q688" s="1246"/>
      <c r="R688" s="1246"/>
      <c r="S688" s="1246"/>
      <c r="T688" s="1246"/>
      <c r="U688" s="1246"/>
      <c r="V688" s="1246"/>
      <c r="W688" s="1246"/>
      <c r="X688" s="1246"/>
      <c r="Y688" s="1246"/>
      <c r="Z688" s="1246"/>
      <c r="AA688" s="1246"/>
      <c r="AB688" s="1246"/>
      <c r="AC688" s="1246"/>
      <c r="AD688" s="1246"/>
      <c r="AE688" s="1246"/>
      <c r="AF688" s="1246"/>
      <c r="AG688" s="1246"/>
      <c r="AH688" s="1246"/>
      <c r="AI688" s="1246"/>
      <c r="AJ688" s="1246"/>
      <c r="AK688" s="1246"/>
      <c r="AL688" s="1246"/>
      <c r="AM688" s="1246"/>
      <c r="AN688" s="1246"/>
      <c r="AO688" s="1246"/>
      <c r="AP688" s="1246"/>
      <c r="AQ688" s="1246"/>
      <c r="AR688" s="1246"/>
      <c r="AS688" s="1246"/>
      <c r="AT688" s="1246"/>
      <c r="AU688" s="1246"/>
      <c r="AV688" s="1246"/>
      <c r="AW688" s="1246"/>
      <c r="AX688" s="1246"/>
      <c r="AY688" s="1246"/>
      <c r="AZ688" s="1246"/>
    </row>
    <row r="689" spans="1:55" s="291" customFormat="1" ht="15.75">
      <c r="A689" s="297"/>
      <c r="B689" s="288"/>
      <c r="C689" s="288"/>
      <c r="D689" s="288"/>
      <c r="E689" s="288"/>
      <c r="F689" s="288"/>
      <c r="G689" s="288"/>
      <c r="H689" s="288"/>
      <c r="I689" s="288"/>
      <c r="J689" s="288"/>
      <c r="K689" s="287"/>
      <c r="L689" s="287"/>
      <c r="M689" s="287"/>
      <c r="N689" s="287"/>
      <c r="O689" s="287"/>
      <c r="P689" s="287"/>
      <c r="Q689" s="488"/>
      <c r="R689" s="488"/>
      <c r="S689" s="287"/>
      <c r="T689" s="287"/>
      <c r="U689" s="288"/>
      <c r="V689" s="288"/>
      <c r="W689" s="288"/>
      <c r="X689" s="288"/>
      <c r="Y689" s="287"/>
      <c r="Z689" s="287"/>
      <c r="AA689" s="287"/>
      <c r="AB689" s="288"/>
      <c r="AC689" s="288"/>
      <c r="AD689" s="288"/>
      <c r="AE689" s="288"/>
      <c r="AF689" s="288"/>
      <c r="AG689" s="288"/>
      <c r="AH689" s="288"/>
      <c r="AI689" s="288"/>
      <c r="AJ689" s="288"/>
      <c r="AK689" s="288"/>
      <c r="AL689" s="288"/>
      <c r="AM689" s="288"/>
      <c r="AN689" s="288"/>
      <c r="AO689" s="288"/>
      <c r="AP689" s="288"/>
      <c r="AQ689" s="288"/>
      <c r="AR689" s="288"/>
      <c r="AS689" s="288"/>
      <c r="AT689" s="288"/>
      <c r="AU689" s="288"/>
      <c r="AV689" s="288"/>
      <c r="AW689" s="288"/>
      <c r="AX689" s="288"/>
      <c r="AY689" s="288"/>
      <c r="AZ689" s="288"/>
    </row>
    <row r="690" spans="1:55" s="291" customFormat="1" ht="24" customHeight="1">
      <c r="A690" s="297"/>
      <c r="B690" s="1301" t="s">
        <v>425</v>
      </c>
      <c r="C690" s="1301"/>
      <c r="D690" s="1301"/>
      <c r="E690" s="1301"/>
      <c r="F690" s="1301"/>
      <c r="G690" s="1301"/>
      <c r="H690" s="329"/>
      <c r="I690" s="289"/>
      <c r="J690" s="289"/>
      <c r="K690" s="308"/>
      <c r="L690" s="308"/>
      <c r="M690" s="308"/>
      <c r="N690" s="308"/>
      <c r="O690" s="308"/>
      <c r="P690" s="308"/>
      <c r="Q690" s="309"/>
      <c r="R690" s="309"/>
      <c r="S690" s="308"/>
      <c r="T690" s="308"/>
      <c r="U690" s="289"/>
      <c r="V690" s="289"/>
      <c r="W690" s="289"/>
      <c r="X690" s="289"/>
      <c r="Y690" s="308"/>
      <c r="Z690" s="308"/>
      <c r="AA690" s="308"/>
      <c r="AB690" s="289"/>
      <c r="AC690" s="289"/>
      <c r="AD690" s="289"/>
      <c r="AE690" s="289"/>
      <c r="AF690" s="289"/>
      <c r="AG690" s="289"/>
      <c r="AH690" s="289"/>
      <c r="AI690" s="289"/>
      <c r="AJ690" s="289"/>
      <c r="AK690" s="289"/>
      <c r="AL690" s="289"/>
      <c r="AM690" s="289"/>
      <c r="AN690" s="289"/>
      <c r="AO690" s="289"/>
      <c r="AP690" s="289"/>
      <c r="AQ690" s="289"/>
      <c r="AR690" s="289"/>
      <c r="AS690" s="289"/>
      <c r="AT690" s="289"/>
      <c r="AU690" s="289"/>
      <c r="AV690" s="289"/>
      <c r="AW690" s="289"/>
      <c r="AX690" s="289"/>
      <c r="AY690" s="289"/>
      <c r="AZ690" s="289"/>
    </row>
    <row r="691" spans="1:55" s="291" customFormat="1" ht="15.75">
      <c r="A691" s="297"/>
      <c r="B691" s="289"/>
      <c r="C691" s="289"/>
      <c r="D691" s="289"/>
      <c r="E691" s="289"/>
      <c r="F691" s="289"/>
      <c r="G691" s="289"/>
      <c r="H691" s="289"/>
      <c r="I691" s="289"/>
      <c r="J691" s="289"/>
      <c r="K691" s="308"/>
      <c r="L691" s="308"/>
      <c r="M691" s="308"/>
      <c r="N691" s="308"/>
      <c r="O691" s="308"/>
      <c r="P691" s="308"/>
      <c r="Q691" s="309"/>
      <c r="R691" s="309"/>
      <c r="S691" s="308"/>
      <c r="T691" s="308"/>
      <c r="U691" s="289"/>
      <c r="V691" s="289"/>
      <c r="W691" s="289"/>
      <c r="X691" s="289"/>
      <c r="Y691" s="308"/>
      <c r="Z691" s="308"/>
      <c r="AA691" s="308"/>
      <c r="AB691" s="289"/>
      <c r="AC691" s="289"/>
      <c r="AD691" s="289"/>
      <c r="AE691" s="289"/>
      <c r="AF691" s="289"/>
      <c r="AG691" s="289"/>
      <c r="AH691" s="289"/>
      <c r="AI691" s="289"/>
      <c r="AJ691" s="289"/>
      <c r="AK691" s="289"/>
      <c r="AL691" s="289"/>
      <c r="AM691" s="289"/>
      <c r="AN691" s="289"/>
      <c r="AO691" s="289"/>
      <c r="AP691" s="289"/>
      <c r="AQ691" s="289"/>
      <c r="AR691" s="289"/>
      <c r="AS691" s="289"/>
      <c r="AT691" s="289"/>
      <c r="AU691" s="289"/>
      <c r="AV691" s="289"/>
      <c r="AW691" s="289"/>
      <c r="AX691" s="289"/>
      <c r="AY691" s="289"/>
      <c r="AZ691" s="289"/>
    </row>
    <row r="692" spans="1:55" s="291" customFormat="1" ht="15.75">
      <c r="A692" s="297"/>
      <c r="B692" s="1570" t="s">
        <v>2586</v>
      </c>
      <c r="C692" s="1570"/>
      <c r="D692" s="1570"/>
      <c r="E692" s="1570"/>
      <c r="F692" s="1570"/>
      <c r="G692" s="1570"/>
      <c r="H692" s="1570"/>
      <c r="I692" s="1570"/>
      <c r="J692" s="1570"/>
      <c r="K692" s="1570"/>
      <c r="L692" s="1570"/>
      <c r="M692" s="1570"/>
      <c r="N692" s="1570"/>
      <c r="O692" s="1570"/>
      <c r="P692" s="1570"/>
      <c r="Q692" s="1570"/>
      <c r="R692" s="1570"/>
      <c r="S692" s="1305" t="s">
        <v>2587</v>
      </c>
      <c r="T692" s="1306"/>
      <c r="U692" s="1306"/>
      <c r="V692" s="1306"/>
      <c r="W692" s="1307"/>
      <c r="X692" s="1221" t="s">
        <v>2588</v>
      </c>
      <c r="Y692" s="1221"/>
      <c r="Z692" s="1221"/>
      <c r="AA692" s="1221"/>
      <c r="AB692" s="1221"/>
      <c r="AC692" s="1221"/>
      <c r="AD692" s="1221"/>
      <c r="AE692" s="1221"/>
      <c r="AF692" s="1221"/>
      <c r="AG692" s="1256" t="s">
        <v>2589</v>
      </c>
      <c r="AH692" s="1256"/>
      <c r="AI692" s="1256"/>
      <c r="AJ692" s="1256"/>
      <c r="AK692" s="1256"/>
      <c r="AL692" s="1256"/>
      <c r="AM692" s="1256"/>
      <c r="AN692" s="1256"/>
      <c r="AO692" s="289"/>
      <c r="AP692" s="289"/>
      <c r="AQ692" s="289"/>
      <c r="AR692" s="289"/>
      <c r="AS692" s="289"/>
      <c r="AT692" s="289"/>
      <c r="AU692" s="289"/>
      <c r="AV692" s="289"/>
      <c r="AW692" s="289"/>
      <c r="AX692" s="289"/>
      <c r="AY692" s="289"/>
      <c r="AZ692" s="289"/>
    </row>
    <row r="693" spans="1:55" s="291" customFormat="1" ht="15.75">
      <c r="A693" s="297"/>
      <c r="B693" s="1570"/>
      <c r="C693" s="1570"/>
      <c r="D693" s="1570"/>
      <c r="E693" s="1570"/>
      <c r="F693" s="1570"/>
      <c r="G693" s="1570"/>
      <c r="H693" s="1570"/>
      <c r="I693" s="1570"/>
      <c r="J693" s="1570"/>
      <c r="K693" s="1570"/>
      <c r="L693" s="1570"/>
      <c r="M693" s="1570"/>
      <c r="N693" s="1570"/>
      <c r="O693" s="1570"/>
      <c r="P693" s="1570"/>
      <c r="Q693" s="1570"/>
      <c r="R693" s="1570"/>
      <c r="S693" s="1172"/>
      <c r="T693" s="1173"/>
      <c r="U693" s="1173"/>
      <c r="V693" s="1173"/>
      <c r="W693" s="1174"/>
      <c r="X693" s="1354"/>
      <c r="Y693" s="1354"/>
      <c r="Z693" s="1354"/>
      <c r="AA693" s="1354"/>
      <c r="AB693" s="1354"/>
      <c r="AC693" s="1354"/>
      <c r="AD693" s="1354"/>
      <c r="AE693" s="1354"/>
      <c r="AF693" s="1354"/>
      <c r="AG693" s="1353"/>
      <c r="AH693" s="1353"/>
      <c r="AI693" s="1353"/>
      <c r="AJ693" s="1353"/>
      <c r="AK693" s="1353"/>
      <c r="AL693" s="1353"/>
      <c r="AM693" s="1353"/>
      <c r="AN693" s="1353"/>
      <c r="AO693" s="289"/>
      <c r="AP693" s="289"/>
      <c r="AQ693" s="289"/>
      <c r="AR693" s="289"/>
      <c r="AS693" s="289"/>
      <c r="AT693" s="289"/>
      <c r="AU693" s="289"/>
      <c r="AV693" s="289"/>
      <c r="AW693" s="289"/>
      <c r="AX693" s="289"/>
      <c r="AY693" s="289"/>
      <c r="AZ693" s="289"/>
    </row>
    <row r="694" spans="1:55" s="291" customFormat="1" ht="15.75">
      <c r="A694" s="297"/>
      <c r="B694" s="1570"/>
      <c r="C694" s="1570"/>
      <c r="D694" s="1570"/>
      <c r="E694" s="1570"/>
      <c r="F694" s="1570"/>
      <c r="G694" s="1570"/>
      <c r="H694" s="1570"/>
      <c r="I694" s="1570"/>
      <c r="J694" s="1570"/>
      <c r="K694" s="1570"/>
      <c r="L694" s="1570"/>
      <c r="M694" s="1570"/>
      <c r="N694" s="1570"/>
      <c r="O694" s="1570"/>
      <c r="P694" s="1570"/>
      <c r="Q694" s="1570"/>
      <c r="R694" s="1570"/>
      <c r="S694" s="1172"/>
      <c r="T694" s="1173"/>
      <c r="U694" s="1173"/>
      <c r="V694" s="1173"/>
      <c r="W694" s="1174"/>
      <c r="X694" s="1354"/>
      <c r="Y694" s="1354"/>
      <c r="Z694" s="1354"/>
      <c r="AA694" s="1354"/>
      <c r="AB694" s="1354"/>
      <c r="AC694" s="1354"/>
      <c r="AD694" s="1354"/>
      <c r="AE694" s="1354"/>
      <c r="AF694" s="1354"/>
      <c r="AG694" s="1353"/>
      <c r="AH694" s="1353"/>
      <c r="AI694" s="1353"/>
      <c r="AJ694" s="1353"/>
      <c r="AK694" s="1353"/>
      <c r="AL694" s="1353"/>
      <c r="AM694" s="1353"/>
      <c r="AN694" s="1353"/>
      <c r="AO694" s="289"/>
      <c r="AP694" s="289"/>
      <c r="AQ694" s="289"/>
      <c r="AR694" s="289"/>
      <c r="AS694" s="289"/>
      <c r="AT694" s="289"/>
      <c r="AU694" s="289"/>
      <c r="AV694" s="289"/>
      <c r="AW694" s="289"/>
      <c r="AX694" s="289"/>
      <c r="AY694" s="289"/>
      <c r="AZ694" s="289"/>
    </row>
    <row r="695" spans="1:55" s="291" customFormat="1" ht="15.75">
      <c r="A695" s="297"/>
      <c r="B695" s="288"/>
      <c r="C695" s="288"/>
      <c r="D695" s="288"/>
      <c r="E695" s="288"/>
      <c r="F695" s="288"/>
      <c r="G695" s="288"/>
      <c r="H695" s="288"/>
      <c r="I695" s="288"/>
      <c r="J695" s="288"/>
      <c r="K695" s="287"/>
      <c r="L695" s="287"/>
      <c r="M695" s="287"/>
      <c r="N695" s="287"/>
      <c r="O695" s="287"/>
      <c r="P695" s="287"/>
      <c r="Q695" s="488"/>
      <c r="R695" s="488"/>
      <c r="S695" s="308"/>
      <c r="T695" s="308"/>
      <c r="U695" s="289"/>
      <c r="V695" s="289"/>
      <c r="W695" s="289"/>
      <c r="X695" s="289"/>
      <c r="Y695" s="308"/>
      <c r="Z695" s="308"/>
      <c r="AA695" s="308"/>
      <c r="AB695" s="289"/>
      <c r="AC695" s="289"/>
      <c r="AD695" s="289"/>
      <c r="AE695" s="289"/>
      <c r="AF695" s="289"/>
      <c r="AG695" s="289"/>
      <c r="AH695" s="289"/>
      <c r="AI695" s="289"/>
      <c r="AJ695" s="289"/>
      <c r="AK695" s="289"/>
      <c r="AL695" s="289"/>
      <c r="AM695" s="289"/>
      <c r="AN695" s="289"/>
      <c r="AO695" s="289"/>
      <c r="AP695" s="289"/>
      <c r="AQ695" s="289"/>
      <c r="AR695" s="289"/>
      <c r="AS695" s="289"/>
      <c r="AT695" s="289"/>
      <c r="AU695" s="289"/>
      <c r="AV695" s="289"/>
      <c r="AW695" s="289"/>
      <c r="AX695" s="289"/>
      <c r="AY695" s="289"/>
      <c r="AZ695" s="289"/>
    </row>
    <row r="696" spans="1:55" s="291" customFormat="1" ht="29.25" customHeight="1">
      <c r="A696" s="297"/>
      <c r="B696" s="1336" t="s">
        <v>2822</v>
      </c>
      <c r="C696" s="1336"/>
      <c r="D696" s="1336"/>
      <c r="E696" s="1336"/>
      <c r="F696" s="1336"/>
      <c r="G696" s="1336"/>
      <c r="H696" s="1336"/>
      <c r="I696" s="1336"/>
      <c r="J696" s="1336"/>
      <c r="K696" s="1336"/>
      <c r="L696" s="1336"/>
      <c r="M696" s="1336"/>
      <c r="N696" s="1336"/>
      <c r="O696" s="1336"/>
      <c r="P696" s="1336"/>
      <c r="Q696" s="1336"/>
      <c r="R696" s="1336"/>
      <c r="S696" s="1652">
        <f>'CEF-Tarifa'!E102</f>
        <v>0</v>
      </c>
      <c r="T696" s="1653"/>
      <c r="U696" s="1653"/>
      <c r="V696" s="1653"/>
      <c r="W696" s="1654"/>
      <c r="X696" s="289"/>
      <c r="Y696" s="356"/>
      <c r="Z696" s="308"/>
      <c r="AA696" s="308"/>
      <c r="AB696" s="289"/>
      <c r="AC696" s="289"/>
      <c r="AD696" s="289"/>
      <c r="AE696" s="289"/>
      <c r="AF696" s="289"/>
      <c r="AG696" s="289"/>
      <c r="AH696" s="289"/>
      <c r="AI696" s="289"/>
      <c r="AJ696" s="288"/>
      <c r="AK696" s="288"/>
      <c r="AL696" s="288"/>
      <c r="AM696" s="288"/>
      <c r="AN696" s="288"/>
      <c r="AO696" s="289"/>
      <c r="AP696" s="289"/>
      <c r="AQ696" s="289"/>
      <c r="AR696" s="289"/>
      <c r="AS696" s="289"/>
      <c r="AT696" s="289"/>
      <c r="AU696" s="289"/>
      <c r="AV696" s="289"/>
      <c r="AW696" s="289"/>
      <c r="AX696" s="288"/>
      <c r="AY696" s="288"/>
      <c r="AZ696" s="288"/>
      <c r="BA696" s="288"/>
      <c r="BB696" s="288"/>
      <c r="BC696" s="288"/>
    </row>
    <row r="697" spans="1:55" s="291" customFormat="1" ht="15.75" customHeight="1">
      <c r="A697" s="297"/>
      <c r="B697" s="288"/>
      <c r="C697" s="288"/>
      <c r="D697" s="288"/>
      <c r="E697" s="288"/>
      <c r="F697" s="288"/>
      <c r="G697" s="288"/>
      <c r="H697" s="288"/>
      <c r="I697" s="288"/>
      <c r="J697" s="288"/>
      <c r="K697" s="287"/>
      <c r="L697" s="287"/>
      <c r="M697" s="287"/>
      <c r="N697" s="287"/>
      <c r="O697" s="287"/>
      <c r="P697" s="287"/>
      <c r="Q697" s="488"/>
      <c r="R697" s="488"/>
      <c r="S697" s="308"/>
      <c r="T697" s="308"/>
      <c r="U697" s="289"/>
      <c r="V697" s="289"/>
      <c r="W697" s="289"/>
      <c r="X697" s="289"/>
      <c r="Y697" s="308"/>
      <c r="Z697" s="308"/>
      <c r="AA697" s="308"/>
      <c r="AB697" s="289"/>
      <c r="AC697" s="289"/>
      <c r="AD697" s="289"/>
      <c r="AE697" s="289"/>
      <c r="AF697" s="289"/>
      <c r="AG697" s="289"/>
      <c r="AH697" s="289"/>
      <c r="AI697" s="289"/>
      <c r="AJ697" s="289"/>
      <c r="AK697" s="289"/>
      <c r="AL697" s="289"/>
      <c r="AM697" s="289"/>
      <c r="AN697" s="289"/>
      <c r="AO697" s="289"/>
      <c r="AP697" s="289"/>
      <c r="AQ697" s="289"/>
      <c r="AR697" s="289"/>
      <c r="AS697" s="289"/>
      <c r="AT697" s="289"/>
      <c r="AU697" s="289"/>
      <c r="AV697" s="289"/>
      <c r="AW697" s="289"/>
      <c r="AX697" s="289"/>
      <c r="AY697" s="289"/>
      <c r="AZ697" s="289"/>
    </row>
    <row r="698" spans="1:55" s="291" customFormat="1" ht="7.5" customHeight="1">
      <c r="A698" s="297"/>
      <c r="B698" s="289"/>
      <c r="C698" s="289"/>
      <c r="D698" s="289"/>
      <c r="E698" s="289"/>
      <c r="F698" s="289"/>
      <c r="G698" s="289"/>
      <c r="H698" s="289"/>
      <c r="I698" s="289"/>
      <c r="J698" s="289"/>
      <c r="K698" s="308"/>
      <c r="L698" s="308"/>
      <c r="M698" s="308"/>
      <c r="N698" s="308"/>
      <c r="O698" s="308"/>
      <c r="P698" s="308"/>
      <c r="Q698" s="309"/>
      <c r="R698" s="309"/>
      <c r="S698" s="308"/>
      <c r="T698" s="308"/>
      <c r="U698" s="289"/>
      <c r="V698" s="289"/>
      <c r="W698" s="289"/>
      <c r="X698" s="289"/>
      <c r="Y698" s="308"/>
      <c r="Z698" s="308"/>
      <c r="AA698" s="308"/>
      <c r="AB698" s="289"/>
      <c r="AC698" s="289"/>
      <c r="AD698" s="289"/>
      <c r="AE698" s="289"/>
      <c r="AF698" s="289"/>
      <c r="AG698" s="289"/>
      <c r="AH698" s="289"/>
      <c r="AI698" s="289"/>
      <c r="AJ698" s="289"/>
      <c r="AK698" s="289"/>
      <c r="AL698" s="289"/>
      <c r="AM698" s="289"/>
      <c r="AN698" s="289"/>
      <c r="AO698" s="289"/>
      <c r="AP698" s="289"/>
      <c r="AQ698" s="289"/>
      <c r="AR698" s="289"/>
      <c r="AS698" s="289"/>
      <c r="AT698" s="289"/>
      <c r="AU698" s="289"/>
      <c r="AV698" s="289"/>
      <c r="AW698" s="289"/>
      <c r="AX698" s="289"/>
      <c r="AY698" s="289"/>
      <c r="AZ698" s="289"/>
    </row>
    <row r="699" spans="1:55" s="291" customFormat="1" ht="15.75">
      <c r="A699" s="297"/>
      <c r="B699" s="1246" t="s">
        <v>2599</v>
      </c>
      <c r="C699" s="1246"/>
      <c r="D699" s="1246"/>
      <c r="E699" s="1246"/>
      <c r="F699" s="1246"/>
      <c r="G699" s="1246"/>
      <c r="H699" s="1246"/>
      <c r="I699" s="1246"/>
      <c r="J699" s="1246"/>
      <c r="K699" s="1246"/>
      <c r="L699" s="1246"/>
      <c r="M699" s="1246"/>
      <c r="N699" s="1246"/>
      <c r="O699" s="1246"/>
      <c r="P699" s="1246"/>
      <c r="Q699" s="1246"/>
      <c r="R699" s="1246"/>
      <c r="S699" s="1246"/>
      <c r="T699" s="1246"/>
      <c r="U699" s="1246"/>
      <c r="V699" s="1246"/>
      <c r="W699" s="1246"/>
      <c r="X699" s="1246"/>
      <c r="Y699" s="1246"/>
      <c r="Z699" s="1246"/>
      <c r="AA699" s="1246"/>
      <c r="AB699" s="1246"/>
      <c r="AC699" s="1246"/>
      <c r="AD699" s="1246"/>
      <c r="AE699" s="1246"/>
      <c r="AF699" s="1246"/>
      <c r="AG699" s="1246"/>
      <c r="AH699" s="1246"/>
      <c r="AI699" s="1246"/>
      <c r="AJ699" s="1246"/>
      <c r="AK699" s="1246"/>
      <c r="AL699" s="1246"/>
      <c r="AM699" s="1246"/>
      <c r="AN699" s="1246"/>
      <c r="AO699" s="1246"/>
      <c r="AP699" s="1246"/>
      <c r="AQ699" s="1246"/>
      <c r="AR699" s="1246"/>
      <c r="AS699" s="1246"/>
      <c r="AT699" s="1246"/>
      <c r="AU699" s="1246"/>
      <c r="AV699" s="1246"/>
      <c r="AW699" s="1246"/>
      <c r="AX699" s="1246"/>
      <c r="AY699" s="1246"/>
      <c r="AZ699" s="1246"/>
    </row>
    <row r="700" spans="1:55" s="291" customFormat="1" ht="15.75">
      <c r="A700" s="297"/>
      <c r="B700" s="289"/>
      <c r="C700" s="289"/>
      <c r="D700" s="289"/>
      <c r="E700" s="289"/>
      <c r="F700" s="289"/>
      <c r="G700" s="289"/>
      <c r="H700" s="289"/>
      <c r="I700" s="289"/>
      <c r="J700" s="289"/>
      <c r="K700" s="308"/>
      <c r="L700" s="308"/>
      <c r="M700" s="308"/>
      <c r="N700" s="308"/>
      <c r="O700" s="308"/>
      <c r="P700" s="308"/>
      <c r="Q700" s="309"/>
      <c r="R700" s="309"/>
      <c r="S700" s="308"/>
      <c r="T700" s="308"/>
      <c r="U700" s="289"/>
      <c r="V700" s="289"/>
      <c r="W700" s="289"/>
      <c r="X700" s="289"/>
      <c r="Y700" s="308"/>
      <c r="Z700" s="308"/>
      <c r="AA700" s="308"/>
      <c r="AB700" s="289"/>
      <c r="AC700" s="289"/>
      <c r="AD700" s="289"/>
      <c r="AE700" s="289"/>
      <c r="AF700" s="289"/>
      <c r="AG700" s="289"/>
      <c r="AH700" s="289"/>
      <c r="AI700" s="289"/>
      <c r="AJ700" s="289"/>
      <c r="AK700" s="289"/>
      <c r="AL700" s="289"/>
      <c r="AM700" s="289"/>
      <c r="AN700" s="289"/>
      <c r="AO700" s="289"/>
      <c r="AP700" s="289"/>
      <c r="AQ700" s="289"/>
      <c r="AR700" s="289"/>
      <c r="AS700" s="289"/>
      <c r="AT700" s="289"/>
      <c r="AU700" s="289"/>
      <c r="AV700" s="289"/>
      <c r="AW700" s="289"/>
      <c r="AX700" s="289"/>
      <c r="AY700" s="289"/>
      <c r="AZ700" s="289"/>
    </row>
    <row r="701" spans="1:55" s="291" customFormat="1" ht="15.75">
      <c r="A701" s="297"/>
      <c r="B701" s="1256" t="s">
        <v>585</v>
      </c>
      <c r="C701" s="1256"/>
      <c r="D701" s="1256"/>
      <c r="E701" s="1256"/>
      <c r="F701" s="1256"/>
      <c r="G701" s="1256"/>
      <c r="H701" s="1256"/>
      <c r="I701" s="1256"/>
      <c r="J701" s="1256"/>
      <c r="K701" s="1256"/>
      <c r="L701" s="1601" t="s">
        <v>3253</v>
      </c>
      <c r="M701" s="1602"/>
      <c r="N701" s="1603"/>
      <c r="O701" s="1601" t="s">
        <v>586</v>
      </c>
      <c r="P701" s="1602"/>
      <c r="Q701" s="1602"/>
      <c r="R701" s="1603"/>
      <c r="S701" s="1305" t="s">
        <v>587</v>
      </c>
      <c r="T701" s="1306"/>
      <c r="U701" s="1306"/>
      <c r="V701" s="1307"/>
      <c r="W701" s="1305" t="s">
        <v>3254</v>
      </c>
      <c r="X701" s="1306"/>
      <c r="Y701" s="1306"/>
      <c r="Z701" s="1306"/>
      <c r="AA701" s="1306"/>
      <c r="AB701" s="1306"/>
      <c r="AC701" s="1306"/>
      <c r="AD701" s="1306"/>
      <c r="AE701" s="1307"/>
      <c r="AF701" s="1657" t="s">
        <v>588</v>
      </c>
      <c r="AG701" s="1658"/>
      <c r="AH701" s="1658"/>
      <c r="AI701" s="1658"/>
      <c r="AJ701" s="1658"/>
      <c r="AK701" s="1658"/>
      <c r="AL701" s="1658"/>
      <c r="AM701" s="1658"/>
      <c r="AN701" s="1658"/>
      <c r="AO701" s="1658"/>
      <c r="AP701" s="1658"/>
      <c r="AQ701" s="1658"/>
      <c r="AR701" s="1658"/>
      <c r="AS701" s="1658"/>
      <c r="AT701" s="1658"/>
      <c r="AU701" s="1658"/>
      <c r="AV701" s="1658"/>
      <c r="AW701" s="1658"/>
      <c r="AX701" s="1658"/>
      <c r="AY701" s="1658"/>
      <c r="AZ701" s="1659"/>
    </row>
    <row r="702" spans="1:55" s="291" customFormat="1" ht="21" customHeight="1">
      <c r="A702" s="297"/>
      <c r="B702" s="1208" t="s">
        <v>589</v>
      </c>
      <c r="C702" s="1208"/>
      <c r="D702" s="1208"/>
      <c r="E702" s="1208"/>
      <c r="F702" s="1208"/>
      <c r="G702" s="1208"/>
      <c r="H702" s="1208"/>
      <c r="I702" s="1208"/>
      <c r="J702" s="1208"/>
      <c r="K702" s="1187"/>
      <c r="L702" s="1401" t="s">
        <v>2798</v>
      </c>
      <c r="M702" s="1401"/>
      <c r="N702" s="1401"/>
      <c r="O702" s="1401" t="s">
        <v>2798</v>
      </c>
      <c r="P702" s="1401"/>
      <c r="Q702" s="1401"/>
      <c r="R702" s="1401"/>
      <c r="S702" s="1568" t="s">
        <v>2798</v>
      </c>
      <c r="T702" s="1568"/>
      <c r="U702" s="1568"/>
      <c r="V702" s="1569"/>
      <c r="W702" s="1172"/>
      <c r="X702" s="1173"/>
      <c r="Y702" s="1173"/>
      <c r="Z702" s="1173"/>
      <c r="AA702" s="1173"/>
      <c r="AB702" s="1173"/>
      <c r="AC702" s="1173"/>
      <c r="AD702" s="1173"/>
      <c r="AE702" s="1174"/>
      <c r="AF702" s="1291"/>
      <c r="AG702" s="1292"/>
      <c r="AH702" s="1292"/>
      <c r="AI702" s="1292"/>
      <c r="AJ702" s="1292"/>
      <c r="AK702" s="1292"/>
      <c r="AL702" s="1292"/>
      <c r="AM702" s="1292"/>
      <c r="AN702" s="1292"/>
      <c r="AO702" s="1292"/>
      <c r="AP702" s="1292"/>
      <c r="AQ702" s="1292"/>
      <c r="AR702" s="1292"/>
      <c r="AS702" s="1292"/>
      <c r="AT702" s="1292"/>
      <c r="AU702" s="1292"/>
      <c r="AV702" s="1292"/>
      <c r="AW702" s="1292"/>
      <c r="AX702" s="1292"/>
      <c r="AY702" s="1292"/>
      <c r="AZ702" s="1293"/>
    </row>
    <row r="703" spans="1:55" s="291" customFormat="1" ht="21" customHeight="1">
      <c r="A703" s="297"/>
      <c r="B703" s="1208" t="s">
        <v>591</v>
      </c>
      <c r="C703" s="1208"/>
      <c r="D703" s="1208"/>
      <c r="E703" s="1208"/>
      <c r="F703" s="1208"/>
      <c r="G703" s="1208"/>
      <c r="H703" s="1208"/>
      <c r="I703" s="1208"/>
      <c r="J703" s="1208"/>
      <c r="K703" s="1187"/>
      <c r="L703" s="1401" t="s">
        <v>2798</v>
      </c>
      <c r="M703" s="1401"/>
      <c r="N703" s="1401"/>
      <c r="O703" s="1401"/>
      <c r="P703" s="1401"/>
      <c r="Q703" s="1401"/>
      <c r="R703" s="1401"/>
      <c r="S703" s="1568" t="s">
        <v>2798</v>
      </c>
      <c r="T703" s="1568"/>
      <c r="U703" s="1568"/>
      <c r="V703" s="1569"/>
      <c r="W703" s="1172"/>
      <c r="X703" s="1173"/>
      <c r="Y703" s="1173"/>
      <c r="Z703" s="1173"/>
      <c r="AA703" s="1173"/>
      <c r="AB703" s="1173"/>
      <c r="AC703" s="1173"/>
      <c r="AD703" s="1173"/>
      <c r="AE703" s="1174"/>
      <c r="AF703" s="1291"/>
      <c r="AG703" s="1292"/>
      <c r="AH703" s="1292"/>
      <c r="AI703" s="1292"/>
      <c r="AJ703" s="1292"/>
      <c r="AK703" s="1292"/>
      <c r="AL703" s="1292"/>
      <c r="AM703" s="1292"/>
      <c r="AN703" s="1292"/>
      <c r="AO703" s="1292"/>
      <c r="AP703" s="1292"/>
      <c r="AQ703" s="1292"/>
      <c r="AR703" s="1292"/>
      <c r="AS703" s="1292"/>
      <c r="AT703" s="1292"/>
      <c r="AU703" s="1292"/>
      <c r="AV703" s="1292"/>
      <c r="AW703" s="1292"/>
      <c r="AX703" s="1292"/>
      <c r="AY703" s="1292"/>
      <c r="AZ703" s="1293"/>
    </row>
    <row r="704" spans="1:55" s="291" customFormat="1" ht="21" customHeight="1">
      <c r="A704" s="297"/>
      <c r="B704" s="1208" t="s">
        <v>593</v>
      </c>
      <c r="C704" s="1208"/>
      <c r="D704" s="1208"/>
      <c r="E704" s="1208"/>
      <c r="F704" s="1208"/>
      <c r="G704" s="1208"/>
      <c r="H704" s="1208"/>
      <c r="I704" s="1208"/>
      <c r="J704" s="1208"/>
      <c r="K704" s="1187"/>
      <c r="L704" s="1401" t="s">
        <v>2798</v>
      </c>
      <c r="M704" s="1401"/>
      <c r="N704" s="1401"/>
      <c r="O704" s="1401"/>
      <c r="P704" s="1401"/>
      <c r="Q704" s="1401"/>
      <c r="R704" s="1401"/>
      <c r="S704" s="1568" t="s">
        <v>2798</v>
      </c>
      <c r="T704" s="1568"/>
      <c r="U704" s="1568"/>
      <c r="V704" s="1569"/>
      <c r="W704" s="1172"/>
      <c r="X704" s="1173"/>
      <c r="Y704" s="1173"/>
      <c r="Z704" s="1173"/>
      <c r="AA704" s="1173"/>
      <c r="AB704" s="1173"/>
      <c r="AC704" s="1173"/>
      <c r="AD704" s="1173"/>
      <c r="AE704" s="1174"/>
      <c r="AF704" s="1291"/>
      <c r="AG704" s="1292"/>
      <c r="AH704" s="1292"/>
      <c r="AI704" s="1292"/>
      <c r="AJ704" s="1292"/>
      <c r="AK704" s="1292"/>
      <c r="AL704" s="1292"/>
      <c r="AM704" s="1292"/>
      <c r="AN704" s="1292"/>
      <c r="AO704" s="1292"/>
      <c r="AP704" s="1292"/>
      <c r="AQ704" s="1292"/>
      <c r="AR704" s="1292"/>
      <c r="AS704" s="1292"/>
      <c r="AT704" s="1292"/>
      <c r="AU704" s="1292"/>
      <c r="AV704" s="1292"/>
      <c r="AW704" s="1292"/>
      <c r="AX704" s="1292"/>
      <c r="AY704" s="1292"/>
      <c r="AZ704" s="1293"/>
    </row>
    <row r="705" spans="1:52" s="291" customFormat="1" ht="21" customHeight="1">
      <c r="A705" s="297"/>
      <c r="B705" s="1208" t="s">
        <v>594</v>
      </c>
      <c r="C705" s="1208"/>
      <c r="D705" s="1208"/>
      <c r="E705" s="1208"/>
      <c r="F705" s="1208"/>
      <c r="G705" s="1208"/>
      <c r="H705" s="1208"/>
      <c r="I705" s="1208"/>
      <c r="J705" s="1208"/>
      <c r="K705" s="1187"/>
      <c r="L705" s="1401"/>
      <c r="M705" s="1401"/>
      <c r="N705" s="1401"/>
      <c r="O705" s="1401"/>
      <c r="P705" s="1401"/>
      <c r="Q705" s="1401"/>
      <c r="R705" s="1401"/>
      <c r="S705" s="1568" t="s">
        <v>2798</v>
      </c>
      <c r="T705" s="1568"/>
      <c r="U705" s="1568"/>
      <c r="V705" s="1569"/>
      <c r="W705" s="1172"/>
      <c r="X705" s="1173"/>
      <c r="Y705" s="1173"/>
      <c r="Z705" s="1173"/>
      <c r="AA705" s="1173"/>
      <c r="AB705" s="1173"/>
      <c r="AC705" s="1173"/>
      <c r="AD705" s="1173"/>
      <c r="AE705" s="1174"/>
      <c r="AF705" s="1291"/>
      <c r="AG705" s="1292"/>
      <c r="AH705" s="1292"/>
      <c r="AI705" s="1292"/>
      <c r="AJ705" s="1292"/>
      <c r="AK705" s="1292"/>
      <c r="AL705" s="1292"/>
      <c r="AM705" s="1292"/>
      <c r="AN705" s="1292"/>
      <c r="AO705" s="1292"/>
      <c r="AP705" s="1292"/>
      <c r="AQ705" s="1292"/>
      <c r="AR705" s="1292"/>
      <c r="AS705" s="1292"/>
      <c r="AT705" s="1292"/>
      <c r="AU705" s="1292"/>
      <c r="AV705" s="1292"/>
      <c r="AW705" s="1292"/>
      <c r="AX705" s="1292"/>
      <c r="AY705" s="1292"/>
      <c r="AZ705" s="1293"/>
    </row>
    <row r="706" spans="1:52" s="291" customFormat="1" ht="21" customHeight="1">
      <c r="A706" s="297"/>
      <c r="B706" s="1208" t="s">
        <v>597</v>
      </c>
      <c r="C706" s="1208"/>
      <c r="D706" s="1208"/>
      <c r="E706" s="1208"/>
      <c r="F706" s="1208"/>
      <c r="G706" s="1208"/>
      <c r="H706" s="1208"/>
      <c r="I706" s="1208"/>
      <c r="J706" s="1208"/>
      <c r="K706" s="1187"/>
      <c r="L706" s="1401"/>
      <c r="M706" s="1401"/>
      <c r="N706" s="1401"/>
      <c r="O706" s="1401"/>
      <c r="P706" s="1401"/>
      <c r="Q706" s="1401"/>
      <c r="R706" s="1401"/>
      <c r="S706" s="1568" t="s">
        <v>2798</v>
      </c>
      <c r="T706" s="1568"/>
      <c r="U706" s="1568"/>
      <c r="V706" s="1569"/>
      <c r="W706" s="1172"/>
      <c r="X706" s="1173"/>
      <c r="Y706" s="1173"/>
      <c r="Z706" s="1173"/>
      <c r="AA706" s="1173"/>
      <c r="AB706" s="1173"/>
      <c r="AC706" s="1173"/>
      <c r="AD706" s="1173"/>
      <c r="AE706" s="1174"/>
      <c r="AF706" s="1291"/>
      <c r="AG706" s="1292"/>
      <c r="AH706" s="1292"/>
      <c r="AI706" s="1292"/>
      <c r="AJ706" s="1292"/>
      <c r="AK706" s="1292"/>
      <c r="AL706" s="1292"/>
      <c r="AM706" s="1292"/>
      <c r="AN706" s="1292"/>
      <c r="AO706" s="1292"/>
      <c r="AP706" s="1292"/>
      <c r="AQ706" s="1292"/>
      <c r="AR706" s="1292"/>
      <c r="AS706" s="1292"/>
      <c r="AT706" s="1292"/>
      <c r="AU706" s="1292"/>
      <c r="AV706" s="1292"/>
      <c r="AW706" s="1292"/>
      <c r="AX706" s="1292"/>
      <c r="AY706" s="1292"/>
      <c r="AZ706" s="1293"/>
    </row>
    <row r="707" spans="1:52" s="291" customFormat="1" ht="21" customHeight="1">
      <c r="A707" s="297"/>
      <c r="B707" s="1208" t="s">
        <v>598</v>
      </c>
      <c r="C707" s="1208"/>
      <c r="D707" s="1208"/>
      <c r="E707" s="1208"/>
      <c r="F707" s="1208"/>
      <c r="G707" s="1208"/>
      <c r="H707" s="1208"/>
      <c r="I707" s="1208"/>
      <c r="J707" s="1208"/>
      <c r="K707" s="1187"/>
      <c r="L707" s="1401"/>
      <c r="M707" s="1401"/>
      <c r="N707" s="1401"/>
      <c r="O707" s="1401"/>
      <c r="P707" s="1401"/>
      <c r="Q707" s="1401"/>
      <c r="R707" s="1401"/>
      <c r="S707" s="1568" t="s">
        <v>2798</v>
      </c>
      <c r="T707" s="1568"/>
      <c r="U707" s="1568"/>
      <c r="V707" s="1569"/>
      <c r="W707" s="1172"/>
      <c r="X707" s="1173"/>
      <c r="Y707" s="1173"/>
      <c r="Z707" s="1173"/>
      <c r="AA707" s="1173"/>
      <c r="AB707" s="1173"/>
      <c r="AC707" s="1173"/>
      <c r="AD707" s="1173"/>
      <c r="AE707" s="1174"/>
      <c r="AF707" s="1291"/>
      <c r="AG707" s="1292"/>
      <c r="AH707" s="1292"/>
      <c r="AI707" s="1292"/>
      <c r="AJ707" s="1292"/>
      <c r="AK707" s="1292"/>
      <c r="AL707" s="1292"/>
      <c r="AM707" s="1292"/>
      <c r="AN707" s="1292"/>
      <c r="AO707" s="1292"/>
      <c r="AP707" s="1292"/>
      <c r="AQ707" s="1292"/>
      <c r="AR707" s="1292"/>
      <c r="AS707" s="1292"/>
      <c r="AT707" s="1292"/>
      <c r="AU707" s="1292"/>
      <c r="AV707" s="1292"/>
      <c r="AW707" s="1292"/>
      <c r="AX707" s="1292"/>
      <c r="AY707" s="1292"/>
      <c r="AZ707" s="1293"/>
    </row>
    <row r="708" spans="1:52" s="291" customFormat="1" ht="21" customHeight="1">
      <c r="A708" s="297"/>
      <c r="B708" s="1353" t="s">
        <v>2617</v>
      </c>
      <c r="C708" s="1353"/>
      <c r="D708" s="1353"/>
      <c r="E708" s="1353"/>
      <c r="F708" s="1353"/>
      <c r="G708" s="1353"/>
      <c r="H708" s="1353"/>
      <c r="I708" s="1353"/>
      <c r="J708" s="1353"/>
      <c r="K708" s="1251"/>
      <c r="L708" s="1354"/>
      <c r="M708" s="1354"/>
      <c r="N708" s="1354"/>
      <c r="O708" s="1354"/>
      <c r="P708" s="1354"/>
      <c r="Q708" s="1354"/>
      <c r="R708" s="1354"/>
      <c r="S708" s="1173"/>
      <c r="T708" s="1173"/>
      <c r="U708" s="1173"/>
      <c r="V708" s="1174"/>
      <c r="W708" s="1172"/>
      <c r="X708" s="1173"/>
      <c r="Y708" s="1173"/>
      <c r="Z708" s="1173"/>
      <c r="AA708" s="1173"/>
      <c r="AB708" s="1173"/>
      <c r="AC708" s="1173"/>
      <c r="AD708" s="1173"/>
      <c r="AE708" s="1174"/>
      <c r="AF708" s="1291"/>
      <c r="AG708" s="1292"/>
      <c r="AH708" s="1292"/>
      <c r="AI708" s="1292"/>
      <c r="AJ708" s="1292"/>
      <c r="AK708" s="1292"/>
      <c r="AL708" s="1292"/>
      <c r="AM708" s="1292"/>
      <c r="AN708" s="1292"/>
      <c r="AO708" s="1292"/>
      <c r="AP708" s="1292"/>
      <c r="AQ708" s="1292"/>
      <c r="AR708" s="1292"/>
      <c r="AS708" s="1292"/>
      <c r="AT708" s="1292"/>
      <c r="AU708" s="1292"/>
      <c r="AV708" s="1292"/>
      <c r="AW708" s="1292"/>
      <c r="AX708" s="1292"/>
      <c r="AY708" s="1292"/>
      <c r="AZ708" s="1293"/>
    </row>
    <row r="709" spans="1:52" s="291" customFormat="1" ht="15.75">
      <c r="A709" s="297"/>
      <c r="B709" s="289"/>
      <c r="C709" s="289"/>
      <c r="D709" s="289"/>
      <c r="E709" s="289"/>
      <c r="F709" s="289"/>
      <c r="G709" s="289"/>
      <c r="H709" s="289"/>
      <c r="I709" s="289"/>
      <c r="J709" s="289"/>
      <c r="K709" s="308"/>
      <c r="L709" s="308"/>
      <c r="M709" s="308"/>
      <c r="N709" s="308"/>
      <c r="O709" s="308"/>
      <c r="P709" s="308"/>
      <c r="Q709" s="309"/>
      <c r="R709" s="309"/>
      <c r="S709" s="308"/>
      <c r="T709" s="308"/>
      <c r="U709" s="289"/>
      <c r="V709" s="289"/>
      <c r="W709" s="289"/>
      <c r="X709" s="289"/>
      <c r="Y709" s="308"/>
      <c r="Z709" s="308"/>
      <c r="AA709" s="308"/>
      <c r="AB709" s="289"/>
      <c r="AC709" s="289"/>
      <c r="AD709" s="289"/>
      <c r="AE709" s="289"/>
      <c r="AF709" s="289"/>
      <c r="AG709" s="289"/>
      <c r="AH709" s="289"/>
      <c r="AI709" s="289"/>
      <c r="AJ709" s="289"/>
      <c r="AK709" s="289"/>
      <c r="AL709" s="289"/>
      <c r="AM709" s="289"/>
      <c r="AN709" s="289"/>
      <c r="AO709" s="289"/>
      <c r="AP709" s="289"/>
      <c r="AQ709" s="289"/>
      <c r="AR709" s="289"/>
      <c r="AS709" s="289"/>
      <c r="AT709" s="289"/>
      <c r="AU709" s="289"/>
      <c r="AV709" s="289"/>
      <c r="AW709" s="289"/>
      <c r="AX709" s="289"/>
      <c r="AY709" s="289"/>
      <c r="AZ709" s="289"/>
    </row>
    <row r="710" spans="1:52" s="291" customFormat="1" ht="15.75">
      <c r="A710" s="292" t="s">
        <v>603</v>
      </c>
      <c r="B710" s="1246" t="s">
        <v>600</v>
      </c>
      <c r="C710" s="1246"/>
      <c r="D710" s="1246"/>
      <c r="E710" s="1246"/>
      <c r="F710" s="1246"/>
      <c r="G710" s="1246"/>
      <c r="H710" s="1246"/>
      <c r="I710" s="1246"/>
      <c r="J710" s="1246"/>
      <c r="K710" s="1246"/>
      <c r="L710" s="1246"/>
      <c r="M710" s="1246"/>
      <c r="N710" s="1246"/>
      <c r="O710" s="1246"/>
      <c r="P710" s="1246"/>
      <c r="Q710" s="1246"/>
      <c r="R710" s="1246"/>
      <c r="S710" s="1246"/>
      <c r="T710" s="1246"/>
      <c r="U710" s="1246"/>
      <c r="V710" s="1246"/>
      <c r="W710" s="1246"/>
      <c r="X710" s="1246"/>
      <c r="Y710" s="1246"/>
      <c r="Z710" s="1246"/>
      <c r="AA710" s="1246"/>
      <c r="AB710" s="1246"/>
      <c r="AC710" s="1246"/>
      <c r="AD710" s="1246"/>
      <c r="AE710" s="1246"/>
      <c r="AF710" s="1246"/>
      <c r="AG710" s="1246"/>
      <c r="AH710" s="1246"/>
      <c r="AI710" s="1246"/>
      <c r="AJ710" s="1246"/>
      <c r="AK710" s="1246"/>
      <c r="AL710" s="1246"/>
      <c r="AM710" s="1246"/>
      <c r="AN710" s="1246"/>
      <c r="AO710" s="1246"/>
      <c r="AP710" s="1246"/>
      <c r="AQ710" s="1246"/>
      <c r="AR710" s="1246"/>
      <c r="AS710" s="1246"/>
      <c r="AT710" s="1246"/>
      <c r="AU710" s="1246"/>
      <c r="AV710" s="1246"/>
      <c r="AW710" s="1246"/>
      <c r="AX710" s="1246"/>
      <c r="AY710" s="1246"/>
      <c r="AZ710" s="1246"/>
    </row>
    <row r="711" spans="1:52" s="291" customFormat="1" ht="15.75">
      <c r="A711" s="294"/>
      <c r="B711" s="288"/>
      <c r="C711" s="288"/>
      <c r="D711" s="288"/>
      <c r="E711" s="288"/>
      <c r="F711" s="288"/>
      <c r="G711" s="288"/>
      <c r="H711" s="288"/>
      <c r="I711" s="288"/>
      <c r="J711" s="288"/>
      <c r="K711" s="287"/>
      <c r="L711" s="287"/>
      <c r="M711" s="287"/>
      <c r="N711" s="287"/>
      <c r="O711" s="287"/>
      <c r="P711" s="287"/>
      <c r="Q711" s="1158"/>
      <c r="R711" s="1158"/>
      <c r="S711" s="287"/>
      <c r="T711" s="287"/>
      <c r="U711" s="288"/>
      <c r="V711" s="288"/>
      <c r="W711" s="288"/>
      <c r="X711" s="288"/>
      <c r="Y711" s="287"/>
      <c r="Z711" s="287"/>
      <c r="AA711" s="287"/>
      <c r="AB711" s="288"/>
      <c r="AC711" s="288"/>
      <c r="AD711" s="288"/>
      <c r="AE711" s="288"/>
      <c r="AF711" s="288"/>
      <c r="AG711" s="288"/>
      <c r="AH711" s="288"/>
      <c r="AI711" s="288"/>
      <c r="AJ711" s="288"/>
      <c r="AK711" s="288"/>
      <c r="AL711" s="288"/>
      <c r="AM711" s="288"/>
      <c r="AN711" s="288"/>
      <c r="AO711" s="288"/>
      <c r="AP711" s="288"/>
      <c r="AQ711" s="288"/>
      <c r="AR711" s="288"/>
      <c r="AS711" s="288"/>
      <c r="AT711" s="288"/>
      <c r="AU711" s="288"/>
      <c r="AV711" s="288"/>
      <c r="AW711" s="288"/>
      <c r="AX711" s="288"/>
      <c r="AY711" s="288"/>
      <c r="AZ711" s="288"/>
    </row>
    <row r="712" spans="1:52" s="291" customFormat="1" ht="27" customHeight="1">
      <c r="A712" s="294"/>
      <c r="B712" s="1322" t="s">
        <v>601</v>
      </c>
      <c r="C712" s="1322"/>
      <c r="D712" s="1322"/>
      <c r="E712" s="1322"/>
      <c r="F712" s="1322"/>
      <c r="G712" s="1322"/>
      <c r="H712" s="1322"/>
      <c r="I712" s="1322"/>
      <c r="J712" s="1322"/>
      <c r="K712" s="1322"/>
      <c r="L712" s="1322"/>
      <c r="M712" s="1322"/>
      <c r="N712" s="1322"/>
      <c r="O712" s="1322"/>
      <c r="P712" s="1322"/>
      <c r="Q712" s="1322"/>
      <c r="R712" s="1590" t="s">
        <v>2798</v>
      </c>
      <c r="S712" s="1590"/>
      <c r="T712" s="1590"/>
      <c r="U712" s="1590"/>
      <c r="V712" s="1590"/>
      <c r="W712" s="1590"/>
      <c r="X712" s="1590"/>
      <c r="Y712" s="1590"/>
      <c r="Z712" s="1590"/>
      <c r="AA712" s="1590"/>
      <c r="AB712" s="1590"/>
      <c r="AC712" s="1590"/>
      <c r="AD712" s="1590"/>
      <c r="AE712" s="1590"/>
      <c r="AF712" s="288"/>
      <c r="AG712" s="288"/>
      <c r="AH712" s="288"/>
      <c r="AI712" s="288"/>
      <c r="AJ712" s="288"/>
      <c r="AK712" s="288"/>
      <c r="AL712" s="288"/>
      <c r="AM712" s="288"/>
      <c r="AN712" s="288"/>
      <c r="AO712" s="288"/>
      <c r="AP712" s="288"/>
      <c r="AQ712" s="288"/>
      <c r="AR712" s="288"/>
      <c r="AS712" s="288"/>
      <c r="AT712" s="288"/>
      <c r="AU712" s="288"/>
      <c r="AV712" s="288"/>
      <c r="AW712" s="288"/>
      <c r="AX712" s="288"/>
      <c r="AY712" s="288"/>
      <c r="AZ712" s="288"/>
    </row>
    <row r="713" spans="1:52" s="291" customFormat="1" ht="15.75">
      <c r="A713" s="294"/>
      <c r="B713" s="288"/>
      <c r="C713" s="288"/>
      <c r="D713" s="288"/>
      <c r="E713" s="288"/>
      <c r="F713" s="288"/>
      <c r="G713" s="288"/>
      <c r="H713" s="288"/>
      <c r="I713" s="288"/>
      <c r="J713" s="288"/>
      <c r="K713" s="287"/>
      <c r="L713" s="287"/>
      <c r="M713" s="287"/>
      <c r="N713" s="287"/>
      <c r="O713" s="287"/>
      <c r="P713" s="287"/>
      <c r="Q713" s="1158"/>
      <c r="R713" s="1158"/>
      <c r="S713" s="287"/>
      <c r="T713" s="287"/>
      <c r="U713" s="288"/>
      <c r="V713" s="288"/>
      <c r="W713" s="288"/>
      <c r="X713" s="288"/>
      <c r="Y713" s="287"/>
      <c r="Z713" s="287"/>
      <c r="AA713" s="287"/>
      <c r="AB713" s="288"/>
      <c r="AC713" s="288"/>
      <c r="AD713" s="288"/>
      <c r="AE713" s="288"/>
      <c r="AF713" s="288"/>
      <c r="AG713" s="288"/>
      <c r="AH713" s="288"/>
      <c r="AI713" s="288"/>
      <c r="AJ713" s="288"/>
      <c r="AK713" s="288"/>
      <c r="AL713" s="288"/>
      <c r="AM713" s="288"/>
      <c r="AN713" s="288"/>
      <c r="AO713" s="288"/>
      <c r="AP713" s="288"/>
      <c r="AQ713" s="288"/>
      <c r="AR713" s="288"/>
      <c r="AS713" s="288"/>
      <c r="AT713" s="288"/>
      <c r="AU713" s="288"/>
      <c r="AV713" s="288"/>
      <c r="AW713" s="288"/>
      <c r="AX713" s="288"/>
      <c r="AY713" s="288"/>
      <c r="AZ713" s="288"/>
    </row>
    <row r="714" spans="1:52" s="291" customFormat="1" ht="27" customHeight="1">
      <c r="A714" s="294"/>
      <c r="B714" s="1322" t="s">
        <v>602</v>
      </c>
      <c r="C714" s="1322"/>
      <c r="D714" s="1322"/>
      <c r="E714" s="1322"/>
      <c r="F714" s="1322"/>
      <c r="G714" s="1322"/>
      <c r="H714" s="1322"/>
      <c r="I714" s="1322"/>
      <c r="J714" s="1322"/>
      <c r="K714" s="1322"/>
      <c r="L714" s="1322"/>
      <c r="M714" s="1322"/>
      <c r="N714" s="1322"/>
      <c r="O714" s="1322"/>
      <c r="P714" s="1322"/>
      <c r="Q714" s="1322"/>
      <c r="R714" s="1590" t="s">
        <v>2798</v>
      </c>
      <c r="S714" s="1590"/>
      <c r="T714" s="1590"/>
      <c r="U714" s="1590"/>
      <c r="V714" s="1590"/>
      <c r="W714" s="1590"/>
      <c r="X714" s="1590"/>
      <c r="Y714" s="1590"/>
      <c r="Z714" s="1590"/>
      <c r="AA714" s="1590"/>
      <c r="AB714" s="1590"/>
      <c r="AC714" s="1590"/>
      <c r="AD714" s="1590"/>
      <c r="AE714" s="1590"/>
      <c r="AF714" s="288"/>
      <c r="AG714" s="288"/>
      <c r="AH714" s="288"/>
      <c r="AI714" s="288"/>
      <c r="AJ714" s="288"/>
      <c r="AK714" s="288"/>
      <c r="AL714" s="288"/>
      <c r="AM714" s="288"/>
      <c r="AN714" s="288"/>
      <c r="AO714" s="288"/>
      <c r="AP714" s="288"/>
      <c r="AQ714" s="288"/>
      <c r="AR714" s="288"/>
      <c r="AS714" s="288"/>
      <c r="AT714" s="288"/>
      <c r="AU714" s="288"/>
      <c r="AV714" s="288"/>
      <c r="AW714" s="288"/>
      <c r="AX714" s="288"/>
      <c r="AY714" s="288"/>
      <c r="AZ714" s="288"/>
    </row>
    <row r="715" spans="1:52" s="291" customFormat="1" ht="15.75">
      <c r="A715" s="297"/>
      <c r="B715" s="289"/>
      <c r="C715" s="289"/>
      <c r="D715" s="289"/>
      <c r="E715" s="289"/>
      <c r="F715" s="289"/>
      <c r="G715" s="289"/>
      <c r="H715" s="289"/>
      <c r="I715" s="289"/>
      <c r="J715" s="289"/>
      <c r="K715" s="308"/>
      <c r="L715" s="308"/>
      <c r="M715" s="308"/>
      <c r="N715" s="308"/>
      <c r="O715" s="308"/>
      <c r="P715" s="308"/>
      <c r="Q715" s="309"/>
      <c r="R715" s="309"/>
      <c r="S715" s="308"/>
      <c r="T715" s="308"/>
      <c r="U715" s="289"/>
      <c r="V715" s="289"/>
      <c r="W715" s="289"/>
      <c r="X715" s="289"/>
      <c r="Y715" s="308"/>
      <c r="Z715" s="308"/>
      <c r="AA715" s="308"/>
      <c r="AB715" s="289"/>
      <c r="AC715" s="289"/>
      <c r="AD715" s="289"/>
      <c r="AE715" s="289"/>
      <c r="AF715" s="289"/>
      <c r="AG715" s="289"/>
      <c r="AH715" s="289"/>
      <c r="AI715" s="289"/>
      <c r="AJ715" s="289"/>
      <c r="AK715" s="289"/>
      <c r="AL715" s="289"/>
      <c r="AM715" s="289"/>
      <c r="AN715" s="289"/>
      <c r="AO715" s="289"/>
      <c r="AP715" s="289"/>
      <c r="AQ715" s="289"/>
      <c r="AR715" s="289"/>
      <c r="AS715" s="289"/>
      <c r="AT715" s="289"/>
      <c r="AU715" s="289"/>
      <c r="AV715" s="289"/>
      <c r="AW715" s="289"/>
      <c r="AX715" s="289"/>
      <c r="AY715" s="289"/>
      <c r="AZ715" s="289"/>
    </row>
    <row r="716" spans="1:52" s="291" customFormat="1" ht="15.75">
      <c r="A716" s="292" t="s">
        <v>2600</v>
      </c>
      <c r="B716" s="1246" t="s">
        <v>604</v>
      </c>
      <c r="C716" s="1246"/>
      <c r="D716" s="1246"/>
      <c r="E716" s="1246"/>
      <c r="F716" s="1246"/>
      <c r="G716" s="1246"/>
      <c r="H716" s="1246"/>
      <c r="I716" s="1246"/>
      <c r="J716" s="1246"/>
      <c r="K716" s="1246"/>
      <c r="L716" s="1246"/>
      <c r="M716" s="1246"/>
      <c r="N716" s="1246"/>
      <c r="O716" s="1246"/>
      <c r="P716" s="1246"/>
      <c r="Q716" s="1246"/>
      <c r="R716" s="1246"/>
      <c r="S716" s="1246"/>
      <c r="T716" s="1246"/>
      <c r="U716" s="1246"/>
      <c r="V716" s="1246"/>
      <c r="W716" s="1246"/>
      <c r="X716" s="1246"/>
      <c r="Y716" s="1246"/>
      <c r="Z716" s="1246"/>
      <c r="AA716" s="1246"/>
      <c r="AB716" s="1246"/>
      <c r="AC716" s="1246"/>
      <c r="AD716" s="1246"/>
      <c r="AE716" s="1246"/>
      <c r="AF716" s="1246"/>
      <c r="AG716" s="1246"/>
      <c r="AH716" s="1246"/>
      <c r="AI716" s="1246"/>
      <c r="AJ716" s="1246"/>
      <c r="AK716" s="1246"/>
      <c r="AL716" s="1246"/>
      <c r="AM716" s="1246"/>
      <c r="AN716" s="1246"/>
      <c r="AO716" s="1246"/>
      <c r="AP716" s="1246"/>
      <c r="AQ716" s="1246"/>
      <c r="AR716" s="1246"/>
      <c r="AS716" s="1246"/>
      <c r="AT716" s="1246"/>
      <c r="AU716" s="1246"/>
      <c r="AV716" s="1246"/>
      <c r="AW716" s="1246"/>
      <c r="AX716" s="1246"/>
      <c r="AY716" s="1246"/>
      <c r="AZ716" s="1246"/>
    </row>
    <row r="717" spans="1:52" s="291" customFormat="1" ht="15.75">
      <c r="A717" s="294"/>
      <c r="B717" s="288"/>
      <c r="C717" s="288"/>
      <c r="D717" s="288"/>
      <c r="E717" s="288"/>
      <c r="F717" s="288"/>
      <c r="G717" s="288"/>
      <c r="H717" s="288"/>
      <c r="I717" s="288"/>
      <c r="J717" s="288"/>
      <c r="K717" s="287"/>
      <c r="L717" s="287"/>
      <c r="M717" s="287"/>
      <c r="N717" s="287"/>
      <c r="O717" s="287"/>
      <c r="P717" s="287"/>
      <c r="Q717" s="488"/>
      <c r="R717" s="488"/>
      <c r="S717" s="287"/>
      <c r="T717" s="287"/>
      <c r="U717" s="288"/>
      <c r="V717" s="288"/>
      <c r="W717" s="288"/>
      <c r="X717" s="288"/>
      <c r="Y717" s="287"/>
      <c r="Z717" s="287"/>
      <c r="AA717" s="287"/>
      <c r="AB717" s="288"/>
      <c r="AC717" s="288"/>
      <c r="AD717" s="288"/>
      <c r="AE717" s="288"/>
      <c r="AF717" s="288"/>
      <c r="AG717" s="288"/>
      <c r="AH717" s="288"/>
      <c r="AI717" s="288"/>
      <c r="AJ717" s="288"/>
      <c r="AK717" s="288"/>
      <c r="AL717" s="288"/>
      <c r="AM717" s="288"/>
      <c r="AN717" s="288"/>
      <c r="AO717" s="288"/>
      <c r="AP717" s="288"/>
      <c r="AQ717" s="288"/>
      <c r="AR717" s="288"/>
      <c r="AS717" s="288"/>
      <c r="AT717" s="288"/>
      <c r="AU717" s="288"/>
      <c r="AV717" s="288"/>
      <c r="AW717" s="288"/>
      <c r="AX717" s="288"/>
      <c r="AY717" s="288"/>
      <c r="AZ717" s="288"/>
    </row>
    <row r="718" spans="1:52" s="291" customFormat="1" ht="15.75">
      <c r="A718" s="294"/>
      <c r="B718" s="1256" t="s">
        <v>605</v>
      </c>
      <c r="C718" s="1256"/>
      <c r="D718" s="1256"/>
      <c r="E718" s="1256"/>
      <c r="F718" s="1256"/>
      <c r="G718" s="1256"/>
      <c r="H718" s="1256"/>
      <c r="I718" s="1256"/>
      <c r="J718" s="1256"/>
      <c r="K718" s="1256"/>
      <c r="L718" s="1256"/>
      <c r="M718" s="1256"/>
      <c r="N718" s="1305" t="s">
        <v>606</v>
      </c>
      <c r="O718" s="1306"/>
      <c r="P718" s="1306"/>
      <c r="Q718" s="1306"/>
      <c r="R718" s="1306"/>
      <c r="S718" s="1306"/>
      <c r="T718" s="1306"/>
      <c r="U718" s="1306"/>
      <c r="V718" s="1306"/>
      <c r="W718" s="1306"/>
      <c r="X718" s="1306"/>
      <c r="Y718" s="1306"/>
      <c r="Z718" s="1307"/>
      <c r="AA718" s="1221" t="s">
        <v>607</v>
      </c>
      <c r="AB718" s="1221"/>
      <c r="AC718" s="1221"/>
      <c r="AD718" s="1221"/>
      <c r="AE718" s="1221"/>
      <c r="AF718" s="288"/>
      <c r="AG718" s="288"/>
      <c r="AH718" s="288"/>
      <c r="AI718" s="288"/>
      <c r="AJ718" s="288"/>
      <c r="AK718" s="288"/>
      <c r="AL718" s="288"/>
      <c r="AM718" s="288"/>
      <c r="AN718" s="288"/>
      <c r="AO718" s="288"/>
      <c r="AP718" s="288"/>
      <c r="AQ718" s="288"/>
      <c r="AR718" s="288"/>
      <c r="AS718" s="288"/>
      <c r="AT718" s="288"/>
      <c r="AU718" s="288"/>
      <c r="AV718" s="288"/>
      <c r="AW718" s="288"/>
      <c r="AX718" s="288"/>
      <c r="AY718" s="288"/>
      <c r="AZ718" s="288"/>
    </row>
    <row r="719" spans="1:52" s="291" customFormat="1" ht="15.75">
      <c r="A719" s="294"/>
      <c r="B719" s="1329" t="s">
        <v>2590</v>
      </c>
      <c r="C719" s="1329"/>
      <c r="D719" s="1329"/>
      <c r="E719" s="1329"/>
      <c r="F719" s="1329"/>
      <c r="G719" s="1329"/>
      <c r="H719" s="1329"/>
      <c r="I719" s="1329"/>
      <c r="J719" s="1329"/>
      <c r="K719" s="1329"/>
      <c r="L719" s="1329"/>
      <c r="M719" s="1329"/>
      <c r="N719" s="1228"/>
      <c r="O719" s="1229"/>
      <c r="P719" s="1229"/>
      <c r="Q719" s="1229"/>
      <c r="R719" s="1229"/>
      <c r="S719" s="1229"/>
      <c r="T719" s="1229"/>
      <c r="U719" s="1229"/>
      <c r="V719" s="1229"/>
      <c r="W719" s="1229"/>
      <c r="X719" s="1229"/>
      <c r="Y719" s="1229"/>
      <c r="Z719" s="1230"/>
      <c r="AA719" s="1379">
        <f>SUM(AA720:AE722)</f>
        <v>0</v>
      </c>
      <c r="AB719" s="1379"/>
      <c r="AC719" s="1379"/>
      <c r="AD719" s="1379"/>
      <c r="AE719" s="1379"/>
      <c r="AF719" s="288"/>
      <c r="AG719" s="288"/>
      <c r="AH719" s="288"/>
      <c r="AI719" s="288"/>
      <c r="AJ719" s="288"/>
      <c r="AK719" s="288"/>
      <c r="AL719" s="288"/>
      <c r="AM719" s="288"/>
      <c r="AN719" s="288"/>
      <c r="AO719" s="288"/>
      <c r="AP719" s="288"/>
      <c r="AQ719" s="288"/>
      <c r="AR719" s="288"/>
      <c r="AS719" s="288"/>
      <c r="AT719" s="288"/>
      <c r="AU719" s="288"/>
      <c r="AV719" s="288"/>
      <c r="AW719" s="288"/>
      <c r="AX719" s="288"/>
      <c r="AY719" s="288"/>
      <c r="AZ719" s="288"/>
    </row>
    <row r="720" spans="1:52" s="291" customFormat="1" ht="15.75">
      <c r="A720" s="297"/>
      <c r="B720" s="1353"/>
      <c r="C720" s="1353"/>
      <c r="D720" s="1353"/>
      <c r="E720" s="1353"/>
      <c r="F720" s="1353"/>
      <c r="G720" s="1353"/>
      <c r="H720" s="1353"/>
      <c r="I720" s="1353"/>
      <c r="J720" s="1353"/>
      <c r="K720" s="1353"/>
      <c r="L720" s="1353"/>
      <c r="M720" s="1353"/>
      <c r="N720" s="1172"/>
      <c r="O720" s="1173"/>
      <c r="P720" s="1173"/>
      <c r="Q720" s="1173"/>
      <c r="R720" s="1173"/>
      <c r="S720" s="1173"/>
      <c r="T720" s="1173"/>
      <c r="U720" s="1173"/>
      <c r="V720" s="1173"/>
      <c r="W720" s="1173"/>
      <c r="X720" s="1173"/>
      <c r="Y720" s="1173"/>
      <c r="Z720" s="1174"/>
      <c r="AA720" s="1354"/>
      <c r="AB720" s="1354"/>
      <c r="AC720" s="1354"/>
      <c r="AD720" s="1354"/>
      <c r="AE720" s="1354"/>
      <c r="AF720" s="289"/>
      <c r="AG720" s="289"/>
      <c r="AH720" s="289"/>
      <c r="AI720" s="289"/>
      <c r="AJ720" s="289"/>
      <c r="AK720" s="289"/>
      <c r="AL720" s="289"/>
      <c r="AM720" s="289"/>
      <c r="AN720" s="289"/>
      <c r="AO720" s="289"/>
      <c r="AP720" s="289"/>
      <c r="AQ720" s="289"/>
      <c r="AR720" s="289"/>
      <c r="AS720" s="289"/>
      <c r="AT720" s="289"/>
      <c r="AU720" s="289"/>
      <c r="AV720" s="289"/>
      <c r="AW720" s="289"/>
      <c r="AX720" s="289"/>
      <c r="AY720" s="289"/>
      <c r="AZ720" s="289"/>
    </row>
    <row r="721" spans="1:52" s="291" customFormat="1" ht="15.75">
      <c r="A721" s="297"/>
      <c r="B721" s="1353"/>
      <c r="C721" s="1353"/>
      <c r="D721" s="1353"/>
      <c r="E721" s="1353"/>
      <c r="F721" s="1353"/>
      <c r="G721" s="1353"/>
      <c r="H721" s="1353"/>
      <c r="I721" s="1353"/>
      <c r="J721" s="1353"/>
      <c r="K721" s="1353"/>
      <c r="L721" s="1353"/>
      <c r="M721" s="1353"/>
      <c r="N721" s="1172"/>
      <c r="O721" s="1173"/>
      <c r="P721" s="1173"/>
      <c r="Q721" s="1173"/>
      <c r="R721" s="1173"/>
      <c r="S721" s="1173"/>
      <c r="T721" s="1173"/>
      <c r="U721" s="1173"/>
      <c r="V721" s="1173"/>
      <c r="W721" s="1173"/>
      <c r="X721" s="1173"/>
      <c r="Y721" s="1173"/>
      <c r="Z721" s="1174"/>
      <c r="AA721" s="1354"/>
      <c r="AB721" s="1354"/>
      <c r="AC721" s="1354"/>
      <c r="AD721" s="1354"/>
      <c r="AE721" s="1354"/>
      <c r="AF721" s="289"/>
      <c r="AG721" s="289"/>
      <c r="AH721" s="289"/>
      <c r="AI721" s="289"/>
      <c r="AJ721" s="289"/>
      <c r="AK721" s="289"/>
      <c r="AL721" s="289"/>
      <c r="AM721" s="289"/>
      <c r="AN721" s="289"/>
      <c r="AO721" s="289"/>
      <c r="AP721" s="289"/>
      <c r="AQ721" s="289"/>
      <c r="AR721" s="289"/>
      <c r="AS721" s="289"/>
      <c r="AT721" s="289"/>
      <c r="AU721" s="289"/>
      <c r="AV721" s="289"/>
      <c r="AW721" s="289"/>
      <c r="AX721" s="289"/>
      <c r="AY721" s="289"/>
      <c r="AZ721" s="289"/>
    </row>
    <row r="722" spans="1:52" s="291" customFormat="1" ht="15.75">
      <c r="A722" s="297"/>
      <c r="B722" s="1353"/>
      <c r="C722" s="1353"/>
      <c r="D722" s="1353"/>
      <c r="E722" s="1353"/>
      <c r="F722" s="1353"/>
      <c r="G722" s="1353"/>
      <c r="H722" s="1353"/>
      <c r="I722" s="1353"/>
      <c r="J722" s="1353"/>
      <c r="K722" s="1353"/>
      <c r="L722" s="1353"/>
      <c r="M722" s="1353"/>
      <c r="N722" s="1172"/>
      <c r="O722" s="1173"/>
      <c r="P722" s="1173"/>
      <c r="Q722" s="1173"/>
      <c r="R722" s="1173"/>
      <c r="S722" s="1173"/>
      <c r="T722" s="1173"/>
      <c r="U722" s="1173"/>
      <c r="V722" s="1173"/>
      <c r="W722" s="1173"/>
      <c r="X722" s="1173"/>
      <c r="Y722" s="1173"/>
      <c r="Z722" s="1174"/>
      <c r="AA722" s="1354"/>
      <c r="AB722" s="1354"/>
      <c r="AC722" s="1354"/>
      <c r="AD722" s="1354"/>
      <c r="AE722" s="1354"/>
      <c r="AF722" s="289"/>
      <c r="AG722" s="289"/>
      <c r="AH722" s="289"/>
      <c r="AI722" s="289"/>
      <c r="AJ722" s="289"/>
      <c r="AK722" s="289"/>
      <c r="AL722" s="289"/>
      <c r="AM722" s="289"/>
      <c r="AN722" s="289"/>
      <c r="AO722" s="289"/>
      <c r="AP722" s="289"/>
      <c r="AQ722" s="289"/>
      <c r="AR722" s="289"/>
      <c r="AS722" s="289"/>
      <c r="AT722" s="289"/>
      <c r="AU722" s="289"/>
      <c r="AV722" s="289"/>
      <c r="AW722" s="289"/>
      <c r="AX722" s="289"/>
      <c r="AY722" s="289"/>
      <c r="AZ722" s="289"/>
    </row>
    <row r="723" spans="1:52" s="291" customFormat="1" ht="15.75">
      <c r="A723" s="297"/>
      <c r="B723" s="1329" t="s">
        <v>2591</v>
      </c>
      <c r="C723" s="1329"/>
      <c r="D723" s="1329"/>
      <c r="E723" s="1329"/>
      <c r="F723" s="1329"/>
      <c r="G723" s="1329"/>
      <c r="H723" s="1329"/>
      <c r="I723" s="1329"/>
      <c r="J723" s="1329"/>
      <c r="K723" s="1329"/>
      <c r="L723" s="1329"/>
      <c r="M723" s="1329"/>
      <c r="N723" s="1228"/>
      <c r="O723" s="1229"/>
      <c r="P723" s="1229"/>
      <c r="Q723" s="1229"/>
      <c r="R723" s="1229"/>
      <c r="S723" s="1229"/>
      <c r="T723" s="1229"/>
      <c r="U723" s="1229"/>
      <c r="V723" s="1229"/>
      <c r="W723" s="1229"/>
      <c r="X723" s="1229"/>
      <c r="Y723" s="1229"/>
      <c r="Z723" s="1230"/>
      <c r="AA723" s="1379">
        <f>SUM(AA724:AE725)</f>
        <v>0</v>
      </c>
      <c r="AB723" s="1379"/>
      <c r="AC723" s="1379"/>
      <c r="AD723" s="1379"/>
      <c r="AE723" s="1379"/>
      <c r="AF723" s="289"/>
      <c r="AG723" s="289"/>
      <c r="AH723" s="288"/>
      <c r="AI723" s="289"/>
      <c r="AJ723" s="289"/>
      <c r="AK723" s="289"/>
      <c r="AL723" s="289"/>
      <c r="AM723" s="289"/>
      <c r="AN723" s="289"/>
      <c r="AO723" s="289"/>
      <c r="AP723" s="289"/>
      <c r="AQ723" s="289"/>
      <c r="AR723" s="289"/>
      <c r="AS723" s="289"/>
      <c r="AT723" s="289"/>
      <c r="AU723" s="289"/>
      <c r="AV723" s="289"/>
      <c r="AW723" s="289"/>
      <c r="AX723" s="289"/>
      <c r="AY723" s="289"/>
      <c r="AZ723" s="289"/>
    </row>
    <row r="724" spans="1:52" s="291" customFormat="1" ht="15.75">
      <c r="A724" s="297"/>
      <c r="B724" s="1353"/>
      <c r="C724" s="1353"/>
      <c r="D724" s="1353"/>
      <c r="E724" s="1353"/>
      <c r="F724" s="1353"/>
      <c r="G724" s="1353"/>
      <c r="H724" s="1353"/>
      <c r="I724" s="1353"/>
      <c r="J724" s="1353"/>
      <c r="K724" s="1353"/>
      <c r="L724" s="1353"/>
      <c r="M724" s="1353"/>
      <c r="N724" s="1172"/>
      <c r="O724" s="1173"/>
      <c r="P724" s="1173"/>
      <c r="Q724" s="1173"/>
      <c r="R724" s="1173"/>
      <c r="S724" s="1173"/>
      <c r="T724" s="1173"/>
      <c r="U724" s="1173"/>
      <c r="V724" s="1173"/>
      <c r="W724" s="1173"/>
      <c r="X724" s="1173"/>
      <c r="Y724" s="1173"/>
      <c r="Z724" s="1174"/>
      <c r="AA724" s="1354"/>
      <c r="AB724" s="1354"/>
      <c r="AC724" s="1354"/>
      <c r="AD724" s="1354"/>
      <c r="AE724" s="1354"/>
      <c r="AF724" s="289"/>
      <c r="AG724" s="289"/>
      <c r="AH724" s="289"/>
      <c r="AI724" s="289"/>
      <c r="AJ724" s="289"/>
      <c r="AK724" s="289"/>
      <c r="AL724" s="289"/>
      <c r="AM724" s="289"/>
      <c r="AN724" s="289"/>
      <c r="AO724" s="289"/>
      <c r="AP724" s="289"/>
      <c r="AQ724" s="289"/>
      <c r="AR724" s="289"/>
      <c r="AS724" s="289"/>
      <c r="AT724" s="289"/>
      <c r="AU724" s="289"/>
      <c r="AV724" s="289"/>
      <c r="AW724" s="289"/>
      <c r="AX724" s="289"/>
      <c r="AY724" s="289"/>
      <c r="AZ724" s="289"/>
    </row>
    <row r="725" spans="1:52" s="291" customFormat="1" ht="15.75">
      <c r="A725" s="297"/>
      <c r="B725" s="1353"/>
      <c r="C725" s="1353"/>
      <c r="D725" s="1353"/>
      <c r="E725" s="1353"/>
      <c r="F725" s="1353"/>
      <c r="G725" s="1353"/>
      <c r="H725" s="1353"/>
      <c r="I725" s="1353"/>
      <c r="J725" s="1353"/>
      <c r="K725" s="1353"/>
      <c r="L725" s="1353"/>
      <c r="M725" s="1353"/>
      <c r="N725" s="1172"/>
      <c r="O725" s="1173"/>
      <c r="P725" s="1173"/>
      <c r="Q725" s="1173"/>
      <c r="R725" s="1173"/>
      <c r="S725" s="1173"/>
      <c r="T725" s="1173"/>
      <c r="U725" s="1173"/>
      <c r="V725" s="1173"/>
      <c r="W725" s="1173"/>
      <c r="X725" s="1173"/>
      <c r="Y725" s="1173"/>
      <c r="Z725" s="1174"/>
      <c r="AA725" s="1354"/>
      <c r="AB725" s="1354"/>
      <c r="AC725" s="1354"/>
      <c r="AD725" s="1354"/>
      <c r="AE725" s="1354"/>
      <c r="AF725" s="289"/>
      <c r="AG725" s="289"/>
      <c r="AH725" s="289"/>
      <c r="AI725" s="289"/>
      <c r="AJ725" s="289"/>
      <c r="AK725" s="289"/>
      <c r="AL725" s="289"/>
      <c r="AM725" s="289"/>
      <c r="AN725" s="289"/>
      <c r="AO725" s="289"/>
      <c r="AP725" s="289"/>
      <c r="AQ725" s="289"/>
      <c r="AR725" s="289"/>
      <c r="AS725" s="289"/>
      <c r="AT725" s="289"/>
      <c r="AU725" s="289"/>
      <c r="AV725" s="289"/>
      <c r="AW725" s="289"/>
      <c r="AX725" s="289"/>
      <c r="AY725" s="289"/>
      <c r="AZ725" s="289"/>
    </row>
    <row r="726" spans="1:52" s="291" customFormat="1" ht="11.25" customHeight="1">
      <c r="A726" s="297"/>
      <c r="B726" s="289"/>
      <c r="C726" s="289"/>
      <c r="D726" s="289"/>
      <c r="E726" s="289"/>
      <c r="F726" s="289"/>
      <c r="G726" s="289"/>
      <c r="H726" s="289"/>
      <c r="I726" s="289"/>
      <c r="J726" s="289"/>
      <c r="K726" s="308"/>
      <c r="L726" s="308"/>
      <c r="M726" s="308"/>
      <c r="N726" s="308"/>
      <c r="O726" s="308"/>
      <c r="P726" s="308"/>
      <c r="Q726" s="309"/>
      <c r="R726" s="309"/>
      <c r="S726" s="308"/>
      <c r="T726" s="308"/>
      <c r="U726" s="289"/>
      <c r="V726" s="289"/>
      <c r="W726" s="289"/>
      <c r="X726" s="289"/>
      <c r="Y726" s="308"/>
      <c r="Z726" s="308"/>
      <c r="AA726" s="308"/>
      <c r="AB726" s="289"/>
      <c r="AC726" s="289"/>
      <c r="AD726" s="289"/>
      <c r="AE726" s="289"/>
      <c r="AF726" s="289"/>
      <c r="AG726" s="289"/>
      <c r="AH726" s="289"/>
      <c r="AI726" s="289"/>
      <c r="AJ726" s="289"/>
      <c r="AK726" s="289"/>
      <c r="AL726" s="289"/>
      <c r="AM726" s="289"/>
      <c r="AN726" s="289"/>
      <c r="AO726" s="289"/>
      <c r="AP726" s="289"/>
      <c r="AQ726" s="289"/>
      <c r="AR726" s="289"/>
      <c r="AS726" s="289"/>
      <c r="AT726" s="289"/>
      <c r="AU726" s="289"/>
      <c r="AV726" s="289"/>
      <c r="AW726" s="289"/>
      <c r="AX726" s="289"/>
      <c r="AY726" s="289"/>
      <c r="AZ726" s="289"/>
    </row>
    <row r="727" spans="1:52" s="291" customFormat="1" ht="15.75" hidden="1">
      <c r="A727" s="297"/>
      <c r="B727" s="1336"/>
      <c r="C727" s="1336"/>
      <c r="D727" s="1336"/>
      <c r="E727" s="1336"/>
      <c r="F727" s="1336"/>
      <c r="G727" s="1336"/>
      <c r="H727" s="1336"/>
      <c r="I727" s="1336"/>
      <c r="J727" s="1336"/>
      <c r="K727" s="1336"/>
      <c r="L727" s="1336"/>
      <c r="M727" s="1336"/>
      <c r="N727" s="1336"/>
      <c r="O727" s="1336"/>
      <c r="P727" s="1336"/>
      <c r="Q727" s="1336"/>
      <c r="R727" s="1336"/>
      <c r="S727" s="1336"/>
      <c r="T727" s="1336"/>
      <c r="U727" s="1336"/>
      <c r="V727" s="1336"/>
      <c r="W727" s="1336"/>
      <c r="X727" s="1336"/>
      <c r="Y727" s="1336"/>
      <c r="Z727" s="1336"/>
      <c r="AA727" s="1336"/>
      <c r="AB727" s="1336"/>
      <c r="AC727" s="1336"/>
      <c r="AD727" s="1336"/>
      <c r="AE727" s="1336"/>
      <c r="AF727" s="1336"/>
      <c r="AG727" s="1336"/>
      <c r="AH727" s="1336"/>
      <c r="AI727" s="1336"/>
      <c r="AJ727" s="1336"/>
      <c r="AK727" s="1336"/>
      <c r="AL727" s="1336"/>
      <c r="AM727" s="1336"/>
      <c r="AN727" s="1336"/>
      <c r="AO727" s="1336"/>
      <c r="AP727" s="1336"/>
      <c r="AQ727" s="1336"/>
      <c r="AR727" s="1336"/>
      <c r="AS727" s="1336"/>
      <c r="AT727" s="1336"/>
      <c r="AU727" s="1336"/>
      <c r="AV727" s="1336"/>
      <c r="AW727" s="1336"/>
      <c r="AX727" s="1336"/>
      <c r="AY727" s="1336"/>
      <c r="AZ727" s="1336"/>
    </row>
    <row r="728" spans="1:52" s="291" customFormat="1" ht="15.75" hidden="1">
      <c r="A728" s="297"/>
      <c r="B728" s="288"/>
      <c r="C728" s="288"/>
      <c r="D728" s="288"/>
      <c r="E728" s="288"/>
      <c r="F728" s="288"/>
      <c r="G728" s="288"/>
      <c r="H728" s="288"/>
      <c r="I728" s="288"/>
      <c r="J728" s="288"/>
      <c r="K728" s="287"/>
      <c r="L728" s="287"/>
      <c r="M728" s="287"/>
      <c r="N728" s="287"/>
      <c r="O728" s="287"/>
      <c r="P728" s="287"/>
      <c r="Q728" s="488"/>
      <c r="R728" s="488"/>
      <c r="S728" s="287"/>
      <c r="T728" s="287"/>
      <c r="U728" s="288"/>
      <c r="V728" s="288"/>
      <c r="W728" s="288"/>
      <c r="X728" s="288"/>
      <c r="Y728" s="287"/>
      <c r="Z728" s="287"/>
      <c r="AA728" s="287"/>
      <c r="AB728" s="288"/>
      <c r="AC728" s="288"/>
      <c r="AD728" s="288"/>
      <c r="AE728" s="288"/>
      <c r="AF728" s="288"/>
      <c r="AG728" s="288"/>
      <c r="AH728" s="288"/>
      <c r="AI728" s="288"/>
      <c r="AJ728" s="288"/>
      <c r="AK728" s="288"/>
      <c r="AL728" s="288"/>
      <c r="AM728" s="288"/>
      <c r="AN728" s="288"/>
      <c r="AO728" s="288"/>
      <c r="AP728" s="288"/>
      <c r="AQ728" s="288"/>
      <c r="AR728" s="288"/>
      <c r="AS728" s="288"/>
      <c r="AT728" s="288"/>
      <c r="AU728" s="288"/>
      <c r="AV728" s="288"/>
      <c r="AW728" s="288"/>
      <c r="AX728" s="288"/>
      <c r="AY728" s="288"/>
      <c r="AZ728" s="288"/>
    </row>
    <row r="729" spans="1:52" s="358" customFormat="1" ht="33" hidden="1" customHeight="1">
      <c r="A729" s="357"/>
      <c r="B729" s="1362"/>
      <c r="C729" s="1362"/>
      <c r="D729" s="1362"/>
      <c r="E729" s="1362"/>
      <c r="F729" s="1362"/>
      <c r="G729" s="1362"/>
      <c r="H729" s="1362"/>
      <c r="I729" s="1362"/>
      <c r="J729" s="1362"/>
      <c r="K729" s="1362"/>
      <c r="L729" s="1362"/>
      <c r="M729" s="1362"/>
      <c r="N729" s="1362"/>
      <c r="O729" s="1362"/>
      <c r="P729" s="1362"/>
      <c r="Q729" s="1362"/>
      <c r="R729" s="1177"/>
      <c r="S729" s="1178"/>
      <c r="T729" s="1178"/>
      <c r="U729" s="1178"/>
      <c r="V729" s="1178"/>
      <c r="W729" s="1178"/>
      <c r="X729" s="1191"/>
      <c r="Y729" s="1362"/>
      <c r="Z729" s="1362"/>
      <c r="AA729" s="1362"/>
      <c r="AB729" s="1362"/>
      <c r="AC729" s="1362"/>
      <c r="AD729" s="1362"/>
      <c r="AE729" s="1362"/>
      <c r="AF729" s="318"/>
      <c r="AG729" s="318"/>
      <c r="AH729" s="318"/>
      <c r="AI729" s="318"/>
      <c r="AJ729" s="318"/>
      <c r="AK729" s="318"/>
      <c r="AL729" s="318"/>
      <c r="AM729" s="318"/>
      <c r="AN729" s="318"/>
      <c r="AO729" s="318"/>
      <c r="AP729" s="318"/>
      <c r="AQ729" s="318"/>
      <c r="AR729" s="318"/>
      <c r="AS729" s="318"/>
      <c r="AT729" s="318"/>
      <c r="AU729" s="318"/>
      <c r="AV729" s="318"/>
      <c r="AW729" s="318"/>
      <c r="AX729" s="318"/>
      <c r="AY729" s="318"/>
      <c r="AZ729" s="318"/>
    </row>
    <row r="730" spans="1:52" s="291" customFormat="1" ht="22.5" hidden="1" customHeight="1">
      <c r="A730" s="297"/>
      <c r="B730" s="1322"/>
      <c r="C730" s="1322"/>
      <c r="D730" s="1322"/>
      <c r="E730" s="1322"/>
      <c r="F730" s="1322"/>
      <c r="G730" s="1322"/>
      <c r="H730" s="1322"/>
      <c r="I730" s="1322"/>
      <c r="J730" s="1322"/>
      <c r="K730" s="1322"/>
      <c r="L730" s="1322"/>
      <c r="M730" s="1322"/>
      <c r="N730" s="1322"/>
      <c r="O730" s="1322"/>
      <c r="P730" s="1322"/>
      <c r="Q730" s="1322"/>
      <c r="R730" s="1574"/>
      <c r="S730" s="1575"/>
      <c r="T730" s="1575"/>
      <c r="U730" s="1575"/>
      <c r="V730" s="1575"/>
      <c r="W730" s="1575"/>
      <c r="X730" s="1576"/>
      <c r="Y730" s="1600"/>
      <c r="Z730" s="1600"/>
      <c r="AA730" s="1600"/>
      <c r="AB730" s="1600"/>
      <c r="AC730" s="1600"/>
      <c r="AD730" s="1600"/>
      <c r="AE730" s="1600"/>
      <c r="AF730" s="288"/>
      <c r="AG730" s="288"/>
      <c r="AH730" s="288"/>
      <c r="AI730" s="288"/>
      <c r="AJ730" s="288"/>
      <c r="AK730" s="288"/>
      <c r="AL730" s="288"/>
      <c r="AM730" s="288"/>
      <c r="AN730" s="1314"/>
      <c r="AO730" s="1314"/>
      <c r="AP730" s="1314"/>
      <c r="AQ730" s="1314"/>
      <c r="AR730" s="1314"/>
      <c r="AS730" s="1314"/>
      <c r="AT730" s="1314"/>
      <c r="AU730" s="1314"/>
      <c r="AV730" s="288"/>
      <c r="AW730" s="288"/>
      <c r="AX730" s="288"/>
      <c r="AY730" s="288"/>
      <c r="AZ730" s="288"/>
    </row>
    <row r="731" spans="1:52" s="291" customFormat="1" ht="22.5" hidden="1" customHeight="1">
      <c r="A731" s="297"/>
      <c r="B731" s="1322"/>
      <c r="C731" s="1322"/>
      <c r="D731" s="1322"/>
      <c r="E731" s="1322"/>
      <c r="F731" s="1322"/>
      <c r="G731" s="1322"/>
      <c r="H731" s="1322"/>
      <c r="I731" s="1322"/>
      <c r="J731" s="1322"/>
      <c r="K731" s="1322"/>
      <c r="L731" s="1322"/>
      <c r="M731" s="1322"/>
      <c r="N731" s="1322"/>
      <c r="O731" s="1322"/>
      <c r="P731" s="1322"/>
      <c r="Q731" s="1322"/>
      <c r="R731" s="1574"/>
      <c r="S731" s="1575"/>
      <c r="T731" s="1575"/>
      <c r="U731" s="1575"/>
      <c r="V731" s="1575"/>
      <c r="W731" s="1575"/>
      <c r="X731" s="1576"/>
      <c r="Y731" s="1600"/>
      <c r="Z731" s="1600"/>
      <c r="AA731" s="1600"/>
      <c r="AB731" s="1600"/>
      <c r="AC731" s="1600"/>
      <c r="AD731" s="1600"/>
      <c r="AE731" s="1600"/>
      <c r="AF731" s="288"/>
      <c r="AG731" s="288"/>
      <c r="AH731" s="288"/>
      <c r="AI731" s="288"/>
      <c r="AJ731" s="288"/>
      <c r="AK731" s="288"/>
      <c r="AL731" s="288"/>
      <c r="AM731" s="288"/>
      <c r="AN731" s="288"/>
      <c r="AO731" s="288"/>
      <c r="AP731" s="288"/>
      <c r="AQ731" s="288"/>
      <c r="AR731" s="288"/>
      <c r="AS731" s="288"/>
      <c r="AT731" s="288"/>
      <c r="AU731" s="288"/>
      <c r="AV731" s="288"/>
      <c r="AW731" s="288"/>
      <c r="AX731" s="288"/>
      <c r="AY731" s="288"/>
      <c r="AZ731" s="288"/>
    </row>
    <row r="732" spans="1:52" s="291" customFormat="1" ht="22.5" hidden="1" customHeight="1">
      <c r="A732" s="297"/>
      <c r="B732" s="1322"/>
      <c r="C732" s="1322"/>
      <c r="D732" s="1322"/>
      <c r="E732" s="1322"/>
      <c r="F732" s="1322"/>
      <c r="G732" s="1322"/>
      <c r="H732" s="1322"/>
      <c r="I732" s="1322"/>
      <c r="J732" s="1322"/>
      <c r="K732" s="1322"/>
      <c r="L732" s="1322"/>
      <c r="M732" s="1322"/>
      <c r="N732" s="1322"/>
      <c r="O732" s="1322"/>
      <c r="P732" s="1322"/>
      <c r="Q732" s="1322"/>
      <c r="R732" s="1574"/>
      <c r="S732" s="1575"/>
      <c r="T732" s="1575"/>
      <c r="U732" s="1575"/>
      <c r="V732" s="1575"/>
      <c r="W732" s="1575"/>
      <c r="X732" s="1576"/>
      <c r="Y732" s="1600"/>
      <c r="Z732" s="1600"/>
      <c r="AA732" s="1600"/>
      <c r="AB732" s="1600"/>
      <c r="AC732" s="1600"/>
      <c r="AD732" s="1600"/>
      <c r="AE732" s="1600"/>
      <c r="AF732" s="288"/>
      <c r="AG732" s="288"/>
      <c r="AH732" s="288"/>
      <c r="AI732" s="288"/>
      <c r="AJ732" s="288"/>
      <c r="AK732" s="288"/>
      <c r="AL732" s="288"/>
      <c r="AM732" s="288"/>
      <c r="AN732" s="288"/>
      <c r="AO732" s="288"/>
      <c r="AP732" s="288"/>
      <c r="AQ732" s="288"/>
      <c r="AR732" s="288"/>
      <c r="AS732" s="288"/>
      <c r="AT732" s="288"/>
      <c r="AU732" s="288"/>
      <c r="AV732" s="288"/>
      <c r="AW732" s="288"/>
      <c r="AX732" s="288"/>
      <c r="AY732" s="288"/>
      <c r="AZ732" s="288"/>
    </row>
    <row r="733" spans="1:52" s="291" customFormat="1" ht="15.75" hidden="1">
      <c r="A733" s="297"/>
      <c r="B733" s="1591"/>
      <c r="C733" s="1314"/>
      <c r="D733" s="1314"/>
      <c r="E733" s="1314"/>
      <c r="F733" s="1314"/>
      <c r="G733" s="1314"/>
      <c r="H733" s="1314"/>
      <c r="I733" s="1314"/>
      <c r="J733" s="1336"/>
      <c r="K733" s="1336"/>
      <c r="L733" s="1336"/>
      <c r="M733" s="1336"/>
      <c r="N733" s="1336"/>
      <c r="O733" s="1336"/>
      <c r="P733" s="1336"/>
      <c r="Q733" s="1336"/>
      <c r="R733" s="488"/>
      <c r="S733" s="287"/>
      <c r="T733" s="1424"/>
      <c r="U733" s="1424"/>
      <c r="V733" s="1424"/>
      <c r="W733" s="1424"/>
      <c r="X733" s="1424"/>
      <c r="Y733" s="1424"/>
      <c r="Z733" s="1424"/>
      <c r="AA733" s="1424"/>
      <c r="AB733" s="1424"/>
      <c r="AC733" s="1424"/>
      <c r="AD733" s="1424"/>
      <c r="AE733" s="1424"/>
      <c r="AF733" s="288"/>
      <c r="AG733" s="288"/>
      <c r="AH733" s="288"/>
      <c r="AI733" s="288"/>
      <c r="AJ733" s="288"/>
      <c r="AK733" s="288"/>
      <c r="AL733" s="288"/>
      <c r="AM733" s="288"/>
      <c r="AN733" s="288"/>
      <c r="AO733" s="288"/>
      <c r="AP733" s="288"/>
      <c r="AQ733" s="288"/>
      <c r="AR733" s="288"/>
      <c r="AS733" s="288"/>
      <c r="AT733" s="288"/>
      <c r="AU733" s="288"/>
      <c r="AV733" s="288"/>
      <c r="AW733" s="288"/>
      <c r="AX733" s="288"/>
      <c r="AY733" s="288"/>
      <c r="AZ733" s="288"/>
    </row>
    <row r="734" spans="1:52" s="291" customFormat="1" ht="15.75" hidden="1">
      <c r="A734" s="297"/>
      <c r="B734" s="1336"/>
      <c r="C734" s="1336"/>
      <c r="D734" s="1336"/>
      <c r="E734" s="1336"/>
      <c r="F734" s="1336"/>
      <c r="G734" s="1336"/>
      <c r="H734" s="1336"/>
      <c r="I734" s="1336"/>
      <c r="J734" s="1336"/>
      <c r="K734" s="1336"/>
      <c r="L734" s="1336"/>
      <c r="M734" s="1336"/>
      <c r="N734" s="1336"/>
      <c r="O734" s="1336"/>
      <c r="P734" s="1336"/>
      <c r="Q734" s="1336"/>
      <c r="R734" s="1336"/>
      <c r="S734" s="1336"/>
      <c r="T734" s="1336"/>
      <c r="U734" s="1336"/>
      <c r="V734" s="1336"/>
      <c r="W734" s="1336"/>
      <c r="X734" s="1336"/>
      <c r="Y734" s="1336"/>
      <c r="Z734" s="1336"/>
      <c r="AA734" s="1336"/>
      <c r="AB734" s="1336"/>
      <c r="AC734" s="1336"/>
      <c r="AD734" s="1336"/>
      <c r="AE734" s="1336"/>
      <c r="AF734" s="1336"/>
      <c r="AG734" s="1336"/>
      <c r="AH734" s="1336"/>
      <c r="AI734" s="1336"/>
      <c r="AJ734" s="1336"/>
      <c r="AK734" s="1336"/>
      <c r="AL734" s="1336"/>
      <c r="AM734" s="1336"/>
      <c r="AN734" s="1336"/>
      <c r="AO734" s="1336"/>
      <c r="AP734" s="1336"/>
      <c r="AQ734" s="1336"/>
      <c r="AR734" s="1336"/>
      <c r="AS734" s="1336"/>
      <c r="AT734" s="1336"/>
      <c r="AU734" s="1336"/>
      <c r="AV734" s="1336"/>
      <c r="AW734" s="1336"/>
      <c r="AX734" s="1336"/>
      <c r="AY734" s="1336"/>
      <c r="AZ734" s="1336"/>
    </row>
    <row r="735" spans="1:52" s="291" customFormat="1" ht="15.75" hidden="1">
      <c r="A735" s="297"/>
      <c r="B735" s="288"/>
      <c r="C735" s="288"/>
      <c r="D735" s="288"/>
      <c r="E735" s="288"/>
      <c r="F735" s="288"/>
      <c r="G735" s="288"/>
      <c r="H735" s="288"/>
      <c r="I735" s="288"/>
      <c r="J735" s="288"/>
      <c r="K735" s="287"/>
      <c r="L735" s="287"/>
      <c r="M735" s="287"/>
      <c r="N735" s="287"/>
      <c r="O735" s="287"/>
      <c r="P735" s="287"/>
      <c r="Q735" s="488"/>
      <c r="R735" s="488"/>
      <c r="S735" s="287"/>
      <c r="T735" s="287"/>
      <c r="U735" s="288"/>
      <c r="V735" s="288"/>
      <c r="W735" s="288"/>
      <c r="X735" s="288"/>
      <c r="Y735" s="287"/>
      <c r="Z735" s="287"/>
      <c r="AA735" s="287"/>
      <c r="AB735" s="288"/>
      <c r="AC735" s="288"/>
      <c r="AD735" s="288"/>
      <c r="AE735" s="288"/>
      <c r="AF735" s="288"/>
      <c r="AG735" s="288"/>
      <c r="AH735" s="288"/>
      <c r="AI735" s="288"/>
      <c r="AJ735" s="288"/>
      <c r="AK735" s="288"/>
      <c r="AL735" s="288"/>
      <c r="AM735" s="288"/>
      <c r="AN735" s="288"/>
      <c r="AO735" s="288"/>
      <c r="AP735" s="288"/>
      <c r="AQ735" s="288"/>
      <c r="AR735" s="288"/>
      <c r="AS735" s="288"/>
      <c r="AT735" s="288"/>
      <c r="AU735" s="288"/>
      <c r="AV735" s="288"/>
      <c r="AW735" s="288"/>
      <c r="AX735" s="288"/>
      <c r="AY735" s="288"/>
      <c r="AZ735" s="288"/>
    </row>
    <row r="736" spans="1:52" s="358" customFormat="1" ht="33" hidden="1" customHeight="1">
      <c r="A736" s="357"/>
      <c r="B736" s="1362"/>
      <c r="C736" s="1362"/>
      <c r="D736" s="1362"/>
      <c r="E736" s="1362"/>
      <c r="F736" s="1362"/>
      <c r="G736" s="1362"/>
      <c r="H736" s="1362"/>
      <c r="I736" s="1362"/>
      <c r="J736" s="1362"/>
      <c r="K736" s="1362"/>
      <c r="L736" s="1362"/>
      <c r="M736" s="1362"/>
      <c r="N736" s="1362"/>
      <c r="O736" s="1362"/>
      <c r="P736" s="1362"/>
      <c r="Q736" s="1362"/>
      <c r="R736" s="1362"/>
      <c r="S736" s="1362"/>
      <c r="T736" s="1362"/>
      <c r="U736" s="1362"/>
      <c r="V736" s="1362"/>
      <c r="W736" s="1362"/>
      <c r="X736" s="1362"/>
      <c r="Y736" s="1362"/>
      <c r="Z736" s="1362"/>
      <c r="AA736" s="1362"/>
      <c r="AB736" s="1362"/>
      <c r="AC736" s="1362"/>
      <c r="AD736" s="1362"/>
      <c r="AE736" s="1362"/>
      <c r="AF736" s="318"/>
      <c r="AG736" s="318"/>
      <c r="AH736" s="318"/>
      <c r="AI736" s="318"/>
      <c r="AJ736" s="318"/>
      <c r="AK736" s="318"/>
      <c r="AL736" s="318"/>
      <c r="AM736" s="318"/>
      <c r="AN736" s="318"/>
      <c r="AO736" s="318"/>
      <c r="AP736" s="318"/>
      <c r="AQ736" s="318"/>
      <c r="AR736" s="318"/>
      <c r="AS736" s="318"/>
      <c r="AT736" s="318"/>
      <c r="AU736" s="318"/>
      <c r="AV736" s="318"/>
      <c r="AW736" s="318"/>
      <c r="AX736" s="318"/>
      <c r="AY736" s="318"/>
      <c r="AZ736" s="318"/>
    </row>
    <row r="737" spans="1:52" s="291" customFormat="1" ht="36.75" hidden="1" customHeight="1">
      <c r="A737" s="297"/>
      <c r="B737" s="1208"/>
      <c r="C737" s="1208"/>
      <c r="D737" s="1208"/>
      <c r="E737" s="1208"/>
      <c r="F737" s="1208"/>
      <c r="G737" s="1208"/>
      <c r="H737" s="1208"/>
      <c r="I737" s="1208"/>
      <c r="J737" s="1208"/>
      <c r="K737" s="1208"/>
      <c r="L737" s="1208"/>
      <c r="M737" s="1208"/>
      <c r="N737" s="1208"/>
      <c r="O737" s="1208"/>
      <c r="P737" s="1208"/>
      <c r="Q737" s="1208"/>
      <c r="R737" s="1600"/>
      <c r="S737" s="1600"/>
      <c r="T737" s="1600"/>
      <c r="U737" s="1600"/>
      <c r="V737" s="1600"/>
      <c r="W737" s="1600"/>
      <c r="X737" s="1600"/>
      <c r="Y737" s="1600"/>
      <c r="Z737" s="1600"/>
      <c r="AA737" s="1600"/>
      <c r="AB737" s="1600"/>
      <c r="AC737" s="1600"/>
      <c r="AD737" s="1600"/>
      <c r="AE737" s="1600"/>
      <c r="AF737" s="288"/>
      <c r="AG737" s="288"/>
      <c r="AH737" s="288"/>
      <c r="AI737" s="288"/>
      <c r="AJ737" s="288"/>
      <c r="AK737" s="288"/>
      <c r="AL737" s="288"/>
      <c r="AM737" s="288"/>
      <c r="AN737" s="1314"/>
      <c r="AO737" s="1314"/>
      <c r="AP737" s="1314"/>
      <c r="AQ737" s="1314"/>
      <c r="AR737" s="1314"/>
      <c r="AS737" s="1314"/>
      <c r="AT737" s="1314"/>
      <c r="AU737" s="1314"/>
      <c r="AV737" s="288"/>
      <c r="AW737" s="288"/>
      <c r="AX737" s="288"/>
      <c r="AY737" s="288"/>
      <c r="AZ737" s="288"/>
    </row>
    <row r="738" spans="1:52" s="291" customFormat="1" ht="15.75" hidden="1">
      <c r="A738" s="297"/>
      <c r="B738" s="1314"/>
      <c r="C738" s="1314"/>
      <c r="D738" s="1314"/>
      <c r="E738" s="1314"/>
      <c r="F738" s="1314"/>
      <c r="G738" s="1314"/>
      <c r="H738" s="1314"/>
      <c r="I738" s="1314"/>
      <c r="J738" s="1336"/>
      <c r="K738" s="1336"/>
      <c r="L738" s="1336"/>
      <c r="M738" s="1336"/>
      <c r="N738" s="1336"/>
      <c r="O738" s="1336"/>
      <c r="P738" s="1336"/>
      <c r="Q738" s="1336"/>
      <c r="R738" s="488"/>
      <c r="S738" s="287"/>
      <c r="T738" s="287"/>
      <c r="U738" s="288"/>
      <c r="V738" s="288"/>
      <c r="W738" s="288"/>
      <c r="X738" s="288"/>
      <c r="Y738" s="287"/>
      <c r="Z738" s="287"/>
      <c r="AA738" s="287"/>
      <c r="AB738" s="288"/>
      <c r="AC738" s="288"/>
      <c r="AD738" s="288"/>
      <c r="AE738" s="288"/>
      <c r="AF738" s="288"/>
      <c r="AG738" s="288"/>
      <c r="AH738" s="288"/>
      <c r="AI738" s="288"/>
      <c r="AJ738" s="288"/>
      <c r="AK738" s="288"/>
      <c r="AL738" s="288"/>
      <c r="AM738" s="288"/>
      <c r="AN738" s="288"/>
      <c r="AO738" s="288"/>
      <c r="AP738" s="288"/>
      <c r="AQ738" s="288"/>
      <c r="AR738" s="288"/>
      <c r="AS738" s="288"/>
      <c r="AT738" s="288"/>
      <c r="AU738" s="288"/>
      <c r="AV738" s="288"/>
      <c r="AW738" s="288"/>
      <c r="AX738" s="288"/>
      <c r="AY738" s="288"/>
      <c r="AZ738" s="288"/>
    </row>
    <row r="739" spans="1:52" s="291" customFormat="1" ht="15.75" hidden="1">
      <c r="A739" s="297"/>
      <c r="B739" s="288"/>
      <c r="C739" s="288"/>
      <c r="D739" s="288"/>
      <c r="E739" s="288"/>
      <c r="F739" s="288"/>
      <c r="G739" s="288"/>
      <c r="H739" s="288"/>
      <c r="I739" s="288"/>
      <c r="J739" s="288"/>
      <c r="K739" s="287"/>
      <c r="L739" s="287"/>
      <c r="M739" s="287"/>
      <c r="N739" s="287"/>
      <c r="O739" s="287"/>
      <c r="P739" s="287"/>
      <c r="Q739" s="488"/>
      <c r="R739" s="488"/>
      <c r="S739" s="287"/>
      <c r="T739" s="287"/>
      <c r="U739" s="288"/>
      <c r="V739" s="288"/>
      <c r="W739" s="288"/>
      <c r="X739" s="288"/>
      <c r="Y739" s="287"/>
      <c r="Z739" s="287"/>
      <c r="AA739" s="287"/>
      <c r="AB739" s="288"/>
      <c r="AC739" s="288"/>
      <c r="AD739" s="288"/>
      <c r="AE739" s="288"/>
      <c r="AF739" s="288"/>
      <c r="AG739" s="288"/>
      <c r="AH739" s="288"/>
      <c r="AI739" s="288"/>
      <c r="AJ739" s="288"/>
      <c r="AK739" s="288"/>
      <c r="AL739" s="288"/>
      <c r="AM739" s="288"/>
      <c r="AN739" s="288"/>
      <c r="AO739" s="288"/>
      <c r="AP739" s="288"/>
      <c r="AQ739" s="288"/>
      <c r="AR739" s="288"/>
      <c r="AS739" s="288"/>
      <c r="AT739" s="288"/>
      <c r="AU739" s="288"/>
      <c r="AV739" s="288"/>
      <c r="AW739" s="288"/>
      <c r="AX739" s="288"/>
      <c r="AY739" s="288"/>
      <c r="AZ739" s="288"/>
    </row>
    <row r="740" spans="1:52" s="291" customFormat="1" ht="15.75">
      <c r="A740" s="359" t="s">
        <v>2601</v>
      </c>
      <c r="B740" s="485"/>
      <c r="C740" s="288"/>
      <c r="D740" s="288"/>
      <c r="E740" s="288"/>
      <c r="F740" s="288"/>
      <c r="G740" s="288"/>
      <c r="H740" s="288"/>
      <c r="I740" s="288"/>
      <c r="J740" s="288"/>
      <c r="K740" s="287"/>
      <c r="L740" s="287"/>
      <c r="M740" s="287"/>
      <c r="N740" s="287"/>
      <c r="O740" s="287"/>
      <c r="P740" s="287"/>
      <c r="Q740" s="488"/>
      <c r="R740" s="488"/>
      <c r="S740" s="287"/>
      <c r="T740" s="287"/>
      <c r="U740" s="288"/>
      <c r="V740" s="288"/>
      <c r="W740" s="288"/>
      <c r="X740" s="288"/>
      <c r="Y740" s="287"/>
      <c r="Z740" s="287"/>
      <c r="AA740" s="287"/>
      <c r="AB740" s="288"/>
      <c r="AC740" s="288"/>
      <c r="AD740" s="288"/>
      <c r="AE740" s="288"/>
      <c r="AF740" s="288"/>
      <c r="AG740" s="288"/>
      <c r="AH740" s="288"/>
      <c r="AI740" s="288"/>
      <c r="AJ740" s="288"/>
      <c r="AK740" s="288"/>
      <c r="AL740" s="288"/>
      <c r="AM740" s="288"/>
      <c r="AN740" s="288"/>
      <c r="AO740" s="288"/>
      <c r="AP740" s="288"/>
      <c r="AQ740" s="288"/>
      <c r="AR740" s="288"/>
      <c r="AS740" s="288"/>
      <c r="AT740" s="288"/>
      <c r="AU740" s="288"/>
      <c r="AV740" s="288"/>
      <c r="AW740" s="288"/>
      <c r="AX740" s="288"/>
      <c r="AY740" s="288"/>
      <c r="AZ740" s="288"/>
    </row>
    <row r="741" spans="1:52" s="291" customFormat="1" ht="15.75">
      <c r="A741" s="297"/>
      <c r="B741" s="485"/>
      <c r="C741" s="288"/>
      <c r="D741" s="288"/>
      <c r="E741" s="288"/>
      <c r="F741" s="288"/>
      <c r="G741" s="288"/>
      <c r="H741" s="288"/>
      <c r="I741" s="288"/>
      <c r="J741" s="288"/>
      <c r="K741" s="287"/>
      <c r="L741" s="287"/>
      <c r="M741" s="287"/>
      <c r="N741" s="287"/>
      <c r="O741" s="287"/>
      <c r="P741" s="287"/>
      <c r="Q741" s="488"/>
      <c r="R741" s="488"/>
      <c r="S741" s="287"/>
      <c r="T741" s="287"/>
      <c r="U741" s="288"/>
      <c r="V741" s="288"/>
      <c r="W741" s="288"/>
      <c r="X741" s="288"/>
      <c r="Y741" s="287"/>
      <c r="Z741" s="287"/>
      <c r="AA741" s="287"/>
      <c r="AB741" s="288"/>
      <c r="AC741" s="288"/>
      <c r="AD741" s="288"/>
      <c r="AE741" s="288"/>
      <c r="AF741" s="288"/>
      <c r="AG741" s="288"/>
      <c r="AH741" s="288"/>
      <c r="AI741" s="288"/>
      <c r="AJ741" s="288"/>
      <c r="AK741" s="288"/>
      <c r="AL741" s="288"/>
      <c r="AM741" s="288"/>
      <c r="AN741" s="288"/>
      <c r="AO741" s="288"/>
      <c r="AP741" s="288"/>
      <c r="AQ741" s="288"/>
      <c r="AR741" s="288"/>
      <c r="AS741" s="288"/>
      <c r="AT741" s="288"/>
      <c r="AU741" s="288"/>
      <c r="AV741" s="288"/>
      <c r="AW741" s="288"/>
      <c r="AX741" s="288"/>
      <c r="AY741" s="288"/>
      <c r="AZ741" s="288"/>
    </row>
    <row r="742" spans="1:52" s="291" customFormat="1" ht="15" customHeight="1">
      <c r="A742" s="297"/>
      <c r="B742" s="1256" t="s">
        <v>608</v>
      </c>
      <c r="C742" s="1256"/>
      <c r="D742" s="1256"/>
      <c r="E742" s="1256"/>
      <c r="F742" s="1256"/>
      <c r="G742" s="1256"/>
      <c r="H742" s="1256"/>
      <c r="I742" s="1256"/>
      <c r="J742" s="1256"/>
      <c r="K742" s="1256"/>
      <c r="L742" s="1256"/>
      <c r="M742" s="1256"/>
      <c r="N742" s="1256"/>
      <c r="O742" s="1256"/>
      <c r="P742" s="1256"/>
      <c r="Q742" s="1508" t="s">
        <v>475</v>
      </c>
      <c r="R742" s="1509"/>
      <c r="S742" s="1509"/>
      <c r="T742" s="1509"/>
      <c r="U742" s="1509"/>
      <c r="V742" s="1509"/>
      <c r="W742" s="1509"/>
      <c r="X742" s="1509"/>
      <c r="Y742" s="1509"/>
      <c r="Z742" s="1509"/>
      <c r="AA742" s="1509"/>
      <c r="AB742" s="1510"/>
      <c r="AC742" s="1508" t="s">
        <v>609</v>
      </c>
      <c r="AD742" s="1509"/>
      <c r="AE742" s="1509"/>
      <c r="AF742" s="1509"/>
      <c r="AG742" s="1509"/>
      <c r="AH742" s="1509"/>
      <c r="AI742" s="1509"/>
      <c r="AJ742" s="1509"/>
      <c r="AK742" s="1509"/>
      <c r="AL742" s="1509"/>
      <c r="AM742" s="1509"/>
      <c r="AN742" s="1510"/>
      <c r="AO742" s="1508" t="s">
        <v>392</v>
      </c>
      <c r="AP742" s="1509"/>
      <c r="AQ742" s="1509"/>
      <c r="AR742" s="1509"/>
      <c r="AS742" s="1509"/>
      <c r="AT742" s="1509"/>
      <c r="AU742" s="1509"/>
      <c r="AV742" s="1509"/>
      <c r="AW742" s="1509"/>
      <c r="AX742" s="1509"/>
      <c r="AY742" s="1509"/>
      <c r="AZ742" s="1510"/>
    </row>
    <row r="743" spans="1:52" s="291" customFormat="1" ht="15.75">
      <c r="A743" s="297"/>
      <c r="B743" s="1256"/>
      <c r="C743" s="1256"/>
      <c r="D743" s="1256"/>
      <c r="E743" s="1256"/>
      <c r="F743" s="1256"/>
      <c r="G743" s="1256"/>
      <c r="H743" s="1256"/>
      <c r="I743" s="1256"/>
      <c r="J743" s="1256"/>
      <c r="K743" s="1256"/>
      <c r="L743" s="1256"/>
      <c r="M743" s="1256"/>
      <c r="N743" s="1256"/>
      <c r="O743" s="1256"/>
      <c r="P743" s="1256"/>
      <c r="Q743" s="1511"/>
      <c r="R743" s="1512"/>
      <c r="S743" s="1512"/>
      <c r="T743" s="1512"/>
      <c r="U743" s="1512"/>
      <c r="V743" s="1512"/>
      <c r="W743" s="1512"/>
      <c r="X743" s="1512"/>
      <c r="Y743" s="1512"/>
      <c r="Z743" s="1512"/>
      <c r="AA743" s="1512"/>
      <c r="AB743" s="1513"/>
      <c r="AC743" s="1511"/>
      <c r="AD743" s="1512"/>
      <c r="AE743" s="1512"/>
      <c r="AF743" s="1512"/>
      <c r="AG743" s="1512"/>
      <c r="AH743" s="1512"/>
      <c r="AI743" s="1512"/>
      <c r="AJ743" s="1512"/>
      <c r="AK743" s="1512"/>
      <c r="AL743" s="1512"/>
      <c r="AM743" s="1512"/>
      <c r="AN743" s="1513"/>
      <c r="AO743" s="1511"/>
      <c r="AP743" s="1512"/>
      <c r="AQ743" s="1512"/>
      <c r="AR743" s="1512"/>
      <c r="AS743" s="1512"/>
      <c r="AT743" s="1512"/>
      <c r="AU743" s="1512"/>
      <c r="AV743" s="1512"/>
      <c r="AW743" s="1512"/>
      <c r="AX743" s="1512"/>
      <c r="AY743" s="1512"/>
      <c r="AZ743" s="1513"/>
    </row>
    <row r="744" spans="1:52" s="291" customFormat="1" ht="53.25" customHeight="1">
      <c r="A744" s="297"/>
      <c r="B744" s="1594" t="s">
        <v>393</v>
      </c>
      <c r="C744" s="1595"/>
      <c r="D744" s="1595"/>
      <c r="E744" s="1595"/>
      <c r="F744" s="1596"/>
      <c r="G744" s="1577" t="str">
        <f>+CONCATENATE($M$166," Contribución en la mejora de la calidad de vida de la población de la localidad de ",$AO$20, " distrito de ",$AB$20, " provincia",$O$20, " departamento de",$B$20)</f>
        <v xml:space="preserve"> Contribución en la mejora de la calidad de vida de la población de la localidad de SAN JUAN distrito de CALLERÍA provinciaCORONEL PORTILLO departamento deUCAYALI</v>
      </c>
      <c r="H744" s="1515"/>
      <c r="I744" s="1515"/>
      <c r="J744" s="1515"/>
      <c r="K744" s="1515"/>
      <c r="L744" s="1515"/>
      <c r="M744" s="1515"/>
      <c r="N744" s="1515"/>
      <c r="O744" s="1515"/>
      <c r="P744" s="1516"/>
      <c r="Q744" s="1577" t="s">
        <v>2237</v>
      </c>
      <c r="R744" s="1515"/>
      <c r="S744" s="1515"/>
      <c r="T744" s="1515"/>
      <c r="U744" s="1515"/>
      <c r="V744" s="1515"/>
      <c r="W744" s="1515"/>
      <c r="X744" s="1515"/>
      <c r="Y744" s="1516"/>
      <c r="Z744" s="1571"/>
      <c r="AA744" s="1572"/>
      <c r="AB744" s="1573"/>
      <c r="AC744" s="1577" t="s">
        <v>610</v>
      </c>
      <c r="AD744" s="1515"/>
      <c r="AE744" s="1515"/>
      <c r="AF744" s="1515"/>
      <c r="AG744" s="1515"/>
      <c r="AH744" s="1515"/>
      <c r="AI744" s="1515"/>
      <c r="AJ744" s="1515"/>
      <c r="AK744" s="1515"/>
      <c r="AL744" s="1515"/>
      <c r="AM744" s="1515"/>
      <c r="AN744" s="1516"/>
      <c r="AO744" s="1577" t="s">
        <v>611</v>
      </c>
      <c r="AP744" s="1515"/>
      <c r="AQ744" s="1515"/>
      <c r="AR744" s="1515"/>
      <c r="AS744" s="1515"/>
      <c r="AT744" s="1515"/>
      <c r="AU744" s="1515"/>
      <c r="AV744" s="1515"/>
      <c r="AW744" s="1515"/>
      <c r="AX744" s="1515"/>
      <c r="AY744" s="1515"/>
      <c r="AZ744" s="1516"/>
    </row>
    <row r="745" spans="1:52" s="291" customFormat="1" ht="25.5" customHeight="1">
      <c r="A745" s="297"/>
      <c r="B745" s="1594" t="s">
        <v>612</v>
      </c>
      <c r="C745" s="1595"/>
      <c r="D745" s="1595"/>
      <c r="E745" s="1595"/>
      <c r="F745" s="1596"/>
      <c r="G745" s="1577" t="str">
        <f>+LOWER($B$217)</f>
        <v xml:space="preserve"> la población accede a un adecuado servicio de limpieza pública en la localidad de san juan, distrito callería, provincia coronel portillo, departamento ucayali</v>
      </c>
      <c r="H745" s="1515"/>
      <c r="I745" s="1515"/>
      <c r="J745" s="1515"/>
      <c r="K745" s="1515"/>
      <c r="L745" s="1515"/>
      <c r="M745" s="1515"/>
      <c r="N745" s="1515"/>
      <c r="O745" s="1515"/>
      <c r="P745" s="1516"/>
      <c r="Q745" s="1278" t="s">
        <v>502</v>
      </c>
      <c r="R745" s="1279"/>
      <c r="S745" s="1279"/>
      <c r="T745" s="1279"/>
      <c r="U745" s="1279"/>
      <c r="V745" s="1279"/>
      <c r="W745" s="1279"/>
      <c r="X745" s="1279"/>
      <c r="Y745" s="1280"/>
      <c r="Z745" s="1587">
        <f>+V225</f>
        <v>0</v>
      </c>
      <c r="AA745" s="1588"/>
      <c r="AB745" s="1589"/>
      <c r="AC745" s="1577" t="s">
        <v>501</v>
      </c>
      <c r="AD745" s="1515"/>
      <c r="AE745" s="1515"/>
      <c r="AF745" s="1515"/>
      <c r="AG745" s="1515"/>
      <c r="AH745" s="1515"/>
      <c r="AI745" s="1515"/>
      <c r="AJ745" s="1515"/>
      <c r="AK745" s="1515"/>
      <c r="AL745" s="1515"/>
      <c r="AM745" s="1515"/>
      <c r="AN745" s="1516"/>
      <c r="AO745" s="1577" t="s">
        <v>613</v>
      </c>
      <c r="AP745" s="1515"/>
      <c r="AQ745" s="1515"/>
      <c r="AR745" s="1515"/>
      <c r="AS745" s="1515"/>
      <c r="AT745" s="1515"/>
      <c r="AU745" s="1515"/>
      <c r="AV745" s="1515"/>
      <c r="AW745" s="1515"/>
      <c r="AX745" s="1515"/>
      <c r="AY745" s="1515"/>
      <c r="AZ745" s="1516"/>
    </row>
    <row r="746" spans="1:52" s="291" customFormat="1" ht="39" customHeight="1">
      <c r="A746" s="297"/>
      <c r="B746" s="1597"/>
      <c r="C746" s="1598"/>
      <c r="D746" s="1598"/>
      <c r="E746" s="1598"/>
      <c r="F746" s="1599"/>
      <c r="G746" s="1578"/>
      <c r="H746" s="1314"/>
      <c r="I746" s="1314"/>
      <c r="J746" s="1314"/>
      <c r="K746" s="1314"/>
      <c r="L746" s="1314"/>
      <c r="M746" s="1314"/>
      <c r="N746" s="1314"/>
      <c r="O746" s="1314"/>
      <c r="P746" s="1579"/>
      <c r="Q746" s="1278" t="s">
        <v>498</v>
      </c>
      <c r="R746" s="1279"/>
      <c r="S746" s="1279"/>
      <c r="T746" s="1279"/>
      <c r="U746" s="1279"/>
      <c r="V746" s="1279"/>
      <c r="W746" s="1279"/>
      <c r="X746" s="1279"/>
      <c r="Y746" s="1280"/>
      <c r="Z746" s="1613">
        <f>+V223</f>
        <v>0</v>
      </c>
      <c r="AA746" s="1401"/>
      <c r="AB746" s="1401"/>
      <c r="AC746" s="1208" t="s">
        <v>499</v>
      </c>
      <c r="AD746" s="1208"/>
      <c r="AE746" s="1208"/>
      <c r="AF746" s="1208"/>
      <c r="AG746" s="1208"/>
      <c r="AH746" s="1208"/>
      <c r="AI746" s="1208"/>
      <c r="AJ746" s="1208"/>
      <c r="AK746" s="1208"/>
      <c r="AL746" s="1208"/>
      <c r="AM746" s="1208"/>
      <c r="AN746" s="1208"/>
      <c r="AO746" s="1578"/>
      <c r="AP746" s="1314"/>
      <c r="AQ746" s="1314"/>
      <c r="AR746" s="1314"/>
      <c r="AS746" s="1314"/>
      <c r="AT746" s="1314"/>
      <c r="AU746" s="1314"/>
      <c r="AV746" s="1314"/>
      <c r="AW746" s="1314"/>
      <c r="AX746" s="1314"/>
      <c r="AY746" s="1314"/>
      <c r="AZ746" s="1579"/>
    </row>
    <row r="747" spans="1:52" s="291" customFormat="1" ht="53.25" customHeight="1">
      <c r="A747" s="297"/>
      <c r="B747" s="1651" t="s">
        <v>614</v>
      </c>
      <c r="C747" s="1651"/>
      <c r="D747" s="1651"/>
      <c r="E747" s="1651"/>
      <c r="F747" s="1651"/>
      <c r="G747" s="1322" t="str">
        <f>C231</f>
        <v>Adecuado almacenamiento en vías urbanas y áreas públicas</v>
      </c>
      <c r="H747" s="1322"/>
      <c r="I747" s="1322"/>
      <c r="J747" s="1322"/>
      <c r="K747" s="1322"/>
      <c r="L747" s="1322"/>
      <c r="M747" s="1322"/>
      <c r="N747" s="1322"/>
      <c r="O747" s="1322"/>
      <c r="P747" s="1322"/>
      <c r="Q747" s="1322" t="s">
        <v>2245</v>
      </c>
      <c r="R747" s="1322"/>
      <c r="S747" s="1322"/>
      <c r="T747" s="1322"/>
      <c r="U747" s="1322"/>
      <c r="V747" s="1322"/>
      <c r="W747" s="1322"/>
      <c r="X747" s="1322"/>
      <c r="Y747" s="1322"/>
      <c r="Z747" s="1354"/>
      <c r="AA747" s="1354"/>
      <c r="AB747" s="1354"/>
      <c r="AC747" s="1577" t="s">
        <v>615</v>
      </c>
      <c r="AD747" s="1515"/>
      <c r="AE747" s="1515"/>
      <c r="AF747" s="1515"/>
      <c r="AG747" s="1515"/>
      <c r="AH747" s="1515"/>
      <c r="AI747" s="1515"/>
      <c r="AJ747" s="1515"/>
      <c r="AK747" s="1515"/>
      <c r="AL747" s="1515"/>
      <c r="AM747" s="1515"/>
      <c r="AN747" s="1516"/>
      <c r="AO747" s="1322" t="s">
        <v>616</v>
      </c>
      <c r="AP747" s="1322"/>
      <c r="AQ747" s="1322"/>
      <c r="AR747" s="1322"/>
      <c r="AS747" s="1322"/>
      <c r="AT747" s="1322"/>
      <c r="AU747" s="1322"/>
      <c r="AV747" s="1322"/>
      <c r="AW747" s="1322"/>
      <c r="AX747" s="1322"/>
      <c r="AY747" s="1322"/>
      <c r="AZ747" s="1322"/>
    </row>
    <row r="748" spans="1:52" s="291" customFormat="1" ht="41.25" customHeight="1">
      <c r="A748" s="297"/>
      <c r="B748" s="1651"/>
      <c r="C748" s="1651"/>
      <c r="D748" s="1651"/>
      <c r="E748" s="1651"/>
      <c r="F748" s="1651"/>
      <c r="G748" s="1322" t="str">
        <f>C232</f>
        <v>Adecuado barrido de vías urbanas y áreas públicas</v>
      </c>
      <c r="H748" s="1322"/>
      <c r="I748" s="1322"/>
      <c r="J748" s="1322"/>
      <c r="K748" s="1322"/>
      <c r="L748" s="1322"/>
      <c r="M748" s="1322"/>
      <c r="N748" s="1322"/>
      <c r="O748" s="1322"/>
      <c r="P748" s="1322"/>
      <c r="Q748" s="1322" t="s">
        <v>2247</v>
      </c>
      <c r="R748" s="1322"/>
      <c r="S748" s="1322"/>
      <c r="T748" s="1322"/>
      <c r="U748" s="1322"/>
      <c r="V748" s="1322"/>
      <c r="W748" s="1322"/>
      <c r="X748" s="1322"/>
      <c r="Y748" s="1322"/>
      <c r="Z748" s="1354"/>
      <c r="AA748" s="1354"/>
      <c r="AB748" s="1354"/>
      <c r="AC748" s="1578"/>
      <c r="AD748" s="1314"/>
      <c r="AE748" s="1314"/>
      <c r="AF748" s="1314"/>
      <c r="AG748" s="1314"/>
      <c r="AH748" s="1314"/>
      <c r="AI748" s="1314"/>
      <c r="AJ748" s="1314"/>
      <c r="AK748" s="1314"/>
      <c r="AL748" s="1314"/>
      <c r="AM748" s="1314"/>
      <c r="AN748" s="1579"/>
      <c r="AO748" s="1322"/>
      <c r="AP748" s="1322"/>
      <c r="AQ748" s="1322"/>
      <c r="AR748" s="1322"/>
      <c r="AS748" s="1322"/>
      <c r="AT748" s="1322"/>
      <c r="AU748" s="1322"/>
      <c r="AV748" s="1322"/>
      <c r="AW748" s="1322"/>
      <c r="AX748" s="1322"/>
      <c r="AY748" s="1322"/>
      <c r="AZ748" s="1322"/>
    </row>
    <row r="749" spans="1:52" s="291" customFormat="1" ht="41.25" customHeight="1">
      <c r="A749" s="297"/>
      <c r="B749" s="1651"/>
      <c r="C749" s="1651"/>
      <c r="D749" s="1651"/>
      <c r="E749" s="1651"/>
      <c r="F749" s="1651"/>
      <c r="G749" s="1322" t="str">
        <f>C233</f>
        <v>Adecuada capacidad para la recolección y transporte</v>
      </c>
      <c r="H749" s="1322"/>
      <c r="I749" s="1322"/>
      <c r="J749" s="1322"/>
      <c r="K749" s="1322"/>
      <c r="L749" s="1322"/>
      <c r="M749" s="1322"/>
      <c r="N749" s="1322"/>
      <c r="O749" s="1322"/>
      <c r="P749" s="1322"/>
      <c r="Q749" s="1322" t="s">
        <v>2823</v>
      </c>
      <c r="R749" s="1322"/>
      <c r="S749" s="1322"/>
      <c r="T749" s="1322"/>
      <c r="U749" s="1322"/>
      <c r="V749" s="1322"/>
      <c r="W749" s="1322"/>
      <c r="X749" s="1322"/>
      <c r="Y749" s="1322"/>
      <c r="Z749" s="1354"/>
      <c r="AA749" s="1354"/>
      <c r="AB749" s="1354"/>
      <c r="AC749" s="1578"/>
      <c r="AD749" s="1314"/>
      <c r="AE749" s="1314"/>
      <c r="AF749" s="1314"/>
      <c r="AG749" s="1314"/>
      <c r="AH749" s="1314"/>
      <c r="AI749" s="1314"/>
      <c r="AJ749" s="1314"/>
      <c r="AK749" s="1314"/>
      <c r="AL749" s="1314"/>
      <c r="AM749" s="1314"/>
      <c r="AN749" s="1579"/>
      <c r="AO749" s="1322"/>
      <c r="AP749" s="1322"/>
      <c r="AQ749" s="1322"/>
      <c r="AR749" s="1322"/>
      <c r="AS749" s="1322"/>
      <c r="AT749" s="1322"/>
      <c r="AU749" s="1322"/>
      <c r="AV749" s="1322"/>
      <c r="AW749" s="1322"/>
      <c r="AX749" s="1322"/>
      <c r="AY749" s="1322"/>
      <c r="AZ749" s="1322"/>
    </row>
    <row r="750" spans="1:52" s="291" customFormat="1" ht="25.5" customHeight="1">
      <c r="A750" s="297"/>
      <c r="B750" s="1651"/>
      <c r="C750" s="1651"/>
      <c r="D750" s="1651"/>
      <c r="E750" s="1651"/>
      <c r="F750" s="1651"/>
      <c r="G750" s="1322" t="str">
        <f>C236</f>
        <v>Adecuada valorización de los residuos sólidos</v>
      </c>
      <c r="H750" s="1322"/>
      <c r="I750" s="1322"/>
      <c r="J750" s="1322"/>
      <c r="K750" s="1322"/>
      <c r="L750" s="1322"/>
      <c r="M750" s="1322"/>
      <c r="N750" s="1322"/>
      <c r="O750" s="1322"/>
      <c r="P750" s="1322"/>
      <c r="Q750" s="1322" t="s">
        <v>2824</v>
      </c>
      <c r="R750" s="1322"/>
      <c r="S750" s="1322"/>
      <c r="T750" s="1322"/>
      <c r="U750" s="1322"/>
      <c r="V750" s="1322"/>
      <c r="W750" s="1322"/>
      <c r="X750" s="1322"/>
      <c r="Y750" s="1322"/>
      <c r="Z750" s="1354"/>
      <c r="AA750" s="1354"/>
      <c r="AB750" s="1354"/>
      <c r="AC750" s="1578"/>
      <c r="AD750" s="1314"/>
      <c r="AE750" s="1314"/>
      <c r="AF750" s="1314"/>
      <c r="AG750" s="1314"/>
      <c r="AH750" s="1314"/>
      <c r="AI750" s="1314"/>
      <c r="AJ750" s="1314"/>
      <c r="AK750" s="1314"/>
      <c r="AL750" s="1314"/>
      <c r="AM750" s="1314"/>
      <c r="AN750" s="1579"/>
      <c r="AO750" s="1322"/>
      <c r="AP750" s="1322"/>
      <c r="AQ750" s="1322"/>
      <c r="AR750" s="1322"/>
      <c r="AS750" s="1322"/>
      <c r="AT750" s="1322"/>
      <c r="AU750" s="1322"/>
      <c r="AV750" s="1322"/>
      <c r="AW750" s="1322"/>
      <c r="AX750" s="1322"/>
      <c r="AY750" s="1322"/>
      <c r="AZ750" s="1322"/>
    </row>
    <row r="751" spans="1:52" s="291" customFormat="1" ht="48.75" customHeight="1">
      <c r="A751" s="297"/>
      <c r="B751" s="1651"/>
      <c r="C751" s="1651"/>
      <c r="D751" s="1651"/>
      <c r="E751" s="1651"/>
      <c r="F751" s="1651"/>
      <c r="G751" s="1322" t="str">
        <f>C240</f>
        <v>Adecuada disposición final de los residuos sólidos</v>
      </c>
      <c r="H751" s="1322"/>
      <c r="I751" s="1322"/>
      <c r="J751" s="1322"/>
      <c r="K751" s="1322"/>
      <c r="L751" s="1322"/>
      <c r="M751" s="1322"/>
      <c r="N751" s="1322"/>
      <c r="O751" s="1322"/>
      <c r="P751" s="1322"/>
      <c r="Q751" s="1322" t="s">
        <v>2825</v>
      </c>
      <c r="R751" s="1322"/>
      <c r="S751" s="1322"/>
      <c r="T751" s="1322"/>
      <c r="U751" s="1322"/>
      <c r="V751" s="1322"/>
      <c r="W751" s="1322"/>
      <c r="X751" s="1322"/>
      <c r="Y751" s="1322"/>
      <c r="Z751" s="1354"/>
      <c r="AA751" s="1354"/>
      <c r="AB751" s="1354"/>
      <c r="AC751" s="1578"/>
      <c r="AD751" s="1314"/>
      <c r="AE751" s="1314"/>
      <c r="AF751" s="1314"/>
      <c r="AG751" s="1314"/>
      <c r="AH751" s="1314"/>
      <c r="AI751" s="1314"/>
      <c r="AJ751" s="1314"/>
      <c r="AK751" s="1314"/>
      <c r="AL751" s="1314"/>
      <c r="AM751" s="1314"/>
      <c r="AN751" s="1579"/>
      <c r="AO751" s="1322"/>
      <c r="AP751" s="1322"/>
      <c r="AQ751" s="1322"/>
      <c r="AR751" s="1322"/>
      <c r="AS751" s="1322"/>
      <c r="AT751" s="1322"/>
      <c r="AU751" s="1322"/>
      <c r="AV751" s="1322"/>
      <c r="AW751" s="1322"/>
      <c r="AX751" s="1322"/>
      <c r="AY751" s="1322"/>
      <c r="AZ751" s="1322"/>
    </row>
    <row r="752" spans="1:52" s="291" customFormat="1" ht="54" customHeight="1">
      <c r="A752" s="297"/>
      <c r="B752" s="1651"/>
      <c r="C752" s="1651"/>
      <c r="D752" s="1651"/>
      <c r="E752" s="1651"/>
      <c r="F752" s="1651"/>
      <c r="G752" s="1322" t="str">
        <f>C242</f>
        <v>Eficiente gestión técnica, administrativa, económica y financiera del servicio de limpieza pública</v>
      </c>
      <c r="H752" s="1322"/>
      <c r="I752" s="1322"/>
      <c r="J752" s="1322"/>
      <c r="K752" s="1322"/>
      <c r="L752" s="1322"/>
      <c r="M752" s="1322"/>
      <c r="N752" s="1322"/>
      <c r="O752" s="1322"/>
      <c r="P752" s="1322"/>
      <c r="Q752" s="1322" t="s">
        <v>2246</v>
      </c>
      <c r="R752" s="1322"/>
      <c r="S752" s="1322"/>
      <c r="T752" s="1322"/>
      <c r="U752" s="1322"/>
      <c r="V752" s="1322"/>
      <c r="W752" s="1322"/>
      <c r="X752" s="1322"/>
      <c r="Y752" s="1322"/>
      <c r="Z752" s="1354"/>
      <c r="AA752" s="1354"/>
      <c r="AB752" s="1354"/>
      <c r="AC752" s="1578"/>
      <c r="AD752" s="1314"/>
      <c r="AE752" s="1314"/>
      <c r="AF752" s="1314"/>
      <c r="AG752" s="1314"/>
      <c r="AH752" s="1314"/>
      <c r="AI752" s="1314"/>
      <c r="AJ752" s="1314"/>
      <c r="AK752" s="1314"/>
      <c r="AL752" s="1314"/>
      <c r="AM752" s="1314"/>
      <c r="AN752" s="1579"/>
      <c r="AO752" s="1322"/>
      <c r="AP752" s="1322"/>
      <c r="AQ752" s="1322"/>
      <c r="AR752" s="1322"/>
      <c r="AS752" s="1322"/>
      <c r="AT752" s="1322"/>
      <c r="AU752" s="1322"/>
      <c r="AV752" s="1322"/>
      <c r="AW752" s="1322"/>
      <c r="AX752" s="1322"/>
      <c r="AY752" s="1322"/>
      <c r="AZ752" s="1322"/>
    </row>
    <row r="753" spans="1:52" s="291" customFormat="1" ht="33" customHeight="1">
      <c r="A753" s="297"/>
      <c r="B753" s="1651"/>
      <c r="C753" s="1651"/>
      <c r="D753" s="1651"/>
      <c r="E753" s="1651"/>
      <c r="F753" s="1651"/>
      <c r="G753" s="1322" t="str">
        <f>C244</f>
        <v>Adecuada educación y cultura ambiental de la población</v>
      </c>
      <c r="H753" s="1322"/>
      <c r="I753" s="1322"/>
      <c r="J753" s="1322"/>
      <c r="K753" s="1322"/>
      <c r="L753" s="1322"/>
      <c r="M753" s="1322"/>
      <c r="N753" s="1322"/>
      <c r="O753" s="1322"/>
      <c r="P753" s="1322"/>
      <c r="Q753" s="1612" t="s">
        <v>2826</v>
      </c>
      <c r="R753" s="1612"/>
      <c r="S753" s="1612"/>
      <c r="T753" s="1612"/>
      <c r="U753" s="1612"/>
      <c r="V753" s="1612"/>
      <c r="W753" s="1612"/>
      <c r="X753" s="1612"/>
      <c r="Y753" s="1612"/>
      <c r="Z753" s="1650"/>
      <c r="AA753" s="1650"/>
      <c r="AB753" s="1650"/>
      <c r="AC753" s="1629"/>
      <c r="AD753" s="1630"/>
      <c r="AE753" s="1630"/>
      <c r="AF753" s="1630"/>
      <c r="AG753" s="1630"/>
      <c r="AH753" s="1630"/>
      <c r="AI753" s="1630"/>
      <c r="AJ753" s="1630"/>
      <c r="AK753" s="1630"/>
      <c r="AL753" s="1630"/>
      <c r="AM753" s="1630"/>
      <c r="AN753" s="1631"/>
      <c r="AO753" s="1322"/>
      <c r="AP753" s="1322"/>
      <c r="AQ753" s="1322"/>
      <c r="AR753" s="1322"/>
      <c r="AS753" s="1322"/>
      <c r="AT753" s="1322"/>
      <c r="AU753" s="1322"/>
      <c r="AV753" s="1322"/>
      <c r="AW753" s="1322"/>
      <c r="AX753" s="1322"/>
      <c r="AY753" s="1322"/>
      <c r="AZ753" s="1322"/>
    </row>
    <row r="754" spans="1:52" s="291" customFormat="1" ht="45.75" customHeight="1">
      <c r="A754" s="297"/>
      <c r="B754" s="1594" t="s">
        <v>3285</v>
      </c>
      <c r="C754" s="1604"/>
      <c r="D754" s="1604"/>
      <c r="E754" s="1604"/>
      <c r="F754" s="1605"/>
      <c r="G754" s="1321" t="str">
        <f>V231</f>
        <v>Adecuado equipamiento para el almacenamiento en vías urbanas y áreas publicas</v>
      </c>
      <c r="H754" s="1295"/>
      <c r="I754" s="1295"/>
      <c r="J754" s="1295"/>
      <c r="K754" s="1295"/>
      <c r="L754" s="1295"/>
      <c r="M754" s="1295"/>
      <c r="N754" s="1295"/>
      <c r="O754" s="1295"/>
      <c r="P754" s="1296"/>
      <c r="Q754" s="1339">
        <f>X431</f>
        <v>0</v>
      </c>
      <c r="R754" s="1340"/>
      <c r="S754" s="1330" t="s">
        <v>2827</v>
      </c>
      <c r="T754" s="1330"/>
      <c r="U754" s="1330"/>
      <c r="V754" s="1330"/>
      <c r="W754" s="1330"/>
      <c r="X754" s="1330"/>
      <c r="Y754" s="1330"/>
      <c r="Z754" s="1330"/>
      <c r="AA754" s="1330"/>
      <c r="AB754" s="1330"/>
      <c r="AC754" s="1577" t="s">
        <v>2238</v>
      </c>
      <c r="AD754" s="1515"/>
      <c r="AE754" s="1515"/>
      <c r="AF754" s="1515"/>
      <c r="AG754" s="1515"/>
      <c r="AH754" s="1515"/>
      <c r="AI754" s="1515"/>
      <c r="AJ754" s="1515"/>
      <c r="AK754" s="1515"/>
      <c r="AL754" s="1515"/>
      <c r="AM754" s="1515"/>
      <c r="AN754" s="1516"/>
      <c r="AO754" s="1577" t="s">
        <v>2239</v>
      </c>
      <c r="AP754" s="1515"/>
      <c r="AQ754" s="1515"/>
      <c r="AR754" s="1515"/>
      <c r="AS754" s="1515"/>
      <c r="AT754" s="1515"/>
      <c r="AU754" s="1515"/>
      <c r="AV754" s="1515"/>
      <c r="AW754" s="1515"/>
      <c r="AX754" s="1515"/>
      <c r="AY754" s="1515"/>
      <c r="AZ754" s="1516"/>
    </row>
    <row r="755" spans="1:52" s="291" customFormat="1" ht="32.25" customHeight="1">
      <c r="A755" s="297"/>
      <c r="B755" s="1606"/>
      <c r="C755" s="1607"/>
      <c r="D755" s="1607"/>
      <c r="E755" s="1607"/>
      <c r="F755" s="1608"/>
      <c r="G755" s="1321" t="str">
        <f>V232</f>
        <v>Adecuado equipamiento para el barrido de vías urbanas y áreas públicas</v>
      </c>
      <c r="H755" s="1295"/>
      <c r="I755" s="1295"/>
      <c r="J755" s="1295"/>
      <c r="K755" s="1295"/>
      <c r="L755" s="1295"/>
      <c r="M755" s="1295"/>
      <c r="N755" s="1295"/>
      <c r="O755" s="1295"/>
      <c r="P755" s="1296"/>
      <c r="Q755" s="1337">
        <f>X433</f>
        <v>0</v>
      </c>
      <c r="R755" s="1338"/>
      <c r="S755" s="1331"/>
      <c r="T755" s="1331"/>
      <c r="U755" s="1331"/>
      <c r="V755" s="1331"/>
      <c r="W755" s="1331"/>
      <c r="X755" s="1331"/>
      <c r="Y755" s="1331"/>
      <c r="Z755" s="1331"/>
      <c r="AA755" s="1331"/>
      <c r="AB755" s="1331"/>
      <c r="AC755" s="1578"/>
      <c r="AD755" s="1314"/>
      <c r="AE755" s="1314"/>
      <c r="AF755" s="1314"/>
      <c r="AG755" s="1314"/>
      <c r="AH755" s="1314"/>
      <c r="AI755" s="1314"/>
      <c r="AJ755" s="1314"/>
      <c r="AK755" s="1314"/>
      <c r="AL755" s="1314"/>
      <c r="AM755" s="1314"/>
      <c r="AN755" s="1579"/>
      <c r="AO755" s="1578"/>
      <c r="AP755" s="1314"/>
      <c r="AQ755" s="1314"/>
      <c r="AR755" s="1314"/>
      <c r="AS755" s="1314"/>
      <c r="AT755" s="1314"/>
      <c r="AU755" s="1314"/>
      <c r="AV755" s="1314"/>
      <c r="AW755" s="1314"/>
      <c r="AX755" s="1314"/>
      <c r="AY755" s="1314"/>
      <c r="AZ755" s="1579"/>
    </row>
    <row r="756" spans="1:52" s="291" customFormat="1" ht="38.25" customHeight="1">
      <c r="A756" s="297"/>
      <c r="B756" s="1606"/>
      <c r="C756" s="1607"/>
      <c r="D756" s="1607"/>
      <c r="E756" s="1607"/>
      <c r="F756" s="1608"/>
      <c r="G756" s="1198" t="str">
        <f>V233</f>
        <v>Adecuado equipamiento para la recolección y transporte</v>
      </c>
      <c r="H756" s="1199"/>
      <c r="I756" s="1199"/>
      <c r="J756" s="1199"/>
      <c r="K756" s="1199"/>
      <c r="L756" s="1199"/>
      <c r="M756" s="1199"/>
      <c r="N756" s="1199"/>
      <c r="O756" s="1199"/>
      <c r="P756" s="1200"/>
      <c r="Q756" s="1339">
        <f>X434</f>
        <v>0</v>
      </c>
      <c r="R756" s="1340"/>
      <c r="S756" s="1336" t="s">
        <v>2828</v>
      </c>
      <c r="T756" s="1336"/>
      <c r="U756" s="1336"/>
      <c r="V756" s="1336"/>
      <c r="W756" s="1336"/>
      <c r="X756" s="1336"/>
      <c r="Y756" s="1336"/>
      <c r="Z756" s="1336"/>
      <c r="AA756" s="1336"/>
      <c r="AB756" s="1336"/>
      <c r="AC756" s="1578"/>
      <c r="AD756" s="1314"/>
      <c r="AE756" s="1314"/>
      <c r="AF756" s="1314"/>
      <c r="AG756" s="1314"/>
      <c r="AH756" s="1314"/>
      <c r="AI756" s="1314"/>
      <c r="AJ756" s="1314"/>
      <c r="AK756" s="1314"/>
      <c r="AL756" s="1314"/>
      <c r="AM756" s="1314"/>
      <c r="AN756" s="1579"/>
      <c r="AO756" s="1578"/>
      <c r="AP756" s="1314"/>
      <c r="AQ756" s="1314"/>
      <c r="AR756" s="1314"/>
      <c r="AS756" s="1314"/>
      <c r="AT756" s="1314"/>
      <c r="AU756" s="1314"/>
      <c r="AV756" s="1314"/>
      <c r="AW756" s="1314"/>
      <c r="AX756" s="1314"/>
      <c r="AY756" s="1314"/>
      <c r="AZ756" s="1579"/>
    </row>
    <row r="757" spans="1:52" s="291" customFormat="1" ht="42" customHeight="1">
      <c r="A757" s="297"/>
      <c r="B757" s="1606"/>
      <c r="C757" s="1607"/>
      <c r="D757" s="1607"/>
      <c r="E757" s="1607"/>
      <c r="F757" s="1608"/>
      <c r="G757" s="1222"/>
      <c r="H757" s="1223"/>
      <c r="I757" s="1223"/>
      <c r="J757" s="1223"/>
      <c r="K757" s="1223"/>
      <c r="L757" s="1223"/>
      <c r="M757" s="1223"/>
      <c r="N757" s="1223"/>
      <c r="O757" s="1223"/>
      <c r="P757" s="1224"/>
      <c r="Q757" s="1337">
        <f>X435</f>
        <v>0</v>
      </c>
      <c r="R757" s="1338"/>
      <c r="S757" s="1319" t="s">
        <v>2829</v>
      </c>
      <c r="T757" s="1319"/>
      <c r="U757" s="1319"/>
      <c r="V757" s="1319"/>
      <c r="W757" s="1319"/>
      <c r="X757" s="1319"/>
      <c r="Y757" s="1319"/>
      <c r="Z757" s="1319"/>
      <c r="AA757" s="1319"/>
      <c r="AB757" s="1319"/>
      <c r="AC757" s="1578"/>
      <c r="AD757" s="1314"/>
      <c r="AE757" s="1314"/>
      <c r="AF757" s="1314"/>
      <c r="AG757" s="1314"/>
      <c r="AH757" s="1314"/>
      <c r="AI757" s="1314"/>
      <c r="AJ757" s="1314"/>
      <c r="AK757" s="1314"/>
      <c r="AL757" s="1314"/>
      <c r="AM757" s="1314"/>
      <c r="AN757" s="1579"/>
      <c r="AO757" s="1578"/>
      <c r="AP757" s="1314"/>
      <c r="AQ757" s="1314"/>
      <c r="AR757" s="1314"/>
      <c r="AS757" s="1314"/>
      <c r="AT757" s="1314"/>
      <c r="AU757" s="1314"/>
      <c r="AV757" s="1314"/>
      <c r="AW757" s="1314"/>
      <c r="AX757" s="1314"/>
      <c r="AY757" s="1314"/>
      <c r="AZ757" s="1579"/>
    </row>
    <row r="758" spans="1:52" s="291" customFormat="1" ht="42" customHeight="1">
      <c r="A758" s="297"/>
      <c r="B758" s="1606"/>
      <c r="C758" s="1607"/>
      <c r="D758" s="1607"/>
      <c r="E758" s="1607"/>
      <c r="F758" s="1608"/>
      <c r="G758" s="1222"/>
      <c r="H758" s="1223"/>
      <c r="I758" s="1223"/>
      <c r="J758" s="1223"/>
      <c r="K758" s="1223"/>
      <c r="L758" s="1223"/>
      <c r="M758" s="1223"/>
      <c r="N758" s="1223"/>
      <c r="O758" s="1223"/>
      <c r="P758" s="1224"/>
      <c r="Q758" s="1339">
        <f t="shared" ref="Q758:Q764" si="38">X437</f>
        <v>0</v>
      </c>
      <c r="R758" s="1340"/>
      <c r="S758" s="1336" t="s">
        <v>2830</v>
      </c>
      <c r="T758" s="1336"/>
      <c r="U758" s="1336"/>
      <c r="V758" s="1336"/>
      <c r="W758" s="1336"/>
      <c r="X758" s="1336"/>
      <c r="Y758" s="1336"/>
      <c r="Z758" s="1336"/>
      <c r="AA758" s="1336"/>
      <c r="AB758" s="1336"/>
      <c r="AC758" s="1578"/>
      <c r="AD758" s="1314"/>
      <c r="AE758" s="1314"/>
      <c r="AF758" s="1314"/>
      <c r="AG758" s="1314"/>
      <c r="AH758" s="1314"/>
      <c r="AI758" s="1314"/>
      <c r="AJ758" s="1314"/>
      <c r="AK758" s="1314"/>
      <c r="AL758" s="1314"/>
      <c r="AM758" s="1314"/>
      <c r="AN758" s="1579"/>
      <c r="AO758" s="1578"/>
      <c r="AP758" s="1314"/>
      <c r="AQ758" s="1314"/>
      <c r="AR758" s="1314"/>
      <c r="AS758" s="1314"/>
      <c r="AT758" s="1314"/>
      <c r="AU758" s="1314"/>
      <c r="AV758" s="1314"/>
      <c r="AW758" s="1314"/>
      <c r="AX758" s="1314"/>
      <c r="AY758" s="1314"/>
      <c r="AZ758" s="1579"/>
    </row>
    <row r="759" spans="1:52" s="291" customFormat="1" ht="18" customHeight="1">
      <c r="A759" s="297"/>
      <c r="B759" s="1606"/>
      <c r="C759" s="1607"/>
      <c r="D759" s="1607"/>
      <c r="E759" s="1607"/>
      <c r="F759" s="1608"/>
      <c r="G759" s="1201"/>
      <c r="H759" s="1202"/>
      <c r="I759" s="1202"/>
      <c r="J759" s="1202"/>
      <c r="K759" s="1202"/>
      <c r="L759" s="1202"/>
      <c r="M759" s="1202"/>
      <c r="N759" s="1202"/>
      <c r="O759" s="1202"/>
      <c r="P759" s="1203"/>
      <c r="Q759" s="1337">
        <f t="shared" si="38"/>
        <v>0</v>
      </c>
      <c r="R759" s="1338"/>
      <c r="S759" s="1319" t="s">
        <v>2313</v>
      </c>
      <c r="T759" s="1319"/>
      <c r="U759" s="1319"/>
      <c r="V759" s="1319"/>
      <c r="W759" s="1319"/>
      <c r="X759" s="1319"/>
      <c r="Y759" s="1319"/>
      <c r="Z759" s="1319"/>
      <c r="AA759" s="1319"/>
      <c r="AB759" s="1319"/>
      <c r="AC759" s="1578"/>
      <c r="AD759" s="1314"/>
      <c r="AE759" s="1314"/>
      <c r="AF759" s="1314"/>
      <c r="AG759" s="1314"/>
      <c r="AH759" s="1314"/>
      <c r="AI759" s="1314"/>
      <c r="AJ759" s="1314"/>
      <c r="AK759" s="1314"/>
      <c r="AL759" s="1314"/>
      <c r="AM759" s="1314"/>
      <c r="AN759" s="1579"/>
      <c r="AO759" s="1578"/>
      <c r="AP759" s="1314"/>
      <c r="AQ759" s="1314"/>
      <c r="AR759" s="1314"/>
      <c r="AS759" s="1314"/>
      <c r="AT759" s="1314"/>
      <c r="AU759" s="1314"/>
      <c r="AV759" s="1314"/>
      <c r="AW759" s="1314"/>
      <c r="AX759" s="1314"/>
      <c r="AY759" s="1314"/>
      <c r="AZ759" s="1579"/>
    </row>
    <row r="760" spans="1:52" s="291" customFormat="1" ht="29.25" customHeight="1">
      <c r="A760" s="297"/>
      <c r="B760" s="1606"/>
      <c r="C760" s="1607"/>
      <c r="D760" s="1607"/>
      <c r="E760" s="1607"/>
      <c r="F760" s="1608"/>
      <c r="G760" s="1198" t="str">
        <f>V234</f>
        <v>Adecuados vehículos para la recolección y transporte de residuos sólidos NO aprovechables</v>
      </c>
      <c r="H760" s="1199"/>
      <c r="I760" s="1199"/>
      <c r="J760" s="1199"/>
      <c r="K760" s="1199"/>
      <c r="L760" s="1199"/>
      <c r="M760" s="1199"/>
      <c r="N760" s="1199"/>
      <c r="O760" s="1199"/>
      <c r="P760" s="1199"/>
      <c r="Q760" s="1616">
        <f t="shared" si="38"/>
        <v>0</v>
      </c>
      <c r="R760" s="1617"/>
      <c r="S760" s="1336" t="s">
        <v>2831</v>
      </c>
      <c r="T760" s="1336"/>
      <c r="U760" s="1336"/>
      <c r="V760" s="1336"/>
      <c r="W760" s="1336"/>
      <c r="X760" s="1336"/>
      <c r="Y760" s="1336"/>
      <c r="Z760" s="1336"/>
      <c r="AA760" s="1336"/>
      <c r="AB760" s="1336"/>
      <c r="AC760" s="1578"/>
      <c r="AD760" s="1314"/>
      <c r="AE760" s="1314"/>
      <c r="AF760" s="1314"/>
      <c r="AG760" s="1314"/>
      <c r="AH760" s="1314"/>
      <c r="AI760" s="1314"/>
      <c r="AJ760" s="1314"/>
      <c r="AK760" s="1314"/>
      <c r="AL760" s="1314"/>
      <c r="AM760" s="1314"/>
      <c r="AN760" s="1579"/>
      <c r="AO760" s="1578"/>
      <c r="AP760" s="1314"/>
      <c r="AQ760" s="1314"/>
      <c r="AR760" s="1314"/>
      <c r="AS760" s="1314"/>
      <c r="AT760" s="1314"/>
      <c r="AU760" s="1314"/>
      <c r="AV760" s="1314"/>
      <c r="AW760" s="1314"/>
      <c r="AX760" s="1314"/>
      <c r="AY760" s="1314"/>
      <c r="AZ760" s="1579"/>
    </row>
    <row r="761" spans="1:52" s="291" customFormat="1" ht="21.75" customHeight="1">
      <c r="A761" s="297"/>
      <c r="B761" s="1606"/>
      <c r="C761" s="1607"/>
      <c r="D761" s="1607"/>
      <c r="E761" s="1607"/>
      <c r="F761" s="1608"/>
      <c r="G761" s="1222"/>
      <c r="H761" s="1223"/>
      <c r="I761" s="1223"/>
      <c r="J761" s="1223"/>
      <c r="K761" s="1223"/>
      <c r="L761" s="1223"/>
      <c r="M761" s="1223"/>
      <c r="N761" s="1223"/>
      <c r="O761" s="1223"/>
      <c r="P761" s="1223"/>
      <c r="Q761" s="1614">
        <f t="shared" si="38"/>
        <v>0</v>
      </c>
      <c r="R761" s="1615"/>
      <c r="S761" s="1319" t="s">
        <v>2832</v>
      </c>
      <c r="T761" s="1319"/>
      <c r="U761" s="1319"/>
      <c r="V761" s="1319"/>
      <c r="W761" s="1319"/>
      <c r="X761" s="1319"/>
      <c r="Y761" s="1319"/>
      <c r="Z761" s="1319"/>
      <c r="AA761" s="1319"/>
      <c r="AB761" s="1319"/>
      <c r="AC761" s="1578"/>
      <c r="AD761" s="1314"/>
      <c r="AE761" s="1314"/>
      <c r="AF761" s="1314"/>
      <c r="AG761" s="1314"/>
      <c r="AH761" s="1314"/>
      <c r="AI761" s="1314"/>
      <c r="AJ761" s="1314"/>
      <c r="AK761" s="1314"/>
      <c r="AL761" s="1314"/>
      <c r="AM761" s="1314"/>
      <c r="AN761" s="1579"/>
      <c r="AO761" s="1578"/>
      <c r="AP761" s="1314"/>
      <c r="AQ761" s="1314"/>
      <c r="AR761" s="1314"/>
      <c r="AS761" s="1314"/>
      <c r="AT761" s="1314"/>
      <c r="AU761" s="1314"/>
      <c r="AV761" s="1314"/>
      <c r="AW761" s="1314"/>
      <c r="AX761" s="1314"/>
      <c r="AY761" s="1314"/>
      <c r="AZ761" s="1579"/>
    </row>
    <row r="762" spans="1:52" s="291" customFormat="1" ht="29.25" customHeight="1">
      <c r="A762" s="297"/>
      <c r="B762" s="1606"/>
      <c r="C762" s="1607"/>
      <c r="D762" s="1607"/>
      <c r="E762" s="1607"/>
      <c r="F762" s="1608"/>
      <c r="G762" s="1201"/>
      <c r="H762" s="1202"/>
      <c r="I762" s="1202"/>
      <c r="J762" s="1202"/>
      <c r="K762" s="1202"/>
      <c r="L762" s="1202"/>
      <c r="M762" s="1202"/>
      <c r="N762" s="1202"/>
      <c r="O762" s="1202"/>
      <c r="P762" s="1203"/>
      <c r="Q762" s="1337">
        <f t="shared" si="38"/>
        <v>0</v>
      </c>
      <c r="R762" s="1338"/>
      <c r="S762" s="1336" t="s">
        <v>2833</v>
      </c>
      <c r="T762" s="1336"/>
      <c r="U762" s="1336"/>
      <c r="V762" s="1336"/>
      <c r="W762" s="1336"/>
      <c r="X762" s="1336"/>
      <c r="Y762" s="1336"/>
      <c r="Z762" s="1336"/>
      <c r="AA762" s="1336"/>
      <c r="AB762" s="1336"/>
      <c r="AC762" s="1578"/>
      <c r="AD762" s="1314"/>
      <c r="AE762" s="1314"/>
      <c r="AF762" s="1314"/>
      <c r="AG762" s="1314"/>
      <c r="AH762" s="1314"/>
      <c r="AI762" s="1314"/>
      <c r="AJ762" s="1314"/>
      <c r="AK762" s="1314"/>
      <c r="AL762" s="1314"/>
      <c r="AM762" s="1314"/>
      <c r="AN762" s="1579"/>
      <c r="AO762" s="1578"/>
      <c r="AP762" s="1314"/>
      <c r="AQ762" s="1314"/>
      <c r="AR762" s="1314"/>
      <c r="AS762" s="1314"/>
      <c r="AT762" s="1314"/>
      <c r="AU762" s="1314"/>
      <c r="AV762" s="1314"/>
      <c r="AW762" s="1314"/>
      <c r="AX762" s="1314"/>
      <c r="AY762" s="1314"/>
      <c r="AZ762" s="1579"/>
    </row>
    <row r="763" spans="1:52" s="291" customFormat="1" ht="36.75" customHeight="1">
      <c r="A763" s="297"/>
      <c r="B763" s="1606"/>
      <c r="C763" s="1607"/>
      <c r="D763" s="1607"/>
      <c r="E763" s="1607"/>
      <c r="F763" s="1608"/>
      <c r="G763" s="1198" t="str">
        <f>V235</f>
        <v>Adecuados vehículos para la recolección y transporte de residuos sólidos aprovechables</v>
      </c>
      <c r="H763" s="1199"/>
      <c r="I763" s="1199"/>
      <c r="J763" s="1199"/>
      <c r="K763" s="1199"/>
      <c r="L763" s="1199"/>
      <c r="M763" s="1199"/>
      <c r="N763" s="1199"/>
      <c r="O763" s="1199"/>
      <c r="P763" s="1200"/>
      <c r="Q763" s="1339">
        <f t="shared" si="38"/>
        <v>0</v>
      </c>
      <c r="R763" s="1340"/>
      <c r="S763" s="1319" t="s">
        <v>2834</v>
      </c>
      <c r="T763" s="1319"/>
      <c r="U763" s="1319"/>
      <c r="V763" s="1319"/>
      <c r="W763" s="1319"/>
      <c r="X763" s="1319"/>
      <c r="Y763" s="1319"/>
      <c r="Z763" s="1319"/>
      <c r="AA763" s="1319"/>
      <c r="AB763" s="1319"/>
      <c r="AC763" s="1578"/>
      <c r="AD763" s="1314"/>
      <c r="AE763" s="1314"/>
      <c r="AF763" s="1314"/>
      <c r="AG763" s="1314"/>
      <c r="AH763" s="1314"/>
      <c r="AI763" s="1314"/>
      <c r="AJ763" s="1314"/>
      <c r="AK763" s="1314"/>
      <c r="AL763" s="1314"/>
      <c r="AM763" s="1314"/>
      <c r="AN763" s="1579"/>
      <c r="AO763" s="1578"/>
      <c r="AP763" s="1314"/>
      <c r="AQ763" s="1314"/>
      <c r="AR763" s="1314"/>
      <c r="AS763" s="1314"/>
      <c r="AT763" s="1314"/>
      <c r="AU763" s="1314"/>
      <c r="AV763" s="1314"/>
      <c r="AW763" s="1314"/>
      <c r="AX763" s="1314"/>
      <c r="AY763" s="1314"/>
      <c r="AZ763" s="1579"/>
    </row>
    <row r="764" spans="1:52" s="291" customFormat="1" ht="24.75" customHeight="1">
      <c r="A764" s="297"/>
      <c r="B764" s="1606"/>
      <c r="C764" s="1607"/>
      <c r="D764" s="1607"/>
      <c r="E764" s="1607"/>
      <c r="F764" s="1608"/>
      <c r="G764" s="1201"/>
      <c r="H764" s="1202"/>
      <c r="I764" s="1202"/>
      <c r="J764" s="1202"/>
      <c r="K764" s="1202"/>
      <c r="L764" s="1202"/>
      <c r="M764" s="1202"/>
      <c r="N764" s="1202"/>
      <c r="O764" s="1202"/>
      <c r="P764" s="1203"/>
      <c r="Q764" s="1337">
        <f t="shared" si="38"/>
        <v>0</v>
      </c>
      <c r="R764" s="1338"/>
      <c r="S764" s="1319" t="s">
        <v>2240</v>
      </c>
      <c r="T764" s="1319"/>
      <c r="U764" s="1319"/>
      <c r="V764" s="1319"/>
      <c r="W764" s="1319"/>
      <c r="X764" s="1319"/>
      <c r="Y764" s="1319"/>
      <c r="Z764" s="1319"/>
      <c r="AA764" s="1319"/>
      <c r="AB764" s="1319"/>
      <c r="AC764" s="1578"/>
      <c r="AD764" s="1314"/>
      <c r="AE764" s="1314"/>
      <c r="AF764" s="1314"/>
      <c r="AG764" s="1314"/>
      <c r="AH764" s="1314"/>
      <c r="AI764" s="1314"/>
      <c r="AJ764" s="1314"/>
      <c r="AK764" s="1314"/>
      <c r="AL764" s="1314"/>
      <c r="AM764" s="1314"/>
      <c r="AN764" s="1579"/>
      <c r="AO764" s="1578"/>
      <c r="AP764" s="1314"/>
      <c r="AQ764" s="1314"/>
      <c r="AR764" s="1314"/>
      <c r="AS764" s="1314"/>
      <c r="AT764" s="1314"/>
      <c r="AU764" s="1314"/>
      <c r="AV764" s="1314"/>
      <c r="AW764" s="1314"/>
      <c r="AX764" s="1314"/>
      <c r="AY764" s="1314"/>
      <c r="AZ764" s="1579"/>
    </row>
    <row r="765" spans="1:52" s="291" customFormat="1" ht="34.5" customHeight="1">
      <c r="A765" s="297"/>
      <c r="B765" s="1606"/>
      <c r="C765" s="1607"/>
      <c r="D765" s="1607"/>
      <c r="E765" s="1607"/>
      <c r="F765" s="1608"/>
      <c r="G765" s="1198" t="str">
        <f>V236</f>
        <v>Adecuada infraestructura para la valorización de residuos sólidos ORGÁNICOS</v>
      </c>
      <c r="H765" s="1199"/>
      <c r="I765" s="1199"/>
      <c r="J765" s="1199"/>
      <c r="K765" s="1199"/>
      <c r="L765" s="1199"/>
      <c r="M765" s="1199"/>
      <c r="N765" s="1199"/>
      <c r="O765" s="1199"/>
      <c r="P765" s="1200"/>
      <c r="Q765" s="1339">
        <f t="shared" ref="Q765:Q773" si="39">X445</f>
        <v>0</v>
      </c>
      <c r="R765" s="1340"/>
      <c r="S765" s="1336" t="s">
        <v>2835</v>
      </c>
      <c r="T765" s="1336"/>
      <c r="U765" s="1336"/>
      <c r="V765" s="1336"/>
      <c r="W765" s="1336"/>
      <c r="X765" s="1336"/>
      <c r="Y765" s="1336"/>
      <c r="Z765" s="1336"/>
      <c r="AA765" s="1336"/>
      <c r="AB765" s="1336"/>
      <c r="AC765" s="1578"/>
      <c r="AD765" s="1314"/>
      <c r="AE765" s="1314"/>
      <c r="AF765" s="1314"/>
      <c r="AG765" s="1314"/>
      <c r="AH765" s="1314"/>
      <c r="AI765" s="1314"/>
      <c r="AJ765" s="1314"/>
      <c r="AK765" s="1314"/>
      <c r="AL765" s="1314"/>
      <c r="AM765" s="1314"/>
      <c r="AN765" s="1579"/>
      <c r="AO765" s="1578"/>
      <c r="AP765" s="1314"/>
      <c r="AQ765" s="1314"/>
      <c r="AR765" s="1314"/>
      <c r="AS765" s="1314"/>
      <c r="AT765" s="1314"/>
      <c r="AU765" s="1314"/>
      <c r="AV765" s="1314"/>
      <c r="AW765" s="1314"/>
      <c r="AX765" s="1314"/>
      <c r="AY765" s="1314"/>
      <c r="AZ765" s="1579"/>
    </row>
    <row r="766" spans="1:52" s="291" customFormat="1" ht="22.5" customHeight="1">
      <c r="A766" s="297"/>
      <c r="B766" s="1606"/>
      <c r="C766" s="1607"/>
      <c r="D766" s="1607"/>
      <c r="E766" s="1607"/>
      <c r="F766" s="1608"/>
      <c r="G766" s="1222" t="str">
        <f>V237</f>
        <v>Adecuado equipamiento para la valorización de residuos solidos ORGÁNICOS</v>
      </c>
      <c r="H766" s="1223"/>
      <c r="I766" s="1223"/>
      <c r="J766" s="1223"/>
      <c r="K766" s="1223"/>
      <c r="L766" s="1223"/>
      <c r="M766" s="1223"/>
      <c r="N766" s="1223"/>
      <c r="O766" s="1223"/>
      <c r="P766" s="1224"/>
      <c r="Q766" s="1337">
        <f t="shared" si="39"/>
        <v>0</v>
      </c>
      <c r="R766" s="1338"/>
      <c r="S766" s="1319" t="s">
        <v>2836</v>
      </c>
      <c r="T766" s="1319"/>
      <c r="U766" s="1319"/>
      <c r="V766" s="1319"/>
      <c r="W766" s="1319"/>
      <c r="X766" s="1319"/>
      <c r="Y766" s="1319"/>
      <c r="Z766" s="1319"/>
      <c r="AA766" s="1319"/>
      <c r="AB766" s="1319"/>
      <c r="AC766" s="1578"/>
      <c r="AD766" s="1314"/>
      <c r="AE766" s="1314"/>
      <c r="AF766" s="1314"/>
      <c r="AG766" s="1314"/>
      <c r="AH766" s="1314"/>
      <c r="AI766" s="1314"/>
      <c r="AJ766" s="1314"/>
      <c r="AK766" s="1314"/>
      <c r="AL766" s="1314"/>
      <c r="AM766" s="1314"/>
      <c r="AN766" s="1579"/>
      <c r="AO766" s="1578"/>
      <c r="AP766" s="1314"/>
      <c r="AQ766" s="1314"/>
      <c r="AR766" s="1314"/>
      <c r="AS766" s="1314"/>
      <c r="AT766" s="1314"/>
      <c r="AU766" s="1314"/>
      <c r="AV766" s="1314"/>
      <c r="AW766" s="1314"/>
      <c r="AX766" s="1314"/>
      <c r="AY766" s="1314"/>
      <c r="AZ766" s="1579"/>
    </row>
    <row r="767" spans="1:52" s="291" customFormat="1" ht="29.25" customHeight="1">
      <c r="A767" s="297"/>
      <c r="B767" s="1606"/>
      <c r="C767" s="1607"/>
      <c r="D767" s="1607"/>
      <c r="E767" s="1607"/>
      <c r="F767" s="1608"/>
      <c r="G767" s="1222"/>
      <c r="H767" s="1223"/>
      <c r="I767" s="1223"/>
      <c r="J767" s="1223"/>
      <c r="K767" s="1223"/>
      <c r="L767" s="1223"/>
      <c r="M767" s="1223"/>
      <c r="N767" s="1223"/>
      <c r="O767" s="1223"/>
      <c r="P767" s="1224"/>
      <c r="Q767" s="1339">
        <f t="shared" si="39"/>
        <v>0</v>
      </c>
      <c r="R767" s="1340"/>
      <c r="S767" s="1336" t="s">
        <v>2837</v>
      </c>
      <c r="T767" s="1336"/>
      <c r="U767" s="1336"/>
      <c r="V767" s="1336"/>
      <c r="W767" s="1336"/>
      <c r="X767" s="1336"/>
      <c r="Y767" s="1336"/>
      <c r="Z767" s="1336"/>
      <c r="AA767" s="1336"/>
      <c r="AB767" s="1336"/>
      <c r="AC767" s="1578"/>
      <c r="AD767" s="1314"/>
      <c r="AE767" s="1314"/>
      <c r="AF767" s="1314"/>
      <c r="AG767" s="1314"/>
      <c r="AH767" s="1314"/>
      <c r="AI767" s="1314"/>
      <c r="AJ767" s="1314"/>
      <c r="AK767" s="1314"/>
      <c r="AL767" s="1314"/>
      <c r="AM767" s="1314"/>
      <c r="AN767" s="1579"/>
      <c r="AO767" s="1578"/>
      <c r="AP767" s="1314"/>
      <c r="AQ767" s="1314"/>
      <c r="AR767" s="1314"/>
      <c r="AS767" s="1314"/>
      <c r="AT767" s="1314"/>
      <c r="AU767" s="1314"/>
      <c r="AV767" s="1314"/>
      <c r="AW767" s="1314"/>
      <c r="AX767" s="1314"/>
      <c r="AY767" s="1314"/>
      <c r="AZ767" s="1579"/>
    </row>
    <row r="768" spans="1:52" s="291" customFormat="1" ht="29.25" customHeight="1">
      <c r="A768" s="297"/>
      <c r="B768" s="1606"/>
      <c r="C768" s="1607"/>
      <c r="D768" s="1607"/>
      <c r="E768" s="1607"/>
      <c r="F768" s="1608"/>
      <c r="G768" s="1222"/>
      <c r="H768" s="1223"/>
      <c r="I768" s="1223"/>
      <c r="J768" s="1223"/>
      <c r="K768" s="1223"/>
      <c r="L768" s="1223"/>
      <c r="M768" s="1223"/>
      <c r="N768" s="1223"/>
      <c r="O768" s="1223"/>
      <c r="P768" s="1224"/>
      <c r="Q768" s="1337">
        <f t="shared" si="39"/>
        <v>0</v>
      </c>
      <c r="R768" s="1338"/>
      <c r="S768" s="1319" t="s">
        <v>2838</v>
      </c>
      <c r="T768" s="1319"/>
      <c r="U768" s="1319"/>
      <c r="V768" s="1319"/>
      <c r="W768" s="1319"/>
      <c r="X768" s="1319"/>
      <c r="Y768" s="1319"/>
      <c r="Z768" s="1319"/>
      <c r="AA768" s="1319"/>
      <c r="AB768" s="1319"/>
      <c r="AC768" s="1578"/>
      <c r="AD768" s="1314"/>
      <c r="AE768" s="1314"/>
      <c r="AF768" s="1314"/>
      <c r="AG768" s="1314"/>
      <c r="AH768" s="1314"/>
      <c r="AI768" s="1314"/>
      <c r="AJ768" s="1314"/>
      <c r="AK768" s="1314"/>
      <c r="AL768" s="1314"/>
      <c r="AM768" s="1314"/>
      <c r="AN768" s="1579"/>
      <c r="AO768" s="1578"/>
      <c r="AP768" s="1314"/>
      <c r="AQ768" s="1314"/>
      <c r="AR768" s="1314"/>
      <c r="AS768" s="1314"/>
      <c r="AT768" s="1314"/>
      <c r="AU768" s="1314"/>
      <c r="AV768" s="1314"/>
      <c r="AW768" s="1314"/>
      <c r="AX768" s="1314"/>
      <c r="AY768" s="1314"/>
      <c r="AZ768" s="1579"/>
    </row>
    <row r="769" spans="1:52" s="291" customFormat="1" ht="29.25" customHeight="1">
      <c r="A769" s="297"/>
      <c r="B769" s="1606"/>
      <c r="C769" s="1607"/>
      <c r="D769" s="1607"/>
      <c r="E769" s="1607"/>
      <c r="F769" s="1608"/>
      <c r="G769" s="1201"/>
      <c r="H769" s="1202"/>
      <c r="I769" s="1202"/>
      <c r="J769" s="1202"/>
      <c r="K769" s="1202"/>
      <c r="L769" s="1202"/>
      <c r="M769" s="1202"/>
      <c r="N769" s="1202"/>
      <c r="O769" s="1202"/>
      <c r="P769" s="1203"/>
      <c r="Q769" s="1339">
        <f t="shared" si="39"/>
        <v>0</v>
      </c>
      <c r="R769" s="1340"/>
      <c r="S769" s="1336" t="s">
        <v>2315</v>
      </c>
      <c r="T769" s="1336"/>
      <c r="U769" s="1336"/>
      <c r="V769" s="1336"/>
      <c r="W769" s="1336"/>
      <c r="X769" s="1336"/>
      <c r="Y769" s="1336"/>
      <c r="Z769" s="1336"/>
      <c r="AA769" s="1336"/>
      <c r="AB769" s="1336"/>
      <c r="AC769" s="1578"/>
      <c r="AD769" s="1314"/>
      <c r="AE769" s="1314"/>
      <c r="AF769" s="1314"/>
      <c r="AG769" s="1314"/>
      <c r="AH769" s="1314"/>
      <c r="AI769" s="1314"/>
      <c r="AJ769" s="1314"/>
      <c r="AK769" s="1314"/>
      <c r="AL769" s="1314"/>
      <c r="AM769" s="1314"/>
      <c r="AN769" s="1579"/>
      <c r="AO769" s="1578"/>
      <c r="AP769" s="1314"/>
      <c r="AQ769" s="1314"/>
      <c r="AR769" s="1314"/>
      <c r="AS769" s="1314"/>
      <c r="AT769" s="1314"/>
      <c r="AU769" s="1314"/>
      <c r="AV769" s="1314"/>
      <c r="AW769" s="1314"/>
      <c r="AX769" s="1314"/>
      <c r="AY769" s="1314"/>
      <c r="AZ769" s="1579"/>
    </row>
    <row r="770" spans="1:52" s="291" customFormat="1" ht="47.25" customHeight="1">
      <c r="A770" s="297"/>
      <c r="B770" s="1606"/>
      <c r="C770" s="1607"/>
      <c r="D770" s="1607"/>
      <c r="E770" s="1607"/>
      <c r="F770" s="1608"/>
      <c r="G770" s="1341" t="str">
        <f>V238</f>
        <v>Adecuada infraestructura para aprovechamiento de residuos sólidos INORGÁNICOS</v>
      </c>
      <c r="H770" s="1341"/>
      <c r="I770" s="1341"/>
      <c r="J770" s="1341"/>
      <c r="K770" s="1341"/>
      <c r="L770" s="1341"/>
      <c r="M770" s="1341"/>
      <c r="N770" s="1341"/>
      <c r="O770" s="1341"/>
      <c r="P770" s="1341"/>
      <c r="Q770" s="1339">
        <f t="shared" si="39"/>
        <v>0</v>
      </c>
      <c r="R770" s="1340"/>
      <c r="S770" s="1319" t="s">
        <v>2839</v>
      </c>
      <c r="T770" s="1319"/>
      <c r="U770" s="1319"/>
      <c r="V770" s="1319"/>
      <c r="W770" s="1319"/>
      <c r="X770" s="1319"/>
      <c r="Y770" s="1319"/>
      <c r="Z770" s="1319"/>
      <c r="AA770" s="1319"/>
      <c r="AB770" s="1319"/>
      <c r="AC770" s="1578"/>
      <c r="AD770" s="1314"/>
      <c r="AE770" s="1314"/>
      <c r="AF770" s="1314"/>
      <c r="AG770" s="1314"/>
      <c r="AH770" s="1314"/>
      <c r="AI770" s="1314"/>
      <c r="AJ770" s="1314"/>
      <c r="AK770" s="1314"/>
      <c r="AL770" s="1314"/>
      <c r="AM770" s="1314"/>
      <c r="AN770" s="1579"/>
      <c r="AO770" s="1578"/>
      <c r="AP770" s="1314"/>
      <c r="AQ770" s="1314"/>
      <c r="AR770" s="1314"/>
      <c r="AS770" s="1314"/>
      <c r="AT770" s="1314"/>
      <c r="AU770" s="1314"/>
      <c r="AV770" s="1314"/>
      <c r="AW770" s="1314"/>
      <c r="AX770" s="1314"/>
      <c r="AY770" s="1314"/>
      <c r="AZ770" s="1579"/>
    </row>
    <row r="771" spans="1:52" s="291" customFormat="1" ht="21" customHeight="1">
      <c r="A771" s="297"/>
      <c r="B771" s="1606"/>
      <c r="C771" s="1607"/>
      <c r="D771" s="1607"/>
      <c r="E771" s="1607"/>
      <c r="F771" s="1608"/>
      <c r="G771" s="1222" t="str">
        <f>V239</f>
        <v>Adecuado equipamiento para el aprovechamiento de residuos sólidos INORGÁNICOS</v>
      </c>
      <c r="H771" s="1223"/>
      <c r="I771" s="1223"/>
      <c r="J771" s="1223"/>
      <c r="K771" s="1223"/>
      <c r="L771" s="1223"/>
      <c r="M771" s="1223"/>
      <c r="N771" s="1223"/>
      <c r="O771" s="1223"/>
      <c r="P771" s="1224"/>
      <c r="Q771" s="1337">
        <f t="shared" si="39"/>
        <v>0</v>
      </c>
      <c r="R771" s="1338"/>
      <c r="S771" s="1336" t="s">
        <v>3284</v>
      </c>
      <c r="T771" s="1336"/>
      <c r="U771" s="1336"/>
      <c r="V771" s="1336"/>
      <c r="W771" s="1336"/>
      <c r="X771" s="1336"/>
      <c r="Y771" s="1336"/>
      <c r="Z771" s="1336"/>
      <c r="AA771" s="1336"/>
      <c r="AB771" s="1336"/>
      <c r="AC771" s="1578"/>
      <c r="AD771" s="1314"/>
      <c r="AE771" s="1314"/>
      <c r="AF771" s="1314"/>
      <c r="AG771" s="1314"/>
      <c r="AH771" s="1314"/>
      <c r="AI771" s="1314"/>
      <c r="AJ771" s="1314"/>
      <c r="AK771" s="1314"/>
      <c r="AL771" s="1314"/>
      <c r="AM771" s="1314"/>
      <c r="AN771" s="1579"/>
      <c r="AO771" s="1578"/>
      <c r="AP771" s="1314"/>
      <c r="AQ771" s="1314"/>
      <c r="AR771" s="1314"/>
      <c r="AS771" s="1314"/>
      <c r="AT771" s="1314"/>
      <c r="AU771" s="1314"/>
      <c r="AV771" s="1314"/>
      <c r="AW771" s="1314"/>
      <c r="AX771" s="1314"/>
      <c r="AY771" s="1314"/>
      <c r="AZ771" s="1579"/>
    </row>
    <row r="772" spans="1:52" s="291" customFormat="1" ht="26.25" customHeight="1">
      <c r="A772" s="297"/>
      <c r="B772" s="1606"/>
      <c r="C772" s="1607"/>
      <c r="D772" s="1607"/>
      <c r="E772" s="1607"/>
      <c r="F772" s="1608"/>
      <c r="G772" s="1222"/>
      <c r="H772" s="1223"/>
      <c r="I772" s="1223"/>
      <c r="J772" s="1223"/>
      <c r="K772" s="1223"/>
      <c r="L772" s="1223"/>
      <c r="M772" s="1223"/>
      <c r="N772" s="1223"/>
      <c r="O772" s="1223"/>
      <c r="P772" s="1224"/>
      <c r="Q772" s="1339">
        <f t="shared" si="39"/>
        <v>0</v>
      </c>
      <c r="R772" s="1340"/>
      <c r="S772" s="1319" t="s">
        <v>2314</v>
      </c>
      <c r="T772" s="1319"/>
      <c r="U772" s="1319"/>
      <c r="V772" s="1319"/>
      <c r="W772" s="1319"/>
      <c r="X772" s="1319"/>
      <c r="Y772" s="1319"/>
      <c r="Z772" s="1319"/>
      <c r="AA772" s="1319"/>
      <c r="AB772" s="1319"/>
      <c r="AC772" s="1578"/>
      <c r="AD772" s="1314"/>
      <c r="AE772" s="1314"/>
      <c r="AF772" s="1314"/>
      <c r="AG772" s="1314"/>
      <c r="AH772" s="1314"/>
      <c r="AI772" s="1314"/>
      <c r="AJ772" s="1314"/>
      <c r="AK772" s="1314"/>
      <c r="AL772" s="1314"/>
      <c r="AM772" s="1314"/>
      <c r="AN772" s="1579"/>
      <c r="AO772" s="1578"/>
      <c r="AP772" s="1314"/>
      <c r="AQ772" s="1314"/>
      <c r="AR772" s="1314"/>
      <c r="AS772" s="1314"/>
      <c r="AT772" s="1314"/>
      <c r="AU772" s="1314"/>
      <c r="AV772" s="1314"/>
      <c r="AW772" s="1314"/>
      <c r="AX772" s="1314"/>
      <c r="AY772" s="1314"/>
      <c r="AZ772" s="1579"/>
    </row>
    <row r="773" spans="1:52" s="291" customFormat="1" ht="29.25" customHeight="1">
      <c r="A773" s="297"/>
      <c r="B773" s="1606"/>
      <c r="C773" s="1607"/>
      <c r="D773" s="1607"/>
      <c r="E773" s="1607"/>
      <c r="F773" s="1608"/>
      <c r="G773" s="1222"/>
      <c r="H773" s="1223"/>
      <c r="I773" s="1223"/>
      <c r="J773" s="1223"/>
      <c r="K773" s="1223"/>
      <c r="L773" s="1223"/>
      <c r="M773" s="1223"/>
      <c r="N773" s="1223"/>
      <c r="O773" s="1223"/>
      <c r="P773" s="1224"/>
      <c r="Q773" s="1337">
        <f t="shared" si="39"/>
        <v>0</v>
      </c>
      <c r="R773" s="1338"/>
      <c r="S773" s="1336" t="s">
        <v>2688</v>
      </c>
      <c r="T773" s="1336"/>
      <c r="U773" s="1336"/>
      <c r="V773" s="1336"/>
      <c r="W773" s="1336"/>
      <c r="X773" s="1336"/>
      <c r="Y773" s="1336"/>
      <c r="Z773" s="1336"/>
      <c r="AA773" s="1336"/>
      <c r="AB773" s="1336"/>
      <c r="AC773" s="1578"/>
      <c r="AD773" s="1314"/>
      <c r="AE773" s="1314"/>
      <c r="AF773" s="1314"/>
      <c r="AG773" s="1314"/>
      <c r="AH773" s="1314"/>
      <c r="AI773" s="1314"/>
      <c r="AJ773" s="1314"/>
      <c r="AK773" s="1314"/>
      <c r="AL773" s="1314"/>
      <c r="AM773" s="1314"/>
      <c r="AN773" s="1579"/>
      <c r="AO773" s="1578"/>
      <c r="AP773" s="1314"/>
      <c r="AQ773" s="1314"/>
      <c r="AR773" s="1314"/>
      <c r="AS773" s="1314"/>
      <c r="AT773" s="1314"/>
      <c r="AU773" s="1314"/>
      <c r="AV773" s="1314"/>
      <c r="AW773" s="1314"/>
      <c r="AX773" s="1314"/>
      <c r="AY773" s="1314"/>
      <c r="AZ773" s="1579"/>
    </row>
    <row r="774" spans="1:52" s="291" customFormat="1" ht="36.75" customHeight="1">
      <c r="A774" s="297"/>
      <c r="B774" s="1606"/>
      <c r="C774" s="1607"/>
      <c r="D774" s="1607"/>
      <c r="E774" s="1607"/>
      <c r="F774" s="1608"/>
      <c r="G774" s="1201"/>
      <c r="H774" s="1202"/>
      <c r="I774" s="1202"/>
      <c r="J774" s="1202"/>
      <c r="K774" s="1202"/>
      <c r="L774" s="1202"/>
      <c r="M774" s="1202"/>
      <c r="N774" s="1202"/>
      <c r="O774" s="1202"/>
      <c r="P774" s="1203"/>
      <c r="Q774" s="1339">
        <f>X454</f>
        <v>0</v>
      </c>
      <c r="R774" s="1340"/>
      <c r="S774" s="1319" t="s">
        <v>2689</v>
      </c>
      <c r="T774" s="1319"/>
      <c r="U774" s="1319"/>
      <c r="V774" s="1319"/>
      <c r="W774" s="1319"/>
      <c r="X774" s="1319"/>
      <c r="Y774" s="1319"/>
      <c r="Z774" s="1319"/>
      <c r="AA774" s="1319"/>
      <c r="AB774" s="1319"/>
      <c r="AC774" s="1578"/>
      <c r="AD774" s="1314"/>
      <c r="AE774" s="1314"/>
      <c r="AF774" s="1314"/>
      <c r="AG774" s="1314"/>
      <c r="AH774" s="1314"/>
      <c r="AI774" s="1314"/>
      <c r="AJ774" s="1314"/>
      <c r="AK774" s="1314"/>
      <c r="AL774" s="1314"/>
      <c r="AM774" s="1314"/>
      <c r="AN774" s="1579"/>
      <c r="AO774" s="1578"/>
      <c r="AP774" s="1314"/>
      <c r="AQ774" s="1314"/>
      <c r="AR774" s="1314"/>
      <c r="AS774" s="1314"/>
      <c r="AT774" s="1314"/>
      <c r="AU774" s="1314"/>
      <c r="AV774" s="1314"/>
      <c r="AW774" s="1314"/>
      <c r="AX774" s="1314"/>
      <c r="AY774" s="1314"/>
      <c r="AZ774" s="1579"/>
    </row>
    <row r="775" spans="1:52" s="291" customFormat="1" ht="36.75" customHeight="1">
      <c r="A775" s="297"/>
      <c r="B775" s="1606"/>
      <c r="C775" s="1607"/>
      <c r="D775" s="1607"/>
      <c r="E775" s="1607"/>
      <c r="F775" s="1608"/>
      <c r="G775" s="1321" t="str">
        <f>V240</f>
        <v>Adecuada infraestructura para la disposición final de residuos sólidos</v>
      </c>
      <c r="H775" s="1295"/>
      <c r="I775" s="1295"/>
      <c r="J775" s="1295"/>
      <c r="K775" s="1295"/>
      <c r="L775" s="1295"/>
      <c r="M775" s="1295"/>
      <c r="N775" s="1295"/>
      <c r="O775" s="1295"/>
      <c r="P775" s="1296"/>
      <c r="Q775" s="1337">
        <f t="shared" ref="Q775:Q780" si="40">X456</f>
        <v>0</v>
      </c>
      <c r="R775" s="1338"/>
      <c r="S775" s="1336" t="s">
        <v>2315</v>
      </c>
      <c r="T775" s="1336"/>
      <c r="U775" s="1336"/>
      <c r="V775" s="1336"/>
      <c r="W775" s="1336"/>
      <c r="X775" s="1336"/>
      <c r="Y775" s="1336"/>
      <c r="Z775" s="1336"/>
      <c r="AA775" s="1336"/>
      <c r="AB775" s="1336"/>
      <c r="AC775" s="1578"/>
      <c r="AD775" s="1314"/>
      <c r="AE775" s="1314"/>
      <c r="AF775" s="1314"/>
      <c r="AG775" s="1314"/>
      <c r="AH775" s="1314"/>
      <c r="AI775" s="1314"/>
      <c r="AJ775" s="1314"/>
      <c r="AK775" s="1314"/>
      <c r="AL775" s="1314"/>
      <c r="AM775" s="1314"/>
      <c r="AN775" s="1579"/>
      <c r="AO775" s="1578"/>
      <c r="AP775" s="1314"/>
      <c r="AQ775" s="1314"/>
      <c r="AR775" s="1314"/>
      <c r="AS775" s="1314"/>
      <c r="AT775" s="1314"/>
      <c r="AU775" s="1314"/>
      <c r="AV775" s="1314"/>
      <c r="AW775" s="1314"/>
      <c r="AX775" s="1314"/>
      <c r="AY775" s="1314"/>
      <c r="AZ775" s="1579"/>
    </row>
    <row r="776" spans="1:52" s="291" customFormat="1" ht="24" customHeight="1">
      <c r="A776" s="297"/>
      <c r="B776" s="1606"/>
      <c r="C776" s="1607"/>
      <c r="D776" s="1607"/>
      <c r="E776" s="1607"/>
      <c r="F776" s="1608"/>
      <c r="G776" s="1341" t="str">
        <f>V241</f>
        <v xml:space="preserve">Adecuado equipamiento para la disposición final de residuos sólidos </v>
      </c>
      <c r="H776" s="1341"/>
      <c r="I776" s="1341"/>
      <c r="J776" s="1341"/>
      <c r="K776" s="1341"/>
      <c r="L776" s="1341"/>
      <c r="M776" s="1341"/>
      <c r="N776" s="1341"/>
      <c r="O776" s="1341"/>
      <c r="P776" s="1341"/>
      <c r="Q776" s="1339">
        <f t="shared" si="40"/>
        <v>0</v>
      </c>
      <c r="R776" s="1340"/>
      <c r="S776" s="1319" t="s">
        <v>2316</v>
      </c>
      <c r="T776" s="1319"/>
      <c r="U776" s="1319"/>
      <c r="V776" s="1319"/>
      <c r="W776" s="1319"/>
      <c r="X776" s="1319"/>
      <c r="Y776" s="1319"/>
      <c r="Z776" s="1319"/>
      <c r="AA776" s="1319"/>
      <c r="AB776" s="1319"/>
      <c r="AC776" s="1578"/>
      <c r="AD776" s="1314"/>
      <c r="AE776" s="1314"/>
      <c r="AF776" s="1314"/>
      <c r="AG776" s="1314"/>
      <c r="AH776" s="1314"/>
      <c r="AI776" s="1314"/>
      <c r="AJ776" s="1314"/>
      <c r="AK776" s="1314"/>
      <c r="AL776" s="1314"/>
      <c r="AM776" s="1314"/>
      <c r="AN776" s="1579"/>
      <c r="AO776" s="1578"/>
      <c r="AP776" s="1314"/>
      <c r="AQ776" s="1314"/>
      <c r="AR776" s="1314"/>
      <c r="AS776" s="1314"/>
      <c r="AT776" s="1314"/>
      <c r="AU776" s="1314"/>
      <c r="AV776" s="1314"/>
      <c r="AW776" s="1314"/>
      <c r="AX776" s="1314"/>
      <c r="AY776" s="1314"/>
      <c r="AZ776" s="1579"/>
    </row>
    <row r="777" spans="1:52" s="291" customFormat="1" ht="24" customHeight="1">
      <c r="A777" s="297"/>
      <c r="B777" s="1606"/>
      <c r="C777" s="1607"/>
      <c r="D777" s="1607"/>
      <c r="E777" s="1607"/>
      <c r="F777" s="1608"/>
      <c r="G777" s="1341"/>
      <c r="H777" s="1341"/>
      <c r="I777" s="1341"/>
      <c r="J777" s="1341"/>
      <c r="K777" s="1341"/>
      <c r="L777" s="1341"/>
      <c r="M777" s="1341"/>
      <c r="N777" s="1341"/>
      <c r="O777" s="1341"/>
      <c r="P777" s="1341"/>
      <c r="Q777" s="1337">
        <f t="shared" si="40"/>
        <v>0</v>
      </c>
      <c r="R777" s="1338"/>
      <c r="S777" s="1336" t="s">
        <v>2317</v>
      </c>
      <c r="T777" s="1336"/>
      <c r="U777" s="1336"/>
      <c r="V777" s="1336"/>
      <c r="W777" s="1336"/>
      <c r="X777" s="1336"/>
      <c r="Y777" s="1336"/>
      <c r="Z777" s="1336"/>
      <c r="AA777" s="1336"/>
      <c r="AB777" s="1336"/>
      <c r="AC777" s="1578"/>
      <c r="AD777" s="1314"/>
      <c r="AE777" s="1314"/>
      <c r="AF777" s="1314"/>
      <c r="AG777" s="1314"/>
      <c r="AH777" s="1314"/>
      <c r="AI777" s="1314"/>
      <c r="AJ777" s="1314"/>
      <c r="AK777" s="1314"/>
      <c r="AL777" s="1314"/>
      <c r="AM777" s="1314"/>
      <c r="AN777" s="1579"/>
      <c r="AO777" s="1578"/>
      <c r="AP777" s="1314"/>
      <c r="AQ777" s="1314"/>
      <c r="AR777" s="1314"/>
      <c r="AS777" s="1314"/>
      <c r="AT777" s="1314"/>
      <c r="AU777" s="1314"/>
      <c r="AV777" s="1314"/>
      <c r="AW777" s="1314"/>
      <c r="AX777" s="1314"/>
      <c r="AY777" s="1314"/>
      <c r="AZ777" s="1579"/>
    </row>
    <row r="778" spans="1:52" s="291" customFormat="1" ht="24" customHeight="1">
      <c r="A778" s="297"/>
      <c r="B778" s="1606"/>
      <c r="C778" s="1607"/>
      <c r="D778" s="1607"/>
      <c r="E778" s="1607"/>
      <c r="F778" s="1608"/>
      <c r="G778" s="1341"/>
      <c r="H778" s="1341"/>
      <c r="I778" s="1341"/>
      <c r="J778" s="1341"/>
      <c r="K778" s="1341"/>
      <c r="L778" s="1341"/>
      <c r="M778" s="1341"/>
      <c r="N778" s="1341"/>
      <c r="O778" s="1341"/>
      <c r="P778" s="1341"/>
      <c r="Q778" s="1339">
        <f t="shared" si="40"/>
        <v>0</v>
      </c>
      <c r="R778" s="1340"/>
      <c r="S778" s="1319" t="s">
        <v>2318</v>
      </c>
      <c r="T778" s="1319"/>
      <c r="U778" s="1319"/>
      <c r="V778" s="1319"/>
      <c r="W778" s="1319"/>
      <c r="X778" s="1319"/>
      <c r="Y778" s="1319"/>
      <c r="Z778" s="1319"/>
      <c r="AA778" s="1319"/>
      <c r="AB778" s="1319"/>
      <c r="AC778" s="1578"/>
      <c r="AD778" s="1314"/>
      <c r="AE778" s="1314"/>
      <c r="AF778" s="1314"/>
      <c r="AG778" s="1314"/>
      <c r="AH778" s="1314"/>
      <c r="AI778" s="1314"/>
      <c r="AJ778" s="1314"/>
      <c r="AK778" s="1314"/>
      <c r="AL778" s="1314"/>
      <c r="AM778" s="1314"/>
      <c r="AN778" s="1579"/>
      <c r="AO778" s="1578"/>
      <c r="AP778" s="1314"/>
      <c r="AQ778" s="1314"/>
      <c r="AR778" s="1314"/>
      <c r="AS778" s="1314"/>
      <c r="AT778" s="1314"/>
      <c r="AU778" s="1314"/>
      <c r="AV778" s="1314"/>
      <c r="AW778" s="1314"/>
      <c r="AX778" s="1314"/>
      <c r="AY778" s="1314"/>
      <c r="AZ778" s="1579"/>
    </row>
    <row r="779" spans="1:52" s="291" customFormat="1" ht="24" customHeight="1">
      <c r="A779" s="297"/>
      <c r="B779" s="1606"/>
      <c r="C779" s="1607"/>
      <c r="D779" s="1607"/>
      <c r="E779" s="1607"/>
      <c r="F779" s="1608"/>
      <c r="G779" s="1341"/>
      <c r="H779" s="1341"/>
      <c r="I779" s="1341"/>
      <c r="J779" s="1341"/>
      <c r="K779" s="1341"/>
      <c r="L779" s="1341"/>
      <c r="M779" s="1341"/>
      <c r="N779" s="1341"/>
      <c r="O779" s="1341"/>
      <c r="P779" s="1341"/>
      <c r="Q779" s="1337">
        <f t="shared" si="40"/>
        <v>0</v>
      </c>
      <c r="R779" s="1338"/>
      <c r="S779" s="1336" t="s">
        <v>2319</v>
      </c>
      <c r="T779" s="1336"/>
      <c r="U779" s="1336"/>
      <c r="V779" s="1336"/>
      <c r="W779" s="1336"/>
      <c r="X779" s="1336"/>
      <c r="Y779" s="1336"/>
      <c r="Z779" s="1336"/>
      <c r="AA779" s="1336"/>
      <c r="AB779" s="1336"/>
      <c r="AC779" s="1578"/>
      <c r="AD779" s="1314"/>
      <c r="AE779" s="1314"/>
      <c r="AF779" s="1314"/>
      <c r="AG779" s="1314"/>
      <c r="AH779" s="1314"/>
      <c r="AI779" s="1314"/>
      <c r="AJ779" s="1314"/>
      <c r="AK779" s="1314"/>
      <c r="AL779" s="1314"/>
      <c r="AM779" s="1314"/>
      <c r="AN779" s="1579"/>
      <c r="AO779" s="1578"/>
      <c r="AP779" s="1314"/>
      <c r="AQ779" s="1314"/>
      <c r="AR779" s="1314"/>
      <c r="AS779" s="1314"/>
      <c r="AT779" s="1314"/>
      <c r="AU779" s="1314"/>
      <c r="AV779" s="1314"/>
      <c r="AW779" s="1314"/>
      <c r="AX779" s="1314"/>
      <c r="AY779" s="1314"/>
      <c r="AZ779" s="1579"/>
    </row>
    <row r="780" spans="1:52" s="291" customFormat="1" ht="30.75" customHeight="1">
      <c r="A780" s="297"/>
      <c r="B780" s="1606"/>
      <c r="C780" s="1607"/>
      <c r="D780" s="1607"/>
      <c r="E780" s="1607"/>
      <c r="F780" s="1608"/>
      <c r="G780" s="1341"/>
      <c r="H780" s="1341"/>
      <c r="I780" s="1341"/>
      <c r="J780" s="1341"/>
      <c r="K780" s="1341"/>
      <c r="L780" s="1341"/>
      <c r="M780" s="1341"/>
      <c r="N780" s="1341"/>
      <c r="O780" s="1341"/>
      <c r="P780" s="1341"/>
      <c r="Q780" s="1339">
        <f t="shared" si="40"/>
        <v>0</v>
      </c>
      <c r="R780" s="1340"/>
      <c r="S780" s="1319" t="s">
        <v>2690</v>
      </c>
      <c r="T780" s="1319"/>
      <c r="U780" s="1319"/>
      <c r="V780" s="1319"/>
      <c r="W780" s="1319"/>
      <c r="X780" s="1319"/>
      <c r="Y780" s="1319"/>
      <c r="Z780" s="1319"/>
      <c r="AA780" s="1319"/>
      <c r="AB780" s="1319"/>
      <c r="AC780" s="1578"/>
      <c r="AD780" s="1314"/>
      <c r="AE780" s="1314"/>
      <c r="AF780" s="1314"/>
      <c r="AG780" s="1314"/>
      <c r="AH780" s="1314"/>
      <c r="AI780" s="1314"/>
      <c r="AJ780" s="1314"/>
      <c r="AK780" s="1314"/>
      <c r="AL780" s="1314"/>
      <c r="AM780" s="1314"/>
      <c r="AN780" s="1579"/>
      <c r="AO780" s="1578"/>
      <c r="AP780" s="1314"/>
      <c r="AQ780" s="1314"/>
      <c r="AR780" s="1314"/>
      <c r="AS780" s="1314"/>
      <c r="AT780" s="1314"/>
      <c r="AU780" s="1314"/>
      <c r="AV780" s="1314"/>
      <c r="AW780" s="1314"/>
      <c r="AX780" s="1314"/>
      <c r="AY780" s="1314"/>
      <c r="AZ780" s="1579"/>
    </row>
    <row r="781" spans="1:52" s="291" customFormat="1" ht="57" customHeight="1">
      <c r="A781" s="297"/>
      <c r="B781" s="1606"/>
      <c r="C781" s="1607"/>
      <c r="D781" s="1607"/>
      <c r="E781" s="1607"/>
      <c r="F781" s="1608"/>
      <c r="G781" s="1321" t="str">
        <f>V242</f>
        <v>Suficientes capacidades del área encargada para brindar el Servicio de Limpieza Pública</v>
      </c>
      <c r="H781" s="1295"/>
      <c r="I781" s="1295"/>
      <c r="J781" s="1295"/>
      <c r="K781" s="1295"/>
      <c r="L781" s="1295"/>
      <c r="M781" s="1295"/>
      <c r="N781" s="1295"/>
      <c r="O781" s="1295"/>
      <c r="P781" s="1296"/>
      <c r="Q781" s="1342" t="s">
        <v>2320</v>
      </c>
      <c r="R781" s="1343"/>
      <c r="S781" s="1336" t="s">
        <v>2691</v>
      </c>
      <c r="T781" s="1336"/>
      <c r="U781" s="1336"/>
      <c r="V781" s="1336"/>
      <c r="W781" s="1336"/>
      <c r="X781" s="1336"/>
      <c r="Y781" s="1336"/>
      <c r="Z781" s="1336"/>
      <c r="AA781" s="1336"/>
      <c r="AB781" s="1336"/>
      <c r="AC781" s="1578"/>
      <c r="AD781" s="1314"/>
      <c r="AE781" s="1314"/>
      <c r="AF781" s="1314"/>
      <c r="AG781" s="1314"/>
      <c r="AH781" s="1314"/>
      <c r="AI781" s="1314"/>
      <c r="AJ781" s="1314"/>
      <c r="AK781" s="1314"/>
      <c r="AL781" s="1314"/>
      <c r="AM781" s="1314"/>
      <c r="AN781" s="1579"/>
      <c r="AO781" s="1578"/>
      <c r="AP781" s="1314"/>
      <c r="AQ781" s="1314"/>
      <c r="AR781" s="1314"/>
      <c r="AS781" s="1314"/>
      <c r="AT781" s="1314"/>
      <c r="AU781" s="1314"/>
      <c r="AV781" s="1314"/>
      <c r="AW781" s="1314"/>
      <c r="AX781" s="1314"/>
      <c r="AY781" s="1314"/>
      <c r="AZ781" s="1579"/>
    </row>
    <row r="782" spans="1:52" s="291" customFormat="1" ht="35.25" customHeight="1">
      <c r="A782" s="297"/>
      <c r="B782" s="1606"/>
      <c r="C782" s="1607"/>
      <c r="D782" s="1607"/>
      <c r="E782" s="1607"/>
      <c r="F782" s="1608"/>
      <c r="G782" s="1321" t="str">
        <f>V243</f>
        <v>Adecuada supervisión del Servicio de Limpieza Pública</v>
      </c>
      <c r="H782" s="1295"/>
      <c r="I782" s="1295"/>
      <c r="J782" s="1295"/>
      <c r="K782" s="1295"/>
      <c r="L782" s="1295"/>
      <c r="M782" s="1295"/>
      <c r="N782" s="1295"/>
      <c r="O782" s="1295"/>
      <c r="P782" s="1296"/>
      <c r="Q782" s="1320" t="s">
        <v>2320</v>
      </c>
      <c r="R782" s="1172"/>
      <c r="S782" s="1319" t="s">
        <v>2692</v>
      </c>
      <c r="T782" s="1319"/>
      <c r="U782" s="1319"/>
      <c r="V782" s="1319"/>
      <c r="W782" s="1319"/>
      <c r="X782" s="1319"/>
      <c r="Y782" s="1319"/>
      <c r="Z782" s="1319"/>
      <c r="AA782" s="1319"/>
      <c r="AB782" s="1319"/>
      <c r="AC782" s="1578"/>
      <c r="AD782" s="1314"/>
      <c r="AE782" s="1314"/>
      <c r="AF782" s="1314"/>
      <c r="AG782" s="1314"/>
      <c r="AH782" s="1314"/>
      <c r="AI782" s="1314"/>
      <c r="AJ782" s="1314"/>
      <c r="AK782" s="1314"/>
      <c r="AL782" s="1314"/>
      <c r="AM782" s="1314"/>
      <c r="AN782" s="1579"/>
      <c r="AO782" s="1578"/>
      <c r="AP782" s="1314"/>
      <c r="AQ782" s="1314"/>
      <c r="AR782" s="1314"/>
      <c r="AS782" s="1314"/>
      <c r="AT782" s="1314"/>
      <c r="AU782" s="1314"/>
      <c r="AV782" s="1314"/>
      <c r="AW782" s="1314"/>
      <c r="AX782" s="1314"/>
      <c r="AY782" s="1314"/>
      <c r="AZ782" s="1579"/>
    </row>
    <row r="783" spans="1:52" s="291" customFormat="1" ht="35.25" customHeight="1">
      <c r="A783" s="297"/>
      <c r="B783" s="1606"/>
      <c r="C783" s="1607"/>
      <c r="D783" s="1607"/>
      <c r="E783" s="1607"/>
      <c r="F783" s="1608"/>
      <c r="G783" s="1321" t="str">
        <f>V244</f>
        <v>Adecuada difusión y sensibilización sobre temas ambientales y sanitarios.</v>
      </c>
      <c r="H783" s="1295"/>
      <c r="I783" s="1295"/>
      <c r="J783" s="1295"/>
      <c r="K783" s="1295"/>
      <c r="L783" s="1295"/>
      <c r="M783" s="1295"/>
      <c r="N783" s="1295"/>
      <c r="O783" s="1295"/>
      <c r="P783" s="1296"/>
      <c r="Q783" s="1332" t="s">
        <v>2320</v>
      </c>
      <c r="R783" s="1333"/>
      <c r="S783" s="1330" t="s">
        <v>2321</v>
      </c>
      <c r="T783" s="1330"/>
      <c r="U783" s="1330"/>
      <c r="V783" s="1330"/>
      <c r="W783" s="1330"/>
      <c r="X783" s="1330"/>
      <c r="Y783" s="1330"/>
      <c r="Z783" s="1330"/>
      <c r="AA783" s="1330"/>
      <c r="AB783" s="1330"/>
      <c r="AC783" s="1578"/>
      <c r="AD783" s="1314"/>
      <c r="AE783" s="1314"/>
      <c r="AF783" s="1314"/>
      <c r="AG783" s="1314"/>
      <c r="AH783" s="1314"/>
      <c r="AI783" s="1314"/>
      <c r="AJ783" s="1314"/>
      <c r="AK783" s="1314"/>
      <c r="AL783" s="1314"/>
      <c r="AM783" s="1314"/>
      <c r="AN783" s="1579"/>
      <c r="AO783" s="1578"/>
      <c r="AP783" s="1314"/>
      <c r="AQ783" s="1314"/>
      <c r="AR783" s="1314"/>
      <c r="AS783" s="1314"/>
      <c r="AT783" s="1314"/>
      <c r="AU783" s="1314"/>
      <c r="AV783" s="1314"/>
      <c r="AW783" s="1314"/>
      <c r="AX783" s="1314"/>
      <c r="AY783" s="1314"/>
      <c r="AZ783" s="1579"/>
    </row>
    <row r="784" spans="1:52" s="291" customFormat="1" ht="35.25" customHeight="1">
      <c r="A784" s="297"/>
      <c r="B784" s="1606"/>
      <c r="C784" s="1607"/>
      <c r="D784" s="1607"/>
      <c r="E784" s="1607"/>
      <c r="F784" s="1608"/>
      <c r="G784" s="1321" t="str">
        <f>V245</f>
        <v>Adecuada participación de la ciudadana para el manejo de residuos sólidos</v>
      </c>
      <c r="H784" s="1295"/>
      <c r="I784" s="1295"/>
      <c r="J784" s="1295"/>
      <c r="K784" s="1295"/>
      <c r="L784" s="1295"/>
      <c r="M784" s="1295"/>
      <c r="N784" s="1295"/>
      <c r="O784" s="1295"/>
      <c r="P784" s="1296"/>
      <c r="Q784" s="1334"/>
      <c r="R784" s="1335"/>
      <c r="S784" s="1331"/>
      <c r="T784" s="1331"/>
      <c r="U784" s="1331"/>
      <c r="V784" s="1331"/>
      <c r="W784" s="1331"/>
      <c r="X784" s="1331"/>
      <c r="Y784" s="1331"/>
      <c r="Z784" s="1331"/>
      <c r="AA784" s="1331"/>
      <c r="AB784" s="1331"/>
      <c r="AC784" s="1578"/>
      <c r="AD784" s="1314"/>
      <c r="AE784" s="1314"/>
      <c r="AF784" s="1314"/>
      <c r="AG784" s="1314"/>
      <c r="AH784" s="1314"/>
      <c r="AI784" s="1314"/>
      <c r="AJ784" s="1314"/>
      <c r="AK784" s="1314"/>
      <c r="AL784" s="1314"/>
      <c r="AM784" s="1314"/>
      <c r="AN784" s="1579"/>
      <c r="AO784" s="1578"/>
      <c r="AP784" s="1314"/>
      <c r="AQ784" s="1314"/>
      <c r="AR784" s="1314"/>
      <c r="AS784" s="1314"/>
      <c r="AT784" s="1314"/>
      <c r="AU784" s="1314"/>
      <c r="AV784" s="1314"/>
      <c r="AW784" s="1314"/>
      <c r="AX784" s="1314"/>
      <c r="AY784" s="1314"/>
      <c r="AZ784" s="1579"/>
    </row>
    <row r="785" spans="1:52" s="291" customFormat="1" ht="19.5" customHeight="1">
      <c r="A785" s="297"/>
      <c r="B785" s="1606"/>
      <c r="C785" s="1607"/>
      <c r="D785" s="1607"/>
      <c r="E785" s="1607"/>
      <c r="F785" s="1608"/>
      <c r="G785" s="1294" t="str">
        <f>B615</f>
        <v>Gestión del Proyecto</v>
      </c>
      <c r="H785" s="1295"/>
      <c r="I785" s="1295"/>
      <c r="J785" s="1295"/>
      <c r="K785" s="1295"/>
      <c r="L785" s="1295"/>
      <c r="M785" s="1295"/>
      <c r="N785" s="1295"/>
      <c r="O785" s="1295"/>
      <c r="P785" s="1296"/>
      <c r="Q785" s="1665"/>
      <c r="R785" s="1666"/>
      <c r="S785" s="1188" t="s">
        <v>396</v>
      </c>
      <c r="T785" s="1188"/>
      <c r="U785" s="1188"/>
      <c r="V785" s="1188"/>
      <c r="W785" s="1188"/>
      <c r="X785" s="1188"/>
      <c r="Y785" s="1188"/>
      <c r="Z785" s="1188"/>
      <c r="AA785" s="1188"/>
      <c r="AB785" s="1210"/>
      <c r="AC785" s="1578"/>
      <c r="AD785" s="1314"/>
      <c r="AE785" s="1314"/>
      <c r="AF785" s="1314"/>
      <c r="AG785" s="1314"/>
      <c r="AH785" s="1314"/>
      <c r="AI785" s="1314"/>
      <c r="AJ785" s="1314"/>
      <c r="AK785" s="1314"/>
      <c r="AL785" s="1314"/>
      <c r="AM785" s="1314"/>
      <c r="AN785" s="1579"/>
      <c r="AO785" s="1578"/>
      <c r="AP785" s="1314"/>
      <c r="AQ785" s="1314"/>
      <c r="AR785" s="1314"/>
      <c r="AS785" s="1314"/>
      <c r="AT785" s="1314"/>
      <c r="AU785" s="1314"/>
      <c r="AV785" s="1314"/>
      <c r="AW785" s="1314"/>
      <c r="AX785" s="1314"/>
      <c r="AY785" s="1314"/>
      <c r="AZ785" s="1579"/>
    </row>
    <row r="786" spans="1:52" s="291" customFormat="1" ht="19.5" customHeight="1">
      <c r="A786" s="297"/>
      <c r="B786" s="1606"/>
      <c r="C786" s="1607"/>
      <c r="D786" s="1607"/>
      <c r="E786" s="1607"/>
      <c r="F786" s="1608"/>
      <c r="G786" s="1294" t="str">
        <f t="shared" ref="G786:G788" si="41">B616</f>
        <v xml:space="preserve">Estudio Definitivo </v>
      </c>
      <c r="H786" s="1295"/>
      <c r="I786" s="1295"/>
      <c r="J786" s="1295"/>
      <c r="K786" s="1295"/>
      <c r="L786" s="1295"/>
      <c r="M786" s="1295"/>
      <c r="N786" s="1295"/>
      <c r="O786" s="1295"/>
      <c r="P786" s="1296"/>
      <c r="Q786" s="1665"/>
      <c r="R786" s="1666"/>
      <c r="S786" s="1188" t="s">
        <v>396</v>
      </c>
      <c r="T786" s="1188"/>
      <c r="U786" s="1188"/>
      <c r="V786" s="1188"/>
      <c r="W786" s="1188"/>
      <c r="X786" s="1188"/>
      <c r="Y786" s="1188"/>
      <c r="Z786" s="1188"/>
      <c r="AA786" s="1188"/>
      <c r="AB786" s="1210"/>
      <c r="AC786" s="1578"/>
      <c r="AD786" s="1314"/>
      <c r="AE786" s="1314"/>
      <c r="AF786" s="1314"/>
      <c r="AG786" s="1314"/>
      <c r="AH786" s="1314"/>
      <c r="AI786" s="1314"/>
      <c r="AJ786" s="1314"/>
      <c r="AK786" s="1314"/>
      <c r="AL786" s="1314"/>
      <c r="AM786" s="1314"/>
      <c r="AN786" s="1579"/>
      <c r="AO786" s="1578"/>
      <c r="AP786" s="1314"/>
      <c r="AQ786" s="1314"/>
      <c r="AR786" s="1314"/>
      <c r="AS786" s="1314"/>
      <c r="AT786" s="1314"/>
      <c r="AU786" s="1314"/>
      <c r="AV786" s="1314"/>
      <c r="AW786" s="1314"/>
      <c r="AX786" s="1314"/>
      <c r="AY786" s="1314"/>
      <c r="AZ786" s="1579"/>
    </row>
    <row r="787" spans="1:52" s="291" customFormat="1" ht="19.5" customHeight="1">
      <c r="A787" s="297"/>
      <c r="B787" s="1606"/>
      <c r="C787" s="1607"/>
      <c r="D787" s="1607"/>
      <c r="E787" s="1607"/>
      <c r="F787" s="1608"/>
      <c r="G787" s="1294" t="str">
        <f t="shared" si="41"/>
        <v xml:space="preserve">Supervisión del Estudio Definitivo </v>
      </c>
      <c r="H787" s="1295"/>
      <c r="I787" s="1295"/>
      <c r="J787" s="1295"/>
      <c r="K787" s="1295"/>
      <c r="L787" s="1295"/>
      <c r="M787" s="1295"/>
      <c r="N787" s="1295"/>
      <c r="O787" s="1295"/>
      <c r="P787" s="1296"/>
      <c r="Q787" s="1665"/>
      <c r="R787" s="1666"/>
      <c r="S787" s="1188" t="s">
        <v>554</v>
      </c>
      <c r="T787" s="1188"/>
      <c r="U787" s="1188"/>
      <c r="V787" s="1188"/>
      <c r="W787" s="1188"/>
      <c r="X787" s="1188"/>
      <c r="Y787" s="1188"/>
      <c r="Z787" s="1188"/>
      <c r="AA787" s="1188"/>
      <c r="AB787" s="1210"/>
      <c r="AC787" s="1578"/>
      <c r="AD787" s="1314"/>
      <c r="AE787" s="1314"/>
      <c r="AF787" s="1314"/>
      <c r="AG787" s="1314"/>
      <c r="AH787" s="1314"/>
      <c r="AI787" s="1314"/>
      <c r="AJ787" s="1314"/>
      <c r="AK787" s="1314"/>
      <c r="AL787" s="1314"/>
      <c r="AM787" s="1314"/>
      <c r="AN787" s="1579"/>
      <c r="AO787" s="1578"/>
      <c r="AP787" s="1314"/>
      <c r="AQ787" s="1314"/>
      <c r="AR787" s="1314"/>
      <c r="AS787" s="1314"/>
      <c r="AT787" s="1314"/>
      <c r="AU787" s="1314"/>
      <c r="AV787" s="1314"/>
      <c r="AW787" s="1314"/>
      <c r="AX787" s="1314"/>
      <c r="AY787" s="1314"/>
      <c r="AZ787" s="1579"/>
    </row>
    <row r="788" spans="1:52" s="291" customFormat="1" ht="19.5" customHeight="1">
      <c r="A788" s="297"/>
      <c r="B788" s="1609"/>
      <c r="C788" s="1610"/>
      <c r="D788" s="1610"/>
      <c r="E788" s="1610"/>
      <c r="F788" s="1611"/>
      <c r="G788" s="1294" t="str">
        <f t="shared" si="41"/>
        <v>Supervisión de ejecución del Proyecto</v>
      </c>
      <c r="H788" s="1295"/>
      <c r="I788" s="1295"/>
      <c r="J788" s="1295"/>
      <c r="K788" s="1295"/>
      <c r="L788" s="1295"/>
      <c r="M788" s="1295"/>
      <c r="N788" s="1295"/>
      <c r="O788" s="1295"/>
      <c r="P788" s="1296"/>
      <c r="Q788" s="1665"/>
      <c r="R788" s="1666"/>
      <c r="S788" s="1188" t="s">
        <v>2603</v>
      </c>
      <c r="T788" s="1188"/>
      <c r="U788" s="1188"/>
      <c r="V788" s="1188"/>
      <c r="W788" s="1188"/>
      <c r="X788" s="1188"/>
      <c r="Y788" s="1188"/>
      <c r="Z788" s="1188"/>
      <c r="AA788" s="1188"/>
      <c r="AB788" s="1210"/>
      <c r="AC788" s="1629"/>
      <c r="AD788" s="1630"/>
      <c r="AE788" s="1630"/>
      <c r="AF788" s="1630"/>
      <c r="AG788" s="1630"/>
      <c r="AH788" s="1630"/>
      <c r="AI788" s="1630"/>
      <c r="AJ788" s="1630"/>
      <c r="AK788" s="1630"/>
      <c r="AL788" s="1630"/>
      <c r="AM788" s="1630"/>
      <c r="AN788" s="1631"/>
      <c r="AO788" s="1629"/>
      <c r="AP788" s="1630"/>
      <c r="AQ788" s="1630"/>
      <c r="AR788" s="1630"/>
      <c r="AS788" s="1630"/>
      <c r="AT788" s="1630"/>
      <c r="AU788" s="1630"/>
      <c r="AV788" s="1630"/>
      <c r="AW788" s="1630"/>
      <c r="AX788" s="1630"/>
      <c r="AY788" s="1630"/>
      <c r="AZ788" s="1631"/>
    </row>
    <row r="789" spans="1:52" s="291" customFormat="1" ht="7.5" customHeight="1">
      <c r="A789" s="294"/>
      <c r="B789" s="485"/>
      <c r="C789" s="288"/>
      <c r="D789" s="288"/>
      <c r="E789" s="288"/>
      <c r="F789" s="288"/>
      <c r="G789" s="526">
        <f>+[31]FICHA!$B$602:$Q$602</f>
        <v>0</v>
      </c>
      <c r="H789" s="288"/>
      <c r="I789" s="288"/>
      <c r="J789" s="288"/>
      <c r="K789" s="287"/>
      <c r="L789" s="287"/>
      <c r="M789" s="287"/>
      <c r="N789" s="287"/>
      <c r="O789" s="287"/>
      <c r="P789" s="287"/>
      <c r="Q789" s="488"/>
      <c r="R789" s="488"/>
      <c r="S789" s="287"/>
      <c r="T789" s="287"/>
      <c r="U789" s="288"/>
      <c r="V789" s="288"/>
      <c r="W789" s="288"/>
      <c r="X789" s="288"/>
      <c r="Y789" s="287"/>
      <c r="Z789" s="287"/>
      <c r="AA789" s="287"/>
      <c r="AB789" s="288"/>
      <c r="AC789" s="288"/>
      <c r="AD789" s="288"/>
      <c r="AE789" s="288"/>
      <c r="AF789" s="288"/>
      <c r="AG789" s="288"/>
      <c r="AH789" s="288"/>
      <c r="AI789" s="288"/>
      <c r="AJ789" s="288"/>
      <c r="AK789" s="288"/>
      <c r="AL789" s="288"/>
      <c r="AM789" s="288"/>
      <c r="AN789" s="288"/>
      <c r="AO789" s="288"/>
      <c r="AP789" s="288"/>
      <c r="AQ789" s="288"/>
      <c r="AR789" s="288"/>
      <c r="AS789" s="288"/>
      <c r="AT789" s="288"/>
      <c r="AU789" s="288"/>
      <c r="AV789" s="288"/>
      <c r="AW789" s="288"/>
      <c r="AX789" s="288"/>
      <c r="AY789" s="288"/>
      <c r="AZ789" s="288"/>
    </row>
    <row r="790" spans="1:52" s="291" customFormat="1" ht="5.25" customHeight="1">
      <c r="A790" s="294"/>
      <c r="B790" s="506"/>
      <c r="C790" s="288"/>
      <c r="D790" s="288"/>
      <c r="E790" s="288"/>
      <c r="F790" s="288"/>
      <c r="G790" s="526"/>
      <c r="H790" s="288"/>
      <c r="I790" s="288"/>
      <c r="J790" s="288"/>
      <c r="K790" s="287"/>
      <c r="L790" s="287"/>
      <c r="M790" s="287"/>
      <c r="N790" s="287"/>
      <c r="O790" s="287"/>
      <c r="P790" s="287"/>
      <c r="Q790" s="507"/>
      <c r="R790" s="507"/>
      <c r="S790" s="287"/>
      <c r="T790" s="287"/>
      <c r="U790" s="288"/>
      <c r="V790" s="288"/>
      <c r="W790" s="288"/>
      <c r="X790" s="288"/>
      <c r="Y790" s="287"/>
      <c r="Z790" s="287"/>
      <c r="AA790" s="287"/>
      <c r="AB790" s="288"/>
      <c r="AC790" s="288"/>
      <c r="AD790" s="288"/>
      <c r="AE790" s="288"/>
      <c r="AF790" s="288"/>
      <c r="AG790" s="288"/>
      <c r="AH790" s="288"/>
      <c r="AI790" s="288"/>
      <c r="AJ790" s="288"/>
      <c r="AK790" s="288"/>
      <c r="AL790" s="288"/>
      <c r="AM790" s="288"/>
      <c r="AN790" s="288"/>
      <c r="AO790" s="288"/>
      <c r="AP790" s="288"/>
      <c r="AQ790" s="288"/>
      <c r="AR790" s="288"/>
      <c r="AS790" s="288"/>
      <c r="AT790" s="288"/>
      <c r="AU790" s="288"/>
      <c r="AV790" s="288"/>
      <c r="AW790" s="288"/>
      <c r="AX790" s="288"/>
      <c r="AY790" s="288"/>
      <c r="AZ790" s="288"/>
    </row>
    <row r="791" spans="1:52" s="291" customFormat="1" ht="15.75">
      <c r="A791" s="359" t="s">
        <v>617</v>
      </c>
      <c r="B791" s="485"/>
      <c r="C791" s="288"/>
      <c r="D791" s="288"/>
      <c r="E791" s="288"/>
      <c r="F791" s="288"/>
      <c r="G791" s="288"/>
      <c r="H791" s="288"/>
      <c r="I791" s="288"/>
      <c r="J791" s="288"/>
      <c r="K791" s="287"/>
      <c r="L791" s="287"/>
      <c r="M791" s="287"/>
      <c r="N791" s="287"/>
      <c r="O791" s="287"/>
      <c r="P791" s="287"/>
      <c r="Q791" s="488"/>
      <c r="R791" s="488"/>
      <c r="S791" s="287"/>
      <c r="T791" s="287"/>
      <c r="U791" s="288"/>
      <c r="V791" s="288"/>
      <c r="W791" s="288"/>
      <c r="X791" s="288"/>
      <c r="Y791" s="287"/>
      <c r="Z791" s="287"/>
      <c r="AA791" s="287"/>
      <c r="AB791" s="288"/>
      <c r="AC791" s="288"/>
      <c r="AD791" s="288"/>
      <c r="AE791" s="288"/>
      <c r="AF791" s="288"/>
      <c r="AG791" s="288"/>
      <c r="AH791" s="288"/>
      <c r="AI791" s="288"/>
      <c r="AJ791" s="288"/>
      <c r="AK791" s="288"/>
      <c r="AL791" s="288"/>
      <c r="AM791" s="288"/>
      <c r="AN791" s="288"/>
      <c r="AO791" s="288"/>
      <c r="AP791" s="288"/>
      <c r="AQ791" s="288"/>
      <c r="AR791" s="288"/>
      <c r="AS791" s="288"/>
      <c r="AT791" s="288"/>
      <c r="AU791" s="288"/>
      <c r="AV791" s="288"/>
      <c r="AW791" s="288"/>
      <c r="AX791" s="288"/>
      <c r="AY791" s="288"/>
      <c r="AZ791" s="288"/>
    </row>
    <row r="792" spans="1:52" s="291" customFormat="1" ht="15.75">
      <c r="A792" s="294"/>
      <c r="B792" s="485"/>
      <c r="C792" s="288"/>
      <c r="D792" s="288"/>
      <c r="E792" s="288"/>
      <c r="F792" s="288"/>
      <c r="G792" s="288"/>
      <c r="H792" s="288"/>
      <c r="I792" s="288"/>
      <c r="J792" s="288"/>
      <c r="K792" s="287"/>
      <c r="L792" s="287"/>
      <c r="M792" s="287"/>
      <c r="N792" s="287"/>
      <c r="O792" s="287"/>
      <c r="P792" s="287"/>
      <c r="Q792" s="488"/>
      <c r="R792" s="488"/>
      <c r="S792" s="287"/>
      <c r="T792" s="287"/>
      <c r="U792" s="288"/>
      <c r="V792" s="288"/>
      <c r="W792" s="288"/>
      <c r="X792" s="288"/>
      <c r="Y792" s="287"/>
      <c r="Z792" s="287"/>
      <c r="AA792" s="287"/>
      <c r="AB792" s="288"/>
      <c r="AC792" s="288"/>
      <c r="AD792" s="288"/>
      <c r="AE792" s="288"/>
      <c r="AF792" s="288"/>
      <c r="AG792" s="288"/>
      <c r="AH792" s="288"/>
      <c r="AI792" s="288"/>
      <c r="AJ792" s="288"/>
      <c r="AK792" s="288"/>
      <c r="AL792" s="288"/>
      <c r="AM792" s="288"/>
      <c r="AN792" s="288"/>
      <c r="AO792" s="288"/>
      <c r="AP792" s="288"/>
      <c r="AQ792" s="288"/>
      <c r="AR792" s="288"/>
      <c r="AS792" s="288"/>
      <c r="AT792" s="288"/>
      <c r="AU792" s="288"/>
      <c r="AV792" s="288"/>
      <c r="AW792" s="288"/>
      <c r="AX792" s="288"/>
      <c r="AY792" s="288"/>
      <c r="AZ792" s="288"/>
    </row>
    <row r="793" spans="1:52" s="291" customFormat="1" ht="58.5" customHeight="1">
      <c r="A793" s="294"/>
      <c r="B793" s="1619"/>
      <c r="C793" s="1620"/>
      <c r="D793" s="1620"/>
      <c r="E793" s="1620"/>
      <c r="F793" s="1620"/>
      <c r="G793" s="1620"/>
      <c r="H793" s="1620"/>
      <c r="I793" s="1620"/>
      <c r="J793" s="1620"/>
      <c r="K793" s="1620"/>
      <c r="L793" s="1620"/>
      <c r="M793" s="1620"/>
      <c r="N793" s="1620"/>
      <c r="O793" s="1620"/>
      <c r="P793" s="1620"/>
      <c r="Q793" s="1620"/>
      <c r="R793" s="1620"/>
      <c r="S793" s="1620"/>
      <c r="T793" s="1620"/>
      <c r="U793" s="1620"/>
      <c r="V793" s="1620"/>
      <c r="W793" s="1620"/>
      <c r="X793" s="1620"/>
      <c r="Y793" s="1620"/>
      <c r="Z793" s="1620"/>
      <c r="AA793" s="1620"/>
      <c r="AB793" s="1620"/>
      <c r="AC793" s="1620"/>
      <c r="AD793" s="1620"/>
      <c r="AE793" s="1620"/>
      <c r="AF793" s="1620"/>
      <c r="AG793" s="1620"/>
      <c r="AH793" s="1620"/>
      <c r="AI793" s="1620"/>
      <c r="AJ793" s="1620"/>
      <c r="AK793" s="1620"/>
      <c r="AL793" s="1620"/>
      <c r="AM793" s="1620"/>
      <c r="AN793" s="1620"/>
      <c r="AO793" s="1620"/>
      <c r="AP793" s="1620"/>
      <c r="AQ793" s="1620"/>
      <c r="AR793" s="1620"/>
      <c r="AS793" s="1620"/>
      <c r="AT793" s="1620"/>
      <c r="AU793" s="1620"/>
      <c r="AV793" s="1620"/>
      <c r="AW793" s="1620"/>
      <c r="AX793" s="1620"/>
      <c r="AY793" s="1620"/>
      <c r="AZ793" s="1621"/>
    </row>
    <row r="794" spans="1:52" s="291" customFormat="1" ht="15.75">
      <c r="A794" s="294"/>
      <c r="B794" s="287"/>
      <c r="C794" s="287"/>
      <c r="D794" s="287"/>
      <c r="E794" s="287"/>
      <c r="F794" s="287"/>
      <c r="G794" s="287"/>
      <c r="H794" s="287"/>
      <c r="I794" s="287"/>
      <c r="J794" s="287"/>
      <c r="K794" s="287"/>
      <c r="L794" s="287"/>
      <c r="M794" s="287"/>
      <c r="N794" s="287"/>
      <c r="O794" s="287"/>
      <c r="P794" s="287"/>
      <c r="Q794" s="488"/>
      <c r="R794" s="488"/>
      <c r="S794" s="287"/>
      <c r="T794" s="287"/>
      <c r="U794" s="288"/>
      <c r="V794" s="288"/>
      <c r="W794" s="288"/>
      <c r="X794" s="288"/>
      <c r="Y794" s="287"/>
      <c r="Z794" s="287"/>
      <c r="AA794" s="287"/>
      <c r="AB794" s="288"/>
      <c r="AC794" s="288"/>
      <c r="AD794" s="288"/>
      <c r="AE794" s="288"/>
      <c r="AF794" s="288"/>
      <c r="AG794" s="288"/>
      <c r="AH794" s="288"/>
      <c r="AI794" s="288"/>
      <c r="AJ794" s="288"/>
      <c r="AK794" s="288"/>
      <c r="AL794" s="288"/>
      <c r="AM794" s="288"/>
      <c r="AN794" s="288"/>
      <c r="AO794" s="288"/>
      <c r="AP794" s="288"/>
      <c r="AQ794" s="288"/>
      <c r="AR794" s="288"/>
      <c r="AS794" s="288"/>
      <c r="AT794" s="288"/>
      <c r="AU794" s="288"/>
      <c r="AV794" s="288"/>
      <c r="AW794" s="288"/>
      <c r="AX794" s="288"/>
      <c r="AY794" s="288"/>
      <c r="AZ794" s="288"/>
    </row>
    <row r="795" spans="1:52" s="291" customFormat="1" ht="15.75">
      <c r="A795" s="294"/>
      <c r="B795" s="287" t="s">
        <v>391</v>
      </c>
      <c r="C795" s="287"/>
      <c r="D795" s="287"/>
      <c r="E795" s="287"/>
      <c r="F795" s="287"/>
      <c r="G795" s="287"/>
      <c r="H795" s="287"/>
      <c r="I795" s="287"/>
      <c r="J795" s="287"/>
      <c r="K795" s="287"/>
      <c r="L795" s="287"/>
      <c r="M795" s="287"/>
      <c r="N795" s="287"/>
      <c r="O795" s="287"/>
      <c r="P795" s="287"/>
      <c r="Q795" s="488"/>
      <c r="R795" s="488"/>
      <c r="S795" s="287"/>
      <c r="T795" s="287"/>
      <c r="U795" s="288"/>
      <c r="V795" s="288"/>
      <c r="W795" s="288"/>
      <c r="X795" s="288"/>
      <c r="Y795" s="287"/>
      <c r="Z795" s="287"/>
      <c r="AA795" s="287"/>
      <c r="AB795" s="288"/>
      <c r="AC795" s="288"/>
      <c r="AD795" s="288"/>
      <c r="AE795" s="288"/>
      <c r="AF795" s="288"/>
      <c r="AG795" s="288"/>
      <c r="AH795" s="288"/>
      <c r="AI795" s="288"/>
      <c r="AJ795" s="288"/>
      <c r="AK795" s="288"/>
      <c r="AL795" s="288"/>
      <c r="AM795" s="288"/>
      <c r="AN795" s="288"/>
      <c r="AO795" s="288"/>
      <c r="AP795" s="288"/>
      <c r="AQ795" s="288"/>
      <c r="AR795" s="288"/>
      <c r="AS795" s="288"/>
      <c r="AT795" s="288"/>
      <c r="AU795" s="288"/>
      <c r="AV795" s="288"/>
      <c r="AW795" s="288"/>
      <c r="AX795" s="288"/>
      <c r="AY795" s="288"/>
      <c r="AZ795" s="288"/>
    </row>
    <row r="796" spans="1:52" s="291" customFormat="1" ht="15.75">
      <c r="A796" s="287"/>
      <c r="B796" s="287"/>
      <c r="C796" s="287"/>
      <c r="D796" s="287"/>
      <c r="E796" s="287"/>
      <c r="F796" s="287"/>
      <c r="G796" s="287"/>
      <c r="H796" s="287"/>
      <c r="I796" s="287"/>
      <c r="J796" s="287"/>
      <c r="K796" s="287"/>
      <c r="L796" s="287"/>
      <c r="M796" s="287"/>
      <c r="N796" s="287"/>
      <c r="O796" s="287"/>
      <c r="P796" s="287"/>
      <c r="Q796" s="488"/>
      <c r="R796" s="488"/>
      <c r="S796" s="287"/>
      <c r="T796" s="287"/>
      <c r="U796" s="288"/>
      <c r="V796" s="288"/>
      <c r="W796" s="288"/>
      <c r="X796" s="288"/>
      <c r="Y796" s="287"/>
      <c r="Z796" s="287"/>
      <c r="AA796" s="287"/>
      <c r="AB796" s="288"/>
      <c r="AC796" s="288"/>
      <c r="AD796" s="288"/>
      <c r="AE796" s="288"/>
      <c r="AF796" s="288"/>
      <c r="AG796" s="288"/>
      <c r="AH796" s="288"/>
      <c r="AI796" s="288"/>
      <c r="AJ796" s="288"/>
      <c r="AK796" s="288"/>
      <c r="AL796" s="288"/>
      <c r="AM796" s="288"/>
      <c r="AN796" s="288"/>
      <c r="AO796" s="288"/>
      <c r="AP796" s="288"/>
      <c r="AQ796" s="288"/>
      <c r="AR796" s="288"/>
      <c r="AS796" s="288"/>
      <c r="AT796" s="288"/>
      <c r="AU796" s="288"/>
      <c r="AV796" s="288"/>
      <c r="AW796" s="288"/>
      <c r="AX796" s="288"/>
      <c r="AY796" s="288"/>
      <c r="AZ796" s="288"/>
    </row>
    <row r="797" spans="1:52" s="291" customFormat="1" ht="15.75">
      <c r="A797" s="287"/>
      <c r="B797" s="287"/>
      <c r="C797" s="287"/>
      <c r="D797" s="287"/>
      <c r="E797" s="287"/>
      <c r="F797" s="287"/>
      <c r="G797" s="287"/>
      <c r="H797" s="287"/>
      <c r="I797" s="287"/>
      <c r="J797" s="287"/>
      <c r="K797" s="287"/>
      <c r="L797" s="287"/>
      <c r="M797" s="287"/>
      <c r="N797" s="287"/>
      <c r="O797" s="287"/>
      <c r="P797" s="287"/>
      <c r="Q797" s="488"/>
      <c r="R797" s="488"/>
      <c r="S797" s="287"/>
      <c r="T797" s="287"/>
      <c r="U797" s="288"/>
      <c r="V797" s="288"/>
      <c r="W797" s="288"/>
      <c r="X797" s="288"/>
      <c r="Y797" s="287"/>
      <c r="Z797" s="287"/>
      <c r="AA797" s="287"/>
      <c r="AB797" s="288"/>
      <c r="AC797" s="288"/>
      <c r="AD797" s="288"/>
      <c r="AE797" s="288"/>
      <c r="AF797" s="288"/>
      <c r="AG797" s="288"/>
      <c r="AH797" s="288"/>
      <c r="AI797" s="288"/>
      <c r="AJ797" s="288"/>
      <c r="AK797" s="288"/>
      <c r="AL797" s="288"/>
      <c r="AM797" s="288"/>
      <c r="AN797" s="288"/>
      <c r="AO797" s="288"/>
      <c r="AP797" s="288"/>
      <c r="AQ797" s="288"/>
      <c r="AR797" s="288"/>
      <c r="AS797" s="288"/>
      <c r="AT797" s="288"/>
      <c r="AU797" s="288"/>
      <c r="AV797" s="288"/>
      <c r="AW797" s="288"/>
      <c r="AX797" s="288"/>
      <c r="AY797" s="288"/>
      <c r="AZ797" s="288"/>
    </row>
    <row r="798" spans="1:52" s="291" customFormat="1" ht="15.75" customHeight="1">
      <c r="A798" s="287"/>
      <c r="B798" s="287"/>
      <c r="C798" s="1622" t="s">
        <v>381</v>
      </c>
      <c r="D798" s="1622"/>
      <c r="E798" s="1622"/>
      <c r="F798" s="1622"/>
      <c r="G798" s="1622"/>
      <c r="H798" s="1622"/>
      <c r="I798" s="1622"/>
      <c r="J798" s="1622"/>
      <c r="K798" s="1622"/>
      <c r="L798" s="1622"/>
      <c r="M798" s="1622"/>
      <c r="N798" s="1622"/>
      <c r="O798" s="1622"/>
      <c r="P798" s="1622"/>
      <c r="Q798" s="1622"/>
      <c r="R798" s="1622"/>
      <c r="S798" s="328"/>
      <c r="T798" s="328"/>
      <c r="U798" s="313"/>
      <c r="V798" s="313"/>
      <c r="W798" s="313"/>
      <c r="X798" s="313"/>
      <c r="Y798" s="328"/>
      <c r="Z798" s="328"/>
      <c r="AA798" s="328"/>
      <c r="AB798" s="313"/>
      <c r="AC798" s="313"/>
      <c r="AD798" s="313"/>
      <c r="AE798" s="313"/>
      <c r="AF798" s="313"/>
      <c r="AG798" s="313"/>
      <c r="AH798" s="313"/>
      <c r="AI798" s="1345" t="s">
        <v>3235</v>
      </c>
      <c r="AJ798" s="1345"/>
      <c r="AK798" s="1345"/>
      <c r="AL798" s="1345"/>
      <c r="AM798" s="1345"/>
      <c r="AN798" s="1345"/>
      <c r="AO798" s="1345"/>
      <c r="AP798" s="1345"/>
      <c r="AQ798" s="1345"/>
      <c r="AR798" s="1345"/>
      <c r="AS798" s="1345"/>
      <c r="AT798" s="1345"/>
      <c r="AU798" s="1345"/>
      <c r="AV798" s="1345"/>
      <c r="AW798" s="1345"/>
      <c r="AX798" s="1345"/>
      <c r="AY798" s="1345"/>
      <c r="AZ798" s="288"/>
    </row>
    <row r="799" spans="1:52" s="291" customFormat="1" ht="6.75" customHeight="1">
      <c r="A799" s="287"/>
      <c r="B799" s="287"/>
      <c r="C799" s="287"/>
      <c r="D799" s="287"/>
      <c r="E799" s="287"/>
      <c r="F799" s="287"/>
      <c r="G799" s="287"/>
      <c r="H799" s="287"/>
      <c r="I799" s="287"/>
      <c r="J799" s="287"/>
      <c r="K799" s="287"/>
      <c r="L799" s="287"/>
      <c r="M799" s="287"/>
      <c r="N799" s="287"/>
      <c r="O799" s="287"/>
      <c r="P799" s="287"/>
      <c r="Q799" s="488"/>
      <c r="R799" s="488"/>
      <c r="S799" s="287"/>
      <c r="T799" s="287"/>
      <c r="U799" s="288"/>
      <c r="V799" s="288"/>
      <c r="W799" s="288"/>
      <c r="X799" s="288"/>
      <c r="Y799" s="287"/>
      <c r="Z799" s="287"/>
      <c r="AA799" s="287"/>
      <c r="AB799" s="288"/>
      <c r="AC799" s="288"/>
      <c r="AD799" s="288"/>
      <c r="AE799" s="288"/>
      <c r="AF799" s="288"/>
      <c r="AG799" s="288"/>
      <c r="AH799" s="288"/>
      <c r="AI799" s="288"/>
      <c r="AJ799" s="288"/>
      <c r="AK799" s="288"/>
      <c r="AL799" s="288"/>
      <c r="AM799" s="288"/>
      <c r="AN799" s="288"/>
      <c r="AO799" s="288"/>
      <c r="AP799" s="288"/>
      <c r="AQ799" s="288"/>
      <c r="AR799" s="288"/>
      <c r="AS799" s="288"/>
      <c r="AT799" s="288"/>
      <c r="AU799" s="288"/>
      <c r="AV799" s="288"/>
      <c r="AW799" s="288"/>
      <c r="AX799" s="288"/>
      <c r="AY799" s="288"/>
      <c r="AZ799" s="288"/>
    </row>
    <row r="800" spans="1:52" s="291" customFormat="1" ht="15.75" hidden="1">
      <c r="A800" s="287"/>
      <c r="B800" s="287"/>
      <c r="C800" s="287"/>
      <c r="D800" s="287"/>
      <c r="E800" s="287"/>
      <c r="F800" s="287"/>
      <c r="G800" s="287"/>
      <c r="H800" s="287"/>
      <c r="I800" s="287"/>
      <c r="J800" s="287"/>
      <c r="K800" s="287"/>
      <c r="L800" s="287"/>
      <c r="M800" s="287"/>
      <c r="N800" s="287"/>
      <c r="O800" s="287"/>
      <c r="P800" s="287"/>
      <c r="Q800" s="488"/>
      <c r="R800" s="488"/>
      <c r="S800" s="287"/>
      <c r="T800" s="287"/>
      <c r="U800" s="288"/>
      <c r="V800" s="288"/>
      <c r="W800" s="288"/>
      <c r="X800" s="288"/>
      <c r="Y800" s="287"/>
      <c r="Z800" s="287"/>
      <c r="AA800" s="287"/>
      <c r="AB800" s="288"/>
      <c r="AC800" s="288"/>
      <c r="AD800" s="288"/>
      <c r="AE800" s="288"/>
      <c r="AF800" s="288"/>
      <c r="AG800" s="288"/>
      <c r="AH800" s="288"/>
      <c r="AI800" s="288"/>
      <c r="AJ800" s="288"/>
      <c r="AK800" s="288"/>
      <c r="AL800" s="288"/>
      <c r="AM800" s="288"/>
      <c r="AN800" s="288"/>
      <c r="AO800" s="288"/>
      <c r="AP800" s="288"/>
      <c r="AQ800" s="288"/>
      <c r="AR800" s="288"/>
      <c r="AS800" s="288"/>
      <c r="AT800" s="288"/>
      <c r="AU800" s="288"/>
      <c r="AV800" s="288"/>
      <c r="AW800" s="288"/>
      <c r="AX800" s="288"/>
      <c r="AY800" s="288"/>
      <c r="AZ800" s="288"/>
    </row>
    <row r="801" spans="1:53" s="291" customFormat="1" ht="6.75" customHeight="1">
      <c r="A801" s="287"/>
      <c r="B801" s="287"/>
      <c r="C801" s="287"/>
      <c r="D801" s="287"/>
      <c r="E801" s="287"/>
      <c r="F801" s="287"/>
      <c r="G801" s="287"/>
      <c r="H801" s="287"/>
      <c r="I801" s="287"/>
      <c r="J801" s="287"/>
      <c r="K801" s="287"/>
      <c r="L801" s="287"/>
      <c r="M801" s="287"/>
      <c r="N801" s="287"/>
      <c r="O801" s="287"/>
      <c r="P801" s="287"/>
      <c r="Q801" s="488"/>
      <c r="R801" s="488"/>
      <c r="S801" s="287"/>
      <c r="T801" s="287"/>
      <c r="U801" s="288"/>
      <c r="V801" s="288"/>
      <c r="W801" s="288"/>
      <c r="X801" s="288"/>
      <c r="Y801" s="287"/>
      <c r="Z801" s="287"/>
      <c r="AA801" s="287"/>
      <c r="AB801" s="288"/>
      <c r="AC801" s="288"/>
      <c r="AD801" s="288"/>
      <c r="AE801" s="288"/>
      <c r="AF801" s="288"/>
      <c r="AG801" s="288"/>
      <c r="AH801" s="288"/>
      <c r="AI801" s="288"/>
      <c r="AJ801" s="288"/>
      <c r="AK801" s="288"/>
      <c r="AL801" s="288"/>
      <c r="AM801" s="288"/>
      <c r="AN801" s="288"/>
      <c r="AO801" s="288"/>
      <c r="AP801" s="288"/>
      <c r="AQ801" s="288"/>
      <c r="AR801" s="288"/>
      <c r="AS801" s="288"/>
      <c r="AT801" s="288"/>
      <c r="AU801" s="288"/>
      <c r="AV801" s="288"/>
      <c r="AW801" s="288"/>
      <c r="AX801" s="288"/>
      <c r="AY801" s="288"/>
      <c r="AZ801" s="288"/>
    </row>
    <row r="802" spans="1:53" s="291" customFormat="1" ht="15.75" hidden="1">
      <c r="A802" s="287"/>
      <c r="B802" s="287"/>
      <c r="C802" s="287"/>
      <c r="D802" s="287"/>
      <c r="E802" s="287"/>
      <c r="F802" s="287"/>
      <c r="G802" s="287"/>
      <c r="H802" s="287"/>
      <c r="I802" s="287"/>
      <c r="J802" s="287"/>
      <c r="K802" s="287"/>
      <c r="L802" s="287"/>
      <c r="M802" s="287"/>
      <c r="N802" s="287"/>
      <c r="O802" s="287"/>
      <c r="P802" s="287"/>
      <c r="Q802" s="488"/>
      <c r="R802" s="488"/>
      <c r="S802" s="287"/>
      <c r="T802" s="287"/>
      <c r="U802" s="288"/>
      <c r="V802" s="288"/>
      <c r="W802" s="288"/>
      <c r="X802" s="288"/>
      <c r="Y802" s="287"/>
      <c r="Z802" s="287"/>
      <c r="AA802" s="287"/>
      <c r="AB802" s="288"/>
      <c r="AC802" s="288"/>
      <c r="AD802" s="288"/>
      <c r="AE802" s="288"/>
      <c r="AF802" s="288"/>
      <c r="AG802" s="288"/>
      <c r="AH802" s="288"/>
      <c r="AI802" s="288"/>
      <c r="AJ802" s="288"/>
      <c r="AK802" s="288"/>
      <c r="AL802" s="288"/>
      <c r="AM802" s="288"/>
      <c r="AN802" s="288"/>
      <c r="AO802" s="288"/>
      <c r="AP802" s="288"/>
      <c r="AQ802" s="288"/>
      <c r="AR802" s="288"/>
      <c r="AS802" s="288"/>
      <c r="AT802" s="288"/>
      <c r="AU802" s="288"/>
      <c r="AV802" s="288"/>
      <c r="AW802" s="288"/>
      <c r="AX802" s="288"/>
      <c r="AY802" s="288"/>
      <c r="AZ802" s="288"/>
    </row>
    <row r="803" spans="1:53" s="291" customFormat="1" ht="15.75">
      <c r="A803" s="287"/>
      <c r="B803" s="295" t="s">
        <v>618</v>
      </c>
      <c r="C803" s="287"/>
      <c r="D803" s="287"/>
      <c r="E803" s="287"/>
      <c r="F803" s="287"/>
      <c r="G803" s="287"/>
      <c r="H803" s="287"/>
      <c r="I803" s="287"/>
      <c r="J803" s="287"/>
      <c r="K803" s="287"/>
      <c r="L803" s="287"/>
      <c r="M803" s="287"/>
      <c r="N803" s="287"/>
      <c r="O803" s="287"/>
      <c r="P803" s="287"/>
      <c r="Q803" s="845"/>
      <c r="R803" s="845"/>
      <c r="S803" s="287"/>
      <c r="T803" s="287"/>
      <c r="U803" s="288"/>
      <c r="V803" s="288"/>
      <c r="W803" s="288"/>
      <c r="X803" s="288"/>
      <c r="Y803" s="287"/>
      <c r="Z803" s="287"/>
      <c r="AA803" s="287"/>
      <c r="AB803" s="288"/>
      <c r="AC803" s="288"/>
      <c r="AD803" s="288"/>
      <c r="AE803" s="288"/>
      <c r="AF803" s="288"/>
      <c r="AG803" s="288"/>
      <c r="AH803" s="288"/>
      <c r="AI803" s="288"/>
      <c r="AJ803" s="288"/>
      <c r="AK803" s="288"/>
      <c r="AL803" s="288"/>
      <c r="AM803" s="288"/>
      <c r="AN803" s="288"/>
      <c r="AO803" s="288"/>
      <c r="AP803" s="288"/>
      <c r="AQ803" s="288"/>
      <c r="AR803" s="288"/>
      <c r="AS803" s="288"/>
      <c r="AT803" s="288"/>
      <c r="AU803" s="288"/>
      <c r="AV803" s="288"/>
      <c r="AW803" s="288"/>
      <c r="AX803" s="288"/>
      <c r="AY803" s="288"/>
      <c r="AZ803" s="288"/>
    </row>
    <row r="804" spans="1:53" s="291" customFormat="1" ht="15" customHeight="1">
      <c r="A804" s="287"/>
      <c r="B804" s="287" t="s">
        <v>3219</v>
      </c>
      <c r="C804" s="1336" t="s">
        <v>619</v>
      </c>
      <c r="D804" s="1336"/>
      <c r="E804" s="1336"/>
      <c r="F804" s="1336"/>
      <c r="G804" s="1336"/>
      <c r="H804" s="1336"/>
      <c r="I804" s="1336"/>
      <c r="J804" s="1336"/>
      <c r="K804" s="1336"/>
      <c r="L804" s="1336"/>
      <c r="M804" s="1336"/>
      <c r="N804" s="1336"/>
      <c r="O804" s="1336"/>
      <c r="P804" s="1336"/>
      <c r="Q804" s="1336"/>
      <c r="R804" s="1336"/>
      <c r="S804" s="1336"/>
      <c r="T804" s="1336"/>
      <c r="U804" s="1336"/>
      <c r="V804" s="1336"/>
      <c r="W804" s="1336"/>
      <c r="X804" s="1336"/>
      <c r="Y804" s="1336"/>
      <c r="Z804" s="1336"/>
      <c r="AA804" s="1336"/>
      <c r="AB804" s="1336"/>
      <c r="AC804" s="1336"/>
      <c r="AD804" s="1336"/>
      <c r="AE804" s="1336"/>
      <c r="AF804" s="1336"/>
      <c r="AG804" s="1336"/>
      <c r="AH804" s="1336"/>
      <c r="AI804" s="1336"/>
      <c r="AJ804" s="1336"/>
      <c r="AK804" s="1336"/>
      <c r="AL804" s="1336"/>
      <c r="AM804" s="1336"/>
      <c r="AN804" s="1336"/>
      <c r="AO804" s="1336"/>
      <c r="AP804" s="1336"/>
      <c r="AQ804" s="1336"/>
      <c r="AR804" s="1336"/>
      <c r="AS804" s="1336"/>
      <c r="AT804" s="1336"/>
      <c r="AU804" s="1336"/>
      <c r="AV804" s="1336"/>
      <c r="AW804" s="1336"/>
      <c r="AX804" s="1336"/>
      <c r="AY804" s="1336"/>
      <c r="AZ804" s="1336"/>
    </row>
    <row r="805" spans="1:53" s="291" customFormat="1" ht="15.75">
      <c r="A805" s="287"/>
      <c r="B805" s="287" t="s">
        <v>3220</v>
      </c>
      <c r="C805" s="287" t="s">
        <v>2985</v>
      </c>
      <c r="D805" s="287"/>
      <c r="E805" s="287"/>
      <c r="F805" s="287"/>
      <c r="G805" s="287"/>
      <c r="H805" s="287"/>
      <c r="I805" s="287"/>
      <c r="J805" s="287"/>
      <c r="K805" s="287"/>
      <c r="L805" s="287"/>
      <c r="M805" s="287"/>
      <c r="N805" s="287"/>
      <c r="O805" s="287"/>
      <c r="P805" s="287"/>
      <c r="Q805" s="845"/>
      <c r="R805" s="845"/>
      <c r="S805" s="287"/>
      <c r="T805" s="287"/>
      <c r="U805" s="288"/>
      <c r="V805" s="288"/>
      <c r="W805" s="288"/>
      <c r="X805" s="288"/>
      <c r="Y805" s="287"/>
      <c r="Z805" s="287"/>
      <c r="AA805" s="287"/>
      <c r="AB805" s="288"/>
      <c r="AC805" s="288"/>
      <c r="AD805" s="288"/>
      <c r="AE805" s="288"/>
      <c r="AF805" s="288"/>
      <c r="AG805" s="288"/>
      <c r="AH805" s="288"/>
      <c r="AI805" s="288"/>
      <c r="AJ805" s="288"/>
      <c r="AK805" s="288"/>
      <c r="AL805" s="288"/>
      <c r="AM805" s="288"/>
      <c r="AN805" s="288"/>
      <c r="AO805" s="288"/>
      <c r="AP805" s="288"/>
      <c r="AQ805" s="288"/>
      <c r="AR805" s="288"/>
      <c r="AS805" s="288"/>
      <c r="AT805" s="288"/>
      <c r="AU805" s="288"/>
      <c r="AV805" s="288"/>
      <c r="AW805" s="288"/>
      <c r="AX805" s="288"/>
      <c r="AY805" s="288"/>
      <c r="AZ805" s="288"/>
    </row>
    <row r="806" spans="1:53" s="291" customFormat="1" ht="15.75">
      <c r="A806" s="328"/>
      <c r="B806" s="287" t="s">
        <v>3221</v>
      </c>
      <c r="C806" s="287" t="s">
        <v>2990</v>
      </c>
      <c r="D806" s="287"/>
      <c r="E806" s="287"/>
      <c r="F806" s="287"/>
      <c r="G806" s="287"/>
      <c r="H806" s="287"/>
      <c r="I806" s="287"/>
      <c r="J806" s="287"/>
      <c r="K806" s="287"/>
      <c r="L806" s="287"/>
      <c r="M806" s="287"/>
      <c r="N806" s="287"/>
      <c r="O806" s="287"/>
      <c r="P806" s="287"/>
      <c r="Q806" s="845"/>
      <c r="R806" s="845"/>
      <c r="S806" s="287"/>
      <c r="T806" s="287"/>
      <c r="U806" s="288"/>
      <c r="V806" s="288"/>
      <c r="W806" s="288"/>
      <c r="X806" s="288"/>
      <c r="Y806" s="287"/>
      <c r="Z806" s="287"/>
      <c r="AA806" s="287"/>
      <c r="AB806" s="288"/>
      <c r="AC806" s="288"/>
      <c r="AD806" s="288"/>
      <c r="AE806" s="288"/>
      <c r="AF806" s="288"/>
      <c r="AG806" s="288"/>
      <c r="AH806" s="288"/>
      <c r="AI806" s="288"/>
      <c r="AJ806" s="288"/>
      <c r="AK806" s="288"/>
      <c r="AL806" s="288"/>
      <c r="AM806" s="288"/>
      <c r="AN806" s="288"/>
      <c r="AO806" s="288"/>
      <c r="AP806" s="288"/>
      <c r="AQ806" s="288"/>
      <c r="AR806" s="288"/>
      <c r="AS806" s="288"/>
      <c r="AT806" s="288"/>
      <c r="AU806" s="288"/>
      <c r="AV806" s="288"/>
      <c r="AW806" s="288"/>
      <c r="AX806" s="288"/>
      <c r="AY806" s="288"/>
      <c r="AZ806" s="288"/>
    </row>
    <row r="807" spans="1:53" s="291" customFormat="1" ht="29.25" customHeight="1">
      <c r="A807" s="328"/>
      <c r="B807" s="287" t="s">
        <v>3222</v>
      </c>
      <c r="C807" s="1336" t="s">
        <v>3223</v>
      </c>
      <c r="D807" s="1336"/>
      <c r="E807" s="1336"/>
      <c r="F807" s="1336"/>
      <c r="G807" s="1336"/>
      <c r="H807" s="1336"/>
      <c r="I807" s="1336"/>
      <c r="J807" s="1336"/>
      <c r="K807" s="1336"/>
      <c r="L807" s="1336"/>
      <c r="M807" s="1336"/>
      <c r="N807" s="1336"/>
      <c r="O807" s="1336"/>
      <c r="P807" s="1336"/>
      <c r="Q807" s="1336"/>
      <c r="R807" s="1336"/>
      <c r="S807" s="1336"/>
      <c r="T807" s="1336"/>
      <c r="U807" s="1336"/>
      <c r="V807" s="1336"/>
      <c r="W807" s="1336"/>
      <c r="X807" s="1336"/>
      <c r="Y807" s="1336"/>
      <c r="Z807" s="1336"/>
      <c r="AA807" s="1336"/>
      <c r="AB807" s="1336"/>
      <c r="AC807" s="1336"/>
      <c r="AD807" s="1336"/>
      <c r="AE807" s="1336"/>
      <c r="AF807" s="1336"/>
      <c r="AG807" s="1336"/>
      <c r="AH807" s="1336"/>
      <c r="AI807" s="1336"/>
      <c r="AJ807" s="1336"/>
      <c r="AK807" s="1336"/>
      <c r="AL807" s="1336"/>
      <c r="AM807" s="1336"/>
      <c r="AN807" s="1336"/>
      <c r="AO807" s="1336"/>
      <c r="AP807" s="1336"/>
      <c r="AQ807" s="1336"/>
      <c r="AR807" s="1336"/>
      <c r="AS807" s="1336"/>
      <c r="AT807" s="1336"/>
      <c r="AU807" s="1336"/>
      <c r="AV807" s="1336"/>
      <c r="AW807" s="1336"/>
      <c r="AX807" s="1336"/>
      <c r="AY807" s="1336"/>
      <c r="AZ807" s="1336"/>
    </row>
    <row r="808" spans="1:53" s="291" customFormat="1" ht="15.75">
      <c r="A808" s="328"/>
      <c r="B808" s="287" t="s">
        <v>3224</v>
      </c>
      <c r="C808" s="1464" t="s">
        <v>3225</v>
      </c>
      <c r="D808" s="1464"/>
      <c r="E808" s="1464"/>
      <c r="F808" s="1464"/>
      <c r="G808" s="1464"/>
      <c r="H808" s="1464"/>
      <c r="I808" s="1464"/>
      <c r="J808" s="1464"/>
      <c r="K808" s="1464"/>
      <c r="L808" s="1464"/>
      <c r="M808" s="1464"/>
      <c r="N808" s="1464"/>
      <c r="O808" s="1464"/>
      <c r="P808" s="1464"/>
      <c r="Q808" s="1464"/>
      <c r="R808" s="1464"/>
      <c r="S808" s="1464"/>
      <c r="T808" s="1464"/>
      <c r="U808" s="1464"/>
      <c r="V808" s="1464"/>
      <c r="W808" s="1464"/>
      <c r="X808" s="1464"/>
      <c r="Y808" s="1464"/>
      <c r="Z808" s="1464"/>
      <c r="AA808" s="1464"/>
      <c r="AB808" s="1464"/>
      <c r="AC808" s="1464"/>
      <c r="AD808" s="1464"/>
      <c r="AE808" s="1464"/>
      <c r="AF808" s="1464"/>
      <c r="AG808" s="1464"/>
      <c r="AH808" s="1464"/>
      <c r="AI808" s="1464"/>
      <c r="AJ808" s="1464"/>
      <c r="AK808" s="1464"/>
      <c r="AL808" s="1464"/>
      <c r="AM808" s="1464"/>
      <c r="AN808" s="1464"/>
      <c r="AO808" s="1464"/>
      <c r="AP808" s="1464"/>
      <c r="AQ808" s="1464"/>
      <c r="AR808" s="1464"/>
      <c r="AS808" s="1464"/>
      <c r="AT808" s="1464"/>
      <c r="AU808" s="1464"/>
      <c r="AV808" s="1464"/>
      <c r="AW808" s="1464"/>
      <c r="AX808" s="1464"/>
      <c r="AY808" s="1464"/>
      <c r="AZ808" s="1464"/>
    </row>
    <row r="809" spans="1:53" s="291" customFormat="1" ht="15.75">
      <c r="A809" s="328"/>
      <c r="B809" s="287" t="s">
        <v>3226</v>
      </c>
      <c r="C809" s="1618" t="s">
        <v>3227</v>
      </c>
      <c r="D809" s="1618"/>
      <c r="E809" s="1618"/>
      <c r="F809" s="1618"/>
      <c r="G809" s="1618"/>
      <c r="H809" s="1618"/>
      <c r="I809" s="1618"/>
      <c r="J809" s="1618"/>
      <c r="K809" s="1618"/>
      <c r="L809" s="1618"/>
      <c r="M809" s="1618"/>
      <c r="N809" s="1618"/>
      <c r="O809" s="1618"/>
      <c r="P809" s="1618"/>
      <c r="Q809" s="1618"/>
      <c r="R809" s="1618"/>
      <c r="S809" s="1618"/>
      <c r="T809" s="1618"/>
      <c r="U809" s="1618"/>
      <c r="V809" s="1618"/>
      <c r="W809" s="1618"/>
      <c r="X809" s="1618"/>
      <c r="Y809" s="1618"/>
      <c r="Z809" s="1618"/>
      <c r="AA809" s="1618"/>
      <c r="AB809" s="1618"/>
      <c r="AC809" s="1618"/>
      <c r="AD809" s="1618"/>
      <c r="AE809" s="1618"/>
      <c r="AF809" s="1618"/>
      <c r="AG809" s="1618"/>
      <c r="AH809" s="1618"/>
      <c r="AI809" s="1618"/>
      <c r="AJ809" s="1618"/>
      <c r="AK809" s="1618"/>
      <c r="AL809" s="1618"/>
      <c r="AM809" s="1618"/>
      <c r="AN809" s="1618"/>
      <c r="AO809" s="1618"/>
      <c r="AP809" s="1618"/>
      <c r="AQ809" s="1618"/>
      <c r="AR809" s="1618"/>
      <c r="AS809" s="1618"/>
      <c r="AT809" s="1618"/>
      <c r="AU809" s="1618"/>
      <c r="AV809" s="1618"/>
      <c r="AW809" s="1618"/>
      <c r="AX809" s="1618"/>
      <c r="AY809" s="1618"/>
      <c r="AZ809" s="1618"/>
    </row>
    <row r="810" spans="1:53" s="291" customFormat="1" ht="15.75">
      <c r="A810" s="328"/>
      <c r="B810" s="287" t="s">
        <v>3228</v>
      </c>
      <c r="C810" s="1464" t="s">
        <v>620</v>
      </c>
      <c r="D810" s="1464"/>
      <c r="E810" s="1464"/>
      <c r="F810" s="1464"/>
      <c r="G810" s="1464"/>
      <c r="H810" s="1464"/>
      <c r="I810" s="1464"/>
      <c r="J810" s="1464"/>
      <c r="K810" s="1464"/>
      <c r="L810" s="1464"/>
      <c r="M810" s="1464"/>
      <c r="N810" s="1464"/>
      <c r="O810" s="1464"/>
      <c r="P810" s="1464"/>
      <c r="Q810" s="1464"/>
      <c r="R810" s="1464"/>
      <c r="S810" s="1464"/>
      <c r="T810" s="1464"/>
      <c r="U810" s="1464"/>
      <c r="V810" s="1464"/>
      <c r="W810" s="1464"/>
      <c r="X810" s="1464"/>
      <c r="Y810" s="1464"/>
      <c r="Z810" s="1464"/>
      <c r="AA810" s="1464"/>
      <c r="AB810" s="1464"/>
      <c r="AC810" s="1464"/>
      <c r="AD810" s="1464"/>
      <c r="AE810" s="1464"/>
      <c r="AF810" s="1464"/>
      <c r="AG810" s="1464"/>
      <c r="AH810" s="1464"/>
      <c r="AI810" s="1464"/>
      <c r="AJ810" s="1464"/>
      <c r="AK810" s="1464"/>
      <c r="AL810" s="1464"/>
      <c r="AM810" s="1464"/>
      <c r="AN810" s="1464"/>
      <c r="AO810" s="1464"/>
      <c r="AP810" s="1464"/>
      <c r="AQ810" s="1464"/>
      <c r="AR810" s="1464"/>
      <c r="AS810" s="1464"/>
      <c r="AT810" s="1464"/>
      <c r="AU810" s="1464"/>
      <c r="AV810" s="1464"/>
      <c r="AW810" s="1464"/>
      <c r="AX810" s="1464"/>
      <c r="AY810" s="1464"/>
      <c r="AZ810" s="1464"/>
    </row>
    <row r="811" spans="1:53" s="291" customFormat="1" ht="15.75">
      <c r="A811" s="328"/>
      <c r="B811" s="287" t="s">
        <v>3229</v>
      </c>
      <c r="C811" s="1618" t="s">
        <v>3230</v>
      </c>
      <c r="D811" s="1618"/>
      <c r="E811" s="1618"/>
      <c r="F811" s="1618"/>
      <c r="G811" s="1618"/>
      <c r="H811" s="1618"/>
      <c r="I811" s="1618"/>
      <c r="J811" s="1618"/>
      <c r="K811" s="1618"/>
      <c r="L811" s="1618"/>
      <c r="M811" s="1618"/>
      <c r="N811" s="1618"/>
      <c r="O811" s="1618"/>
      <c r="P811" s="1618"/>
      <c r="Q811" s="1618"/>
      <c r="R811" s="1618"/>
      <c r="S811" s="1618"/>
      <c r="T811" s="1618"/>
      <c r="U811" s="1618"/>
      <c r="V811" s="1618"/>
      <c r="W811" s="1618"/>
      <c r="X811" s="1618"/>
      <c r="Y811" s="1618"/>
      <c r="Z811" s="1618"/>
      <c r="AA811" s="1618"/>
      <c r="AB811" s="1618"/>
      <c r="AC811" s="1618"/>
      <c r="AD811" s="1618"/>
      <c r="AE811" s="1618"/>
      <c r="AF811" s="1618"/>
      <c r="AG811" s="1618"/>
      <c r="AH811" s="1618"/>
      <c r="AI811" s="1618"/>
      <c r="AJ811" s="1618"/>
      <c r="AK811" s="1618"/>
      <c r="AL811" s="1618"/>
      <c r="AM811" s="1618"/>
      <c r="AN811" s="1618"/>
      <c r="AO811" s="1618"/>
      <c r="AP811" s="1618"/>
      <c r="AQ811" s="1618"/>
      <c r="AR811" s="1618"/>
      <c r="AS811" s="1618"/>
      <c r="AT811" s="1618"/>
      <c r="AU811" s="1618"/>
      <c r="AV811" s="1618"/>
      <c r="AW811" s="1618"/>
      <c r="AX811" s="1618"/>
      <c r="AY811" s="1618"/>
      <c r="AZ811" s="1618"/>
    </row>
    <row r="812" spans="1:53" s="291" customFormat="1" ht="15" customHeight="1">
      <c r="A812" s="296"/>
      <c r="B812" s="287" t="s">
        <v>3231</v>
      </c>
      <c r="C812" s="1618" t="s">
        <v>3232</v>
      </c>
      <c r="D812" s="1618"/>
      <c r="E812" s="1618"/>
      <c r="F812" s="1618"/>
      <c r="G812" s="1618"/>
      <c r="H812" s="1618"/>
      <c r="I812" s="1618"/>
      <c r="J812" s="1618"/>
      <c r="K812" s="1618"/>
      <c r="L812" s="1618"/>
      <c r="M812" s="1618"/>
      <c r="N812" s="1618"/>
      <c r="O812" s="1618"/>
      <c r="P812" s="1618"/>
      <c r="Q812" s="1618"/>
      <c r="R812" s="1618"/>
      <c r="S812" s="1618"/>
      <c r="T812" s="1618"/>
      <c r="U812" s="1618"/>
      <c r="V812" s="1618"/>
      <c r="W812" s="1618"/>
      <c r="X812" s="1618"/>
      <c r="Y812" s="1618"/>
      <c r="Z812" s="1618"/>
      <c r="AA812" s="1618"/>
      <c r="AB812" s="1618"/>
      <c r="AC812" s="1618"/>
      <c r="AD812" s="1618"/>
      <c r="AE812" s="1618"/>
      <c r="AF812" s="1618"/>
      <c r="AG812" s="1618"/>
      <c r="AH812" s="1618"/>
      <c r="AI812" s="1618"/>
      <c r="AJ812" s="1618"/>
      <c r="AK812" s="1618"/>
      <c r="AL812" s="1618"/>
      <c r="AM812" s="1618"/>
      <c r="AN812" s="1618"/>
      <c r="AO812" s="1618"/>
      <c r="AP812" s="1618"/>
      <c r="AQ812" s="1618"/>
      <c r="AR812" s="1618"/>
      <c r="AS812" s="1618"/>
      <c r="AT812" s="1618"/>
      <c r="AU812" s="1618"/>
      <c r="AV812" s="1618"/>
      <c r="AW812" s="1618"/>
      <c r="AX812" s="1618"/>
      <c r="AY812" s="1618"/>
      <c r="AZ812" s="1618"/>
    </row>
    <row r="813" spans="1:53" ht="15.75">
      <c r="B813" s="287" t="s">
        <v>3233</v>
      </c>
      <c r="C813" s="1667" t="s">
        <v>3234</v>
      </c>
      <c r="D813" s="1667"/>
      <c r="E813" s="1667"/>
      <c r="F813" s="1667"/>
      <c r="G813" s="1667"/>
      <c r="H813" s="1667"/>
      <c r="I813" s="1667"/>
      <c r="J813" s="1667"/>
      <c r="K813" s="1667"/>
      <c r="L813" s="1667"/>
      <c r="M813" s="1667"/>
      <c r="N813" s="1667"/>
      <c r="O813" s="1667"/>
      <c r="P813" s="1667"/>
      <c r="Q813" s="1667"/>
      <c r="R813" s="1667"/>
      <c r="S813" s="1667"/>
      <c r="T813" s="1667"/>
      <c r="U813" s="1667"/>
      <c r="V813" s="1667"/>
      <c r="W813" s="1667"/>
      <c r="X813" s="1667"/>
      <c r="Y813" s="1667"/>
      <c r="Z813" s="1667"/>
      <c r="AA813" s="1667"/>
      <c r="AB813" s="1667"/>
      <c r="AC813" s="1667"/>
      <c r="AD813" s="1667"/>
      <c r="AE813" s="1667"/>
      <c r="AF813" s="1667"/>
      <c r="AG813" s="1667"/>
      <c r="AH813" s="1667"/>
      <c r="AI813" s="1667"/>
      <c r="AJ813" s="1667"/>
      <c r="AK813" s="1667"/>
      <c r="AL813" s="1667"/>
      <c r="AM813" s="1667"/>
      <c r="AN813" s="1667"/>
      <c r="AO813" s="1667"/>
      <c r="AP813" s="1667"/>
      <c r="AQ813" s="1667"/>
      <c r="AR813" s="1667"/>
      <c r="AS813" s="1667"/>
      <c r="AT813" s="1667"/>
      <c r="AU813" s="1667"/>
      <c r="AV813" s="1667"/>
      <c r="AW813" s="1667"/>
      <c r="AX813" s="1667"/>
      <c r="AY813" s="1667"/>
      <c r="AZ813" s="1667"/>
    </row>
    <row r="815" spans="1:53" hidden="1">
      <c r="AW815" s="1663"/>
      <c r="AX815" s="1663"/>
      <c r="AY815" s="1663"/>
      <c r="AZ815" s="1663"/>
      <c r="BA815" s="1663"/>
    </row>
    <row r="816" spans="1:53">
      <c r="AW816" s="1663"/>
      <c r="AX816" s="1663"/>
      <c r="AY816" s="1663"/>
      <c r="AZ816" s="1663"/>
      <c r="BA816" s="1663"/>
    </row>
  </sheetData>
  <sheetProtection formatCells="0" formatColumns="0" formatRows="0" insertColumns="0" insertRows="0" insertHyperlinks="0"/>
  <dataConsolidate/>
  <mergeCells count="3837">
    <mergeCell ref="U10:AM10"/>
    <mergeCell ref="AK456:AN456"/>
    <mergeCell ref="AA456:AC456"/>
    <mergeCell ref="AD417:AJ417"/>
    <mergeCell ref="AK473:AN473"/>
    <mergeCell ref="X456:Z456"/>
    <mergeCell ref="AW479:AZ479"/>
    <mergeCell ref="AG483:AJ483"/>
    <mergeCell ref="X475:Z475"/>
    <mergeCell ref="AO475:AR475"/>
    <mergeCell ref="AS475:AV475"/>
    <mergeCell ref="AO474:AR474"/>
    <mergeCell ref="AA475:AC475"/>
    <mergeCell ref="AA472:AC472"/>
    <mergeCell ref="AA473:AC473"/>
    <mergeCell ref="AG471:AJ471"/>
    <mergeCell ref="AS463:AV463"/>
    <mergeCell ref="AA439:AC439"/>
    <mergeCell ref="AA438:AC438"/>
    <mergeCell ref="AG439:AJ439"/>
    <mergeCell ref="AS482:AV482"/>
    <mergeCell ref="AM123:AS123"/>
    <mergeCell ref="AO473:AR473"/>
    <mergeCell ref="AO471:AR471"/>
    <mergeCell ref="AS471:AV471"/>
    <mergeCell ref="AW471:AZ471"/>
    <mergeCell ref="AF316:AZ316"/>
    <mergeCell ref="AF317:AZ317"/>
    <mergeCell ref="AJ326:AO326"/>
    <mergeCell ref="AF318:AZ318"/>
    <mergeCell ref="AF319:AZ319"/>
    <mergeCell ref="AF314:AZ314"/>
    <mergeCell ref="S785:AB785"/>
    <mergeCell ref="Q786:R786"/>
    <mergeCell ref="S786:AB786"/>
    <mergeCell ref="Q787:R787"/>
    <mergeCell ref="S787:AB787"/>
    <mergeCell ref="AW445:AZ445"/>
    <mergeCell ref="AW449:AZ449"/>
    <mergeCell ref="AG451:AJ451"/>
    <mergeCell ref="AS472:AV472"/>
    <mergeCell ref="AG467:AJ467"/>
    <mergeCell ref="C808:AZ808"/>
    <mergeCell ref="C809:AZ809"/>
    <mergeCell ref="C810:AZ810"/>
    <mergeCell ref="C811:AZ811"/>
    <mergeCell ref="C813:AZ813"/>
    <mergeCell ref="B517:AZ517"/>
    <mergeCell ref="AT509:AZ509"/>
    <mergeCell ref="AR506:AS506"/>
    <mergeCell ref="AE529:AF529"/>
    <mergeCell ref="AR509:AS509"/>
    <mergeCell ref="AW451:AZ451"/>
    <mergeCell ref="AW450:AZ450"/>
    <mergeCell ref="P617:T617"/>
    <mergeCell ref="U524:V524"/>
    <mergeCell ref="W524:X524"/>
    <mergeCell ref="AN512:AO512"/>
    <mergeCell ref="AT513:AZ513"/>
    <mergeCell ref="AG527:AH527"/>
    <mergeCell ref="AS523:AZ523"/>
    <mergeCell ref="AE525:AF525"/>
    <mergeCell ref="B525:T525"/>
    <mergeCell ref="U525:V525"/>
    <mergeCell ref="BA255:BA257"/>
    <mergeCell ref="J5:Z5"/>
    <mergeCell ref="AW815:BA816"/>
    <mergeCell ref="V492:AS492"/>
    <mergeCell ref="Y539:AV539"/>
    <mergeCell ref="W618:X618"/>
    <mergeCell ref="U618:V618"/>
    <mergeCell ref="AI617:AJ617"/>
    <mergeCell ref="AG617:AH617"/>
    <mergeCell ref="AE617:AF617"/>
    <mergeCell ref="AC617:AD617"/>
    <mergeCell ref="AC754:AN788"/>
    <mergeCell ref="AG618:AH618"/>
    <mergeCell ref="AE618:AF618"/>
    <mergeCell ref="AK448:AN448"/>
    <mergeCell ref="AO448:AR448"/>
    <mergeCell ref="AO754:AZ788"/>
    <mergeCell ref="Q785:R785"/>
    <mergeCell ref="AA468:AC468"/>
    <mergeCell ref="AD468:AF468"/>
    <mergeCell ref="AQ617:AR617"/>
    <mergeCell ref="AT512:AZ512"/>
    <mergeCell ref="AT510:AZ510"/>
    <mergeCell ref="Q788:R788"/>
    <mergeCell ref="S788:AB788"/>
    <mergeCell ref="Q764:R764"/>
    <mergeCell ref="AQ618:AR618"/>
    <mergeCell ref="AD379:AJ379"/>
    <mergeCell ref="AD380:AJ380"/>
    <mergeCell ref="AW483:AZ483"/>
    <mergeCell ref="AS466:AV466"/>
    <mergeCell ref="AT511:AZ511"/>
    <mergeCell ref="AW481:AZ481"/>
    <mergeCell ref="F491:I491"/>
    <mergeCell ref="U484:W484"/>
    <mergeCell ref="X484:Z484"/>
    <mergeCell ref="U529:V529"/>
    <mergeCell ref="B677:I677"/>
    <mergeCell ref="O703:R703"/>
    <mergeCell ref="X694:AF694"/>
    <mergeCell ref="AG694:AN694"/>
    <mergeCell ref="AO527:AP527"/>
    <mergeCell ref="AQ527:AR527"/>
    <mergeCell ref="AU491:BB491"/>
    <mergeCell ref="AM619:AN619"/>
    <mergeCell ref="AO619:AP619"/>
    <mergeCell ref="AQ619:AR619"/>
    <mergeCell ref="AS619:AZ619"/>
    <mergeCell ref="AA529:AB529"/>
    <mergeCell ref="U526:V526"/>
    <mergeCell ref="B527:T527"/>
    <mergeCell ref="AM528:AN528"/>
    <mergeCell ref="W529:X529"/>
    <mergeCell ref="U527:V527"/>
    <mergeCell ref="AG693:AN693"/>
    <mergeCell ref="AK481:AN481"/>
    <mergeCell ref="AO481:AR481"/>
    <mergeCell ref="AO484:AR484"/>
    <mergeCell ref="AS484:AV484"/>
    <mergeCell ref="AW484:AZ484"/>
    <mergeCell ref="AW474:AZ474"/>
    <mergeCell ref="AK476:AN476"/>
    <mergeCell ref="AS461:AV461"/>
    <mergeCell ref="AS617:AZ617"/>
    <mergeCell ref="AW461:AZ461"/>
    <mergeCell ref="AS616:AZ616"/>
    <mergeCell ref="AQ616:AR616"/>
    <mergeCell ref="U619:V619"/>
    <mergeCell ref="W619:X619"/>
    <mergeCell ref="Y619:Z619"/>
    <mergeCell ref="Q669:AT669"/>
    <mergeCell ref="AL673:AN673"/>
    <mergeCell ref="AO673:AQ673"/>
    <mergeCell ref="B524:T524"/>
    <mergeCell ref="W525:X525"/>
    <mergeCell ref="B526:T526"/>
    <mergeCell ref="AN514:AO514"/>
    <mergeCell ref="AR512:AS512"/>
    <mergeCell ref="AO617:AP617"/>
    <mergeCell ref="AM617:AN617"/>
    <mergeCell ref="P618:T618"/>
    <mergeCell ref="W527:X527"/>
    <mergeCell ref="B528:T528"/>
    <mergeCell ref="U528:V528"/>
    <mergeCell ref="AA531:AB531"/>
    <mergeCell ref="AM618:AN618"/>
    <mergeCell ref="AI618:AJ618"/>
    <mergeCell ref="B480:P480"/>
    <mergeCell ref="AS481:AV481"/>
    <mergeCell ref="Y729:AE729"/>
    <mergeCell ref="R729:X729"/>
    <mergeCell ref="W706:AE706"/>
    <mergeCell ref="Q742:AB743"/>
    <mergeCell ref="B619:O619"/>
    <mergeCell ref="P619:T619"/>
    <mergeCell ref="AC529:AD529"/>
    <mergeCell ref="X476:Z476"/>
    <mergeCell ref="B637:AC637"/>
    <mergeCell ref="B723:M723"/>
    <mergeCell ref="AA484:AC484"/>
    <mergeCell ref="AD484:AF484"/>
    <mergeCell ref="U483:W483"/>
    <mergeCell ref="X483:Z483"/>
    <mergeCell ref="B731:Q731"/>
    <mergeCell ref="B720:M720"/>
    <mergeCell ref="AA721:AE721"/>
    <mergeCell ref="B732:Q732"/>
    <mergeCell ref="Y737:AE737"/>
    <mergeCell ref="O706:R706"/>
    <mergeCell ref="W707:AE707"/>
    <mergeCell ref="S703:V703"/>
    <mergeCell ref="B706:K706"/>
    <mergeCell ref="AF703:AZ703"/>
    <mergeCell ref="AF701:AZ701"/>
    <mergeCell ref="S705:V705"/>
    <mergeCell ref="Y732:AE732"/>
    <mergeCell ref="B707:K707"/>
    <mergeCell ref="R737:X737"/>
    <mergeCell ref="AN509:AO509"/>
    <mergeCell ref="AP502:AQ502"/>
    <mergeCell ref="B675:AZ675"/>
    <mergeCell ref="N723:Z723"/>
    <mergeCell ref="B719:M719"/>
    <mergeCell ref="X693:AF693"/>
    <mergeCell ref="R714:AE714"/>
    <mergeCell ref="AA722:AE722"/>
    <mergeCell ref="W703:AE703"/>
    <mergeCell ref="B699:AZ699"/>
    <mergeCell ref="B705:K705"/>
    <mergeCell ref="L705:N705"/>
    <mergeCell ref="B722:M722"/>
    <mergeCell ref="N722:Z722"/>
    <mergeCell ref="AA720:AE720"/>
    <mergeCell ref="B721:M721"/>
    <mergeCell ref="B701:K701"/>
    <mergeCell ref="S678:W678"/>
    <mergeCell ref="N718:Z718"/>
    <mergeCell ref="AA718:AE718"/>
    <mergeCell ref="N720:Z720"/>
    <mergeCell ref="AC747:AN753"/>
    <mergeCell ref="Y618:Z618"/>
    <mergeCell ref="AC742:AN743"/>
    <mergeCell ref="Z747:AB747"/>
    <mergeCell ref="B718:M718"/>
    <mergeCell ref="AG619:AH619"/>
    <mergeCell ref="AI619:AJ619"/>
    <mergeCell ref="AK619:AL619"/>
    <mergeCell ref="B673:P673"/>
    <mergeCell ref="B617:O617"/>
    <mergeCell ref="Z753:AB753"/>
    <mergeCell ref="Z752:AB752"/>
    <mergeCell ref="B747:F753"/>
    <mergeCell ref="Q747:Y747"/>
    <mergeCell ref="L706:N706"/>
    <mergeCell ref="AA719:AE719"/>
    <mergeCell ref="B710:AZ710"/>
    <mergeCell ref="B712:Q712"/>
    <mergeCell ref="B714:Q714"/>
    <mergeCell ref="B716:AZ716"/>
    <mergeCell ref="T672:V672"/>
    <mergeCell ref="N721:Z721"/>
    <mergeCell ref="B696:R696"/>
    <mergeCell ref="S696:W696"/>
    <mergeCell ref="AL672:AN672"/>
    <mergeCell ref="AF673:AH673"/>
    <mergeCell ref="O702:R702"/>
    <mergeCell ref="S702:V702"/>
    <mergeCell ref="AF707:AZ707"/>
    <mergeCell ref="R730:X730"/>
    <mergeCell ref="Y730:AE730"/>
    <mergeCell ref="G749:P749"/>
    <mergeCell ref="U489:V489"/>
    <mergeCell ref="O489:P489"/>
    <mergeCell ref="AK483:AN483"/>
    <mergeCell ref="AA478:AC478"/>
    <mergeCell ref="AD478:AF478"/>
    <mergeCell ref="W526:X526"/>
    <mergeCell ref="AL510:AM510"/>
    <mergeCell ref="AL507:AM507"/>
    <mergeCell ref="AF515:AG515"/>
    <mergeCell ref="AA482:AC482"/>
    <mergeCell ref="AK479:AN479"/>
    <mergeCell ref="Q482:T482"/>
    <mergeCell ref="U478:W478"/>
    <mergeCell ref="AL514:AM514"/>
    <mergeCell ref="AK484:AN484"/>
    <mergeCell ref="AG484:AJ484"/>
    <mergeCell ref="U479:W479"/>
    <mergeCell ref="X479:Z479"/>
    <mergeCell ref="AC526:AD526"/>
    <mergeCell ref="AE526:AF526"/>
    <mergeCell ref="AJ514:AK514"/>
    <mergeCell ref="AH511:AI511"/>
    <mergeCell ref="Y525:Z525"/>
    <mergeCell ref="AJ509:AK509"/>
    <mergeCell ref="AD513:AE513"/>
    <mergeCell ref="AF513:AG513"/>
    <mergeCell ref="AF512:AG512"/>
    <mergeCell ref="AB513:AC513"/>
    <mergeCell ref="AH512:AI512"/>
    <mergeCell ref="AG480:AJ480"/>
    <mergeCell ref="X481:Z481"/>
    <mergeCell ref="AA480:AC480"/>
    <mergeCell ref="AA481:AC481"/>
    <mergeCell ref="AS483:AV483"/>
    <mergeCell ref="U473:W473"/>
    <mergeCell ref="AO479:AR479"/>
    <mergeCell ref="Q481:T481"/>
    <mergeCell ref="AD481:AF481"/>
    <mergeCell ref="AG481:AJ481"/>
    <mergeCell ref="AA479:AC479"/>
    <mergeCell ref="B466:P466"/>
    <mergeCell ref="AD471:AF471"/>
    <mergeCell ref="B469:P469"/>
    <mergeCell ref="B470:P470"/>
    <mergeCell ref="AG476:AJ476"/>
    <mergeCell ref="Q470:T470"/>
    <mergeCell ref="U476:W476"/>
    <mergeCell ref="X473:Z473"/>
    <mergeCell ref="Q479:T479"/>
    <mergeCell ref="X467:Z467"/>
    <mergeCell ref="U471:W471"/>
    <mergeCell ref="AG472:AJ472"/>
    <mergeCell ref="U466:W466"/>
    <mergeCell ref="X466:Z466"/>
    <mergeCell ref="AG466:AJ466"/>
    <mergeCell ref="Q466:T466"/>
    <mergeCell ref="AK482:AN482"/>
    <mergeCell ref="AD483:AF483"/>
    <mergeCell ref="AS479:AV479"/>
    <mergeCell ref="Q483:T483"/>
    <mergeCell ref="B662:P663"/>
    <mergeCell ref="B531:T531"/>
    <mergeCell ref="U531:V531"/>
    <mergeCell ref="Y529:Z529"/>
    <mergeCell ref="AS618:AZ618"/>
    <mergeCell ref="Q476:T476"/>
    <mergeCell ref="AW478:AZ478"/>
    <mergeCell ref="AW473:AZ473"/>
    <mergeCell ref="AW472:AZ472"/>
    <mergeCell ref="AC619:AD619"/>
    <mergeCell ref="AE619:AF619"/>
    <mergeCell ref="AA619:AB619"/>
    <mergeCell ref="AG468:AJ468"/>
    <mergeCell ref="AG469:AJ469"/>
    <mergeCell ref="AG470:AJ470"/>
    <mergeCell ref="U469:W469"/>
    <mergeCell ref="B467:P467"/>
    <mergeCell ref="AD469:AF469"/>
    <mergeCell ref="U467:W467"/>
    <mergeCell ref="B484:P484"/>
    <mergeCell ref="Q484:T484"/>
    <mergeCell ref="B471:P471"/>
    <mergeCell ref="AD480:AF480"/>
    <mergeCell ref="B478:P478"/>
    <mergeCell ref="Q478:T478"/>
    <mergeCell ref="B479:P479"/>
    <mergeCell ref="AA471:AC471"/>
    <mergeCell ref="B476:P476"/>
    <mergeCell ref="B475:P475"/>
    <mergeCell ref="B477:AZ477"/>
    <mergeCell ref="AS474:AV474"/>
    <mergeCell ref="Q480:T480"/>
    <mergeCell ref="U474:W474"/>
    <mergeCell ref="U475:W475"/>
    <mergeCell ref="Q475:T475"/>
    <mergeCell ref="X472:Z472"/>
    <mergeCell ref="AG479:AJ479"/>
    <mergeCell ref="B473:P473"/>
    <mergeCell ref="AA476:AC476"/>
    <mergeCell ref="Q474:T474"/>
    <mergeCell ref="AK468:AN468"/>
    <mergeCell ref="AO468:AR468"/>
    <mergeCell ref="AD394:AJ394"/>
    <mergeCell ref="AD402:AJ402"/>
    <mergeCell ref="Q465:T465"/>
    <mergeCell ref="AD466:AF466"/>
    <mergeCell ref="AO466:AR466"/>
    <mergeCell ref="AO464:AR464"/>
    <mergeCell ref="AG458:AJ458"/>
    <mergeCell ref="AO458:AR458"/>
    <mergeCell ref="AK466:AN466"/>
    <mergeCell ref="AA453:AC453"/>
    <mergeCell ref="AD453:AF453"/>
    <mergeCell ref="X463:Z463"/>
    <mergeCell ref="U461:W461"/>
    <mergeCell ref="AO465:AR465"/>
    <mergeCell ref="Q449:T449"/>
    <mergeCell ref="AD409:AJ409"/>
    <mergeCell ref="AK440:AN440"/>
    <mergeCell ref="AO440:AR440"/>
    <mergeCell ref="AA440:AC440"/>
    <mergeCell ref="AK465:AN465"/>
    <mergeCell ref="U453:W453"/>
    <mergeCell ref="AA450:AC450"/>
    <mergeCell ref="AD450:AF450"/>
    <mergeCell ref="X449:Z449"/>
    <mergeCell ref="AK464:AN464"/>
    <mergeCell ref="AG465:AJ465"/>
    <mergeCell ref="AD465:AF465"/>
    <mergeCell ref="X450:Z450"/>
    <mergeCell ref="AG450:AJ450"/>
    <mergeCell ref="X457:Z457"/>
    <mergeCell ref="B462:AZ462"/>
    <mergeCell ref="X461:Z461"/>
    <mergeCell ref="U451:W451"/>
    <mergeCell ref="U449:W449"/>
    <mergeCell ref="AK452:AN452"/>
    <mergeCell ref="AO452:AR452"/>
    <mergeCell ref="B461:P461"/>
    <mergeCell ref="B460:P460"/>
    <mergeCell ref="AD435:AF435"/>
    <mergeCell ref="B436:AZ436"/>
    <mergeCell ref="AD412:AJ412"/>
    <mergeCell ref="Q437:T437"/>
    <mergeCell ref="B455:AZ455"/>
    <mergeCell ref="U456:W456"/>
    <mergeCell ref="AG457:AJ457"/>
    <mergeCell ref="AA459:AC459"/>
    <mergeCell ref="AD459:AF459"/>
    <mergeCell ref="U457:W457"/>
    <mergeCell ref="AA458:AC458"/>
    <mergeCell ref="U458:W458"/>
    <mergeCell ref="AS450:AV450"/>
    <mergeCell ref="AO445:AR445"/>
    <mergeCell ref="AS456:AV456"/>
    <mergeCell ref="AD460:AF460"/>
    <mergeCell ref="X464:Z464"/>
    <mergeCell ref="AK401:AW401"/>
    <mergeCell ref="Y410:AC410"/>
    <mergeCell ref="AD410:AJ410"/>
    <mergeCell ref="Y411:AC411"/>
    <mergeCell ref="X459:Z459"/>
    <mergeCell ref="Q463:T463"/>
    <mergeCell ref="Q459:T459"/>
    <mergeCell ref="Q460:T460"/>
    <mergeCell ref="U463:W463"/>
    <mergeCell ref="B459:P459"/>
    <mergeCell ref="X458:Z458"/>
    <mergeCell ref="X460:Z460"/>
    <mergeCell ref="AO456:AR456"/>
    <mergeCell ref="AW456:AZ456"/>
    <mergeCell ref="U459:W459"/>
    <mergeCell ref="AD389:AJ389"/>
    <mergeCell ref="Y389:AC389"/>
    <mergeCell ref="AD393:AJ393"/>
    <mergeCell ref="AK390:AW390"/>
    <mergeCell ref="AO437:AR437"/>
    <mergeCell ref="AS435:AV435"/>
    <mergeCell ref="AO435:AR435"/>
    <mergeCell ref="Y419:AC419"/>
    <mergeCell ref="AD419:AJ419"/>
    <mergeCell ref="Q435:T435"/>
    <mergeCell ref="AA434:AC434"/>
    <mergeCell ref="Q433:T433"/>
    <mergeCell ref="N412:X412"/>
    <mergeCell ref="AA428:AF428"/>
    <mergeCell ref="AG428:AJ429"/>
    <mergeCell ref="X435:Z435"/>
    <mergeCell ref="U433:W433"/>
    <mergeCell ref="X437:Z437"/>
    <mergeCell ref="AD392:AJ392"/>
    <mergeCell ref="N394:X394"/>
    <mergeCell ref="N395:X395"/>
    <mergeCell ref="AD388:AJ388"/>
    <mergeCell ref="Q439:T439"/>
    <mergeCell ref="Y409:AC409"/>
    <mergeCell ref="AW439:AZ439"/>
    <mergeCell ref="AA437:AC437"/>
    <mergeCell ref="AD437:AF437"/>
    <mergeCell ref="AW437:AZ437"/>
    <mergeCell ref="AO438:AR438"/>
    <mergeCell ref="AS438:AV438"/>
    <mergeCell ref="AA435:AC435"/>
    <mergeCell ref="U435:W435"/>
    <mergeCell ref="AG437:AJ437"/>
    <mergeCell ref="AS437:AV437"/>
    <mergeCell ref="AK397:AW397"/>
    <mergeCell ref="AD397:AJ397"/>
    <mergeCell ref="AW429:AZ429"/>
    <mergeCell ref="N398:X398"/>
    <mergeCell ref="N403:X403"/>
    <mergeCell ref="N409:X409"/>
    <mergeCell ref="N406:X406"/>
    <mergeCell ref="U437:W437"/>
    <mergeCell ref="U438:W438"/>
    <mergeCell ref="AW435:AZ435"/>
    <mergeCell ref="Y392:AC392"/>
    <mergeCell ref="AK437:AN437"/>
    <mergeCell ref="AK439:AN439"/>
    <mergeCell ref="AO439:AR439"/>
    <mergeCell ref="AS439:AV439"/>
    <mergeCell ref="B438:P438"/>
    <mergeCell ref="B440:P440"/>
    <mergeCell ref="Q445:T445"/>
    <mergeCell ref="B442:P442"/>
    <mergeCell ref="U445:W445"/>
    <mergeCell ref="AD451:AF451"/>
    <mergeCell ref="AA449:AC449"/>
    <mergeCell ref="AD449:AF449"/>
    <mergeCell ref="B450:P450"/>
    <mergeCell ref="B451:P451"/>
    <mergeCell ref="AK443:AN443"/>
    <mergeCell ref="AG440:AJ440"/>
    <mergeCell ref="X439:Z439"/>
    <mergeCell ref="AG443:AJ443"/>
    <mergeCell ref="AK441:AN441"/>
    <mergeCell ref="AK438:AN438"/>
    <mergeCell ref="C393:M398"/>
    <mergeCell ref="N401:X402"/>
    <mergeCell ref="N399:X400"/>
    <mergeCell ref="B435:P435"/>
    <mergeCell ref="AD439:AF439"/>
    <mergeCell ref="B437:P437"/>
    <mergeCell ref="AK404:AW404"/>
    <mergeCell ref="AG438:AJ438"/>
    <mergeCell ref="Q438:T438"/>
    <mergeCell ref="AO434:AR434"/>
    <mergeCell ref="AS434:AV434"/>
    <mergeCell ref="AS431:AV431"/>
    <mergeCell ref="AK396:AW396"/>
    <mergeCell ref="Y399:AC399"/>
    <mergeCell ref="AD399:AJ399"/>
    <mergeCell ref="Y401:AC401"/>
    <mergeCell ref="U460:W460"/>
    <mergeCell ref="AA466:AC466"/>
    <mergeCell ref="AA464:AC464"/>
    <mergeCell ref="AD464:AF464"/>
    <mergeCell ref="AA457:AC457"/>
    <mergeCell ref="AS464:AV464"/>
    <mergeCell ref="AS454:AV454"/>
    <mergeCell ref="AW464:AZ464"/>
    <mergeCell ref="AS465:AV465"/>
    <mergeCell ref="AW465:AZ465"/>
    <mergeCell ref="AK458:AN458"/>
    <mergeCell ref="AD461:AF461"/>
    <mergeCell ref="AG461:AJ461"/>
    <mergeCell ref="AK461:AN461"/>
    <mergeCell ref="AO461:AR461"/>
    <mergeCell ref="U440:W440"/>
    <mergeCell ref="AW441:AZ441"/>
    <mergeCell ref="AD440:AF440"/>
    <mergeCell ref="AS440:AV440"/>
    <mergeCell ref="AS451:AV451"/>
    <mergeCell ref="U443:W443"/>
    <mergeCell ref="U447:W447"/>
    <mergeCell ref="X447:Z447"/>
    <mergeCell ref="AD445:AF445"/>
    <mergeCell ref="AW454:AZ454"/>
    <mergeCell ref="AA454:AC454"/>
    <mergeCell ref="AW463:AZ463"/>
    <mergeCell ref="AK449:AN449"/>
    <mergeCell ref="AS458:AV458"/>
    <mergeCell ref="AW458:AZ458"/>
    <mergeCell ref="AK459:AN459"/>
    <mergeCell ref="AO459:AR459"/>
    <mergeCell ref="AW457:AZ457"/>
    <mergeCell ref="AK454:AN454"/>
    <mergeCell ref="AO449:AR449"/>
    <mergeCell ref="AG446:AJ446"/>
    <mergeCell ref="AG449:AJ449"/>
    <mergeCell ref="AG460:AJ460"/>
    <mergeCell ref="X453:Z453"/>
    <mergeCell ref="AS453:AV453"/>
    <mergeCell ref="AG463:AJ463"/>
    <mergeCell ref="AA461:AC461"/>
    <mergeCell ref="AK457:AN457"/>
    <mergeCell ref="AO457:AR457"/>
    <mergeCell ref="AS457:AV457"/>
    <mergeCell ref="AO453:AR453"/>
    <mergeCell ref="AS452:AV452"/>
    <mergeCell ref="AS449:AV449"/>
    <mergeCell ref="X451:Z451"/>
    <mergeCell ref="AO463:AR463"/>
    <mergeCell ref="AO460:AR460"/>
    <mergeCell ref="AA460:AC460"/>
    <mergeCell ref="AG459:AJ459"/>
    <mergeCell ref="AD454:AF454"/>
    <mergeCell ref="AA451:AC451"/>
    <mergeCell ref="AW452:AZ452"/>
    <mergeCell ref="AS447:AV447"/>
    <mergeCell ref="AW447:AZ447"/>
    <mergeCell ref="AK446:AN446"/>
    <mergeCell ref="AO446:AR446"/>
    <mergeCell ref="AS446:AV446"/>
    <mergeCell ref="X446:Z446"/>
    <mergeCell ref="AA446:AC446"/>
    <mergeCell ref="AA447:AC447"/>
    <mergeCell ref="AO454:AR454"/>
    <mergeCell ref="AD446:AF446"/>
    <mergeCell ref="X441:Z441"/>
    <mergeCell ref="AD442:AF442"/>
    <mergeCell ref="AW440:AZ440"/>
    <mergeCell ref="AS445:AV445"/>
    <mergeCell ref="AK442:AN442"/>
    <mergeCell ref="AA445:AC445"/>
    <mergeCell ref="AS442:AV442"/>
    <mergeCell ref="N419:X419"/>
    <mergeCell ref="Q453:T453"/>
    <mergeCell ref="AA448:AC448"/>
    <mergeCell ref="AD448:AF448"/>
    <mergeCell ref="Q452:T452"/>
    <mergeCell ref="Q451:T451"/>
    <mergeCell ref="AD438:AF438"/>
    <mergeCell ref="B444:AZ444"/>
    <mergeCell ref="AG448:AJ448"/>
    <mergeCell ref="AQ423:AV423"/>
    <mergeCell ref="B427:AZ427"/>
    <mergeCell ref="AS428:AZ428"/>
    <mergeCell ref="B446:P446"/>
    <mergeCell ref="B447:P447"/>
    <mergeCell ref="Q446:T446"/>
    <mergeCell ref="U441:W441"/>
    <mergeCell ref="X443:Z443"/>
    <mergeCell ref="X442:Z442"/>
    <mergeCell ref="AG441:AJ441"/>
    <mergeCell ref="AD447:AF447"/>
    <mergeCell ref="U450:W450"/>
    <mergeCell ref="B443:P443"/>
    <mergeCell ref="X445:Z445"/>
    <mergeCell ref="AS448:AV448"/>
    <mergeCell ref="AW438:AZ438"/>
    <mergeCell ref="AW442:AZ442"/>
    <mergeCell ref="AW446:AZ446"/>
    <mergeCell ref="U439:W439"/>
    <mergeCell ref="AW448:AZ448"/>
    <mergeCell ref="AG447:AJ447"/>
    <mergeCell ref="U448:W448"/>
    <mergeCell ref="AK450:AN450"/>
    <mergeCell ref="AO450:AR450"/>
    <mergeCell ref="AG453:AJ453"/>
    <mergeCell ref="AA452:AC452"/>
    <mergeCell ref="AD452:AF452"/>
    <mergeCell ref="U446:W446"/>
    <mergeCell ref="AK453:AN453"/>
    <mergeCell ref="AW453:AZ453"/>
    <mergeCell ref="AO451:AR451"/>
    <mergeCell ref="X440:Z440"/>
    <mergeCell ref="AK451:AN451"/>
    <mergeCell ref="AK447:AN447"/>
    <mergeCell ref="AG442:AJ442"/>
    <mergeCell ref="X438:Z438"/>
    <mergeCell ref="AS443:AV443"/>
    <mergeCell ref="AK445:AN445"/>
    <mergeCell ref="AS441:AV441"/>
    <mergeCell ref="AO443:AR443"/>
    <mergeCell ref="AO442:AR442"/>
    <mergeCell ref="AW443:AZ443"/>
    <mergeCell ref="AO441:AR441"/>
    <mergeCell ref="AA442:AC442"/>
    <mergeCell ref="AD458:AF458"/>
    <mergeCell ref="X465:Z465"/>
    <mergeCell ref="AA465:AC465"/>
    <mergeCell ref="U465:W465"/>
    <mergeCell ref="U464:W464"/>
    <mergeCell ref="AD441:AF441"/>
    <mergeCell ref="Q440:T440"/>
    <mergeCell ref="B441:P441"/>
    <mergeCell ref="Q441:T441"/>
    <mergeCell ref="AA441:AC441"/>
    <mergeCell ref="B463:P463"/>
    <mergeCell ref="B465:P465"/>
    <mergeCell ref="U442:W442"/>
    <mergeCell ref="AA443:AC443"/>
    <mergeCell ref="AD443:AF443"/>
    <mergeCell ref="AG445:AJ445"/>
    <mergeCell ref="B448:P448"/>
    <mergeCell ref="X448:Z448"/>
    <mergeCell ref="B452:P452"/>
    <mergeCell ref="B449:P449"/>
    <mergeCell ref="B445:P445"/>
    <mergeCell ref="B457:P457"/>
    <mergeCell ref="B464:P464"/>
    <mergeCell ref="Q450:T450"/>
    <mergeCell ref="U452:W452"/>
    <mergeCell ref="Q464:T464"/>
    <mergeCell ref="Q457:T457"/>
    <mergeCell ref="AG456:AJ456"/>
    <mergeCell ref="Q454:T454"/>
    <mergeCell ref="AG454:AJ454"/>
    <mergeCell ref="X454:Z454"/>
    <mergeCell ref="U454:W454"/>
    <mergeCell ref="AD403:AJ403"/>
    <mergeCell ref="U428:Z428"/>
    <mergeCell ref="AD384:AJ384"/>
    <mergeCell ref="AG434:AJ434"/>
    <mergeCell ref="AA463:AC463"/>
    <mergeCell ref="AD463:AF463"/>
    <mergeCell ref="AD456:AF456"/>
    <mergeCell ref="AD457:AF457"/>
    <mergeCell ref="Q443:T443"/>
    <mergeCell ref="Q447:T447"/>
    <mergeCell ref="Q434:T434"/>
    <mergeCell ref="U434:W434"/>
    <mergeCell ref="X434:Z434"/>
    <mergeCell ref="X452:Z452"/>
    <mergeCell ref="AG452:AJ452"/>
    <mergeCell ref="B434:P434"/>
    <mergeCell ref="AK434:AN434"/>
    <mergeCell ref="Q448:T448"/>
    <mergeCell ref="Q458:T458"/>
    <mergeCell ref="AK463:AN463"/>
    <mergeCell ref="Q461:T461"/>
    <mergeCell ref="B458:P458"/>
    <mergeCell ref="AK428:AR428"/>
    <mergeCell ref="B453:P453"/>
    <mergeCell ref="B454:P454"/>
    <mergeCell ref="B456:P456"/>
    <mergeCell ref="Q456:T456"/>
    <mergeCell ref="Q442:T442"/>
    <mergeCell ref="B439:P439"/>
    <mergeCell ref="AO447:AR447"/>
    <mergeCell ref="AA429:AC429"/>
    <mergeCell ref="AA431:AC431"/>
    <mergeCell ref="C413:M419"/>
    <mergeCell ref="Y414:AC414"/>
    <mergeCell ref="AD414:AJ414"/>
    <mergeCell ref="AE423:AJ423"/>
    <mergeCell ref="U429:W429"/>
    <mergeCell ref="X429:Z429"/>
    <mergeCell ref="AK431:AN431"/>
    <mergeCell ref="Q423:W423"/>
    <mergeCell ref="Y416:AC416"/>
    <mergeCell ref="AD416:AJ416"/>
    <mergeCell ref="N416:X416"/>
    <mergeCell ref="AD411:AJ411"/>
    <mergeCell ref="Y413:AC413"/>
    <mergeCell ref="AD413:AJ413"/>
    <mergeCell ref="AK423:AP423"/>
    <mergeCell ref="Y405:AC405"/>
    <mergeCell ref="AD407:AJ407"/>
    <mergeCell ref="AD415:AJ415"/>
    <mergeCell ref="Y417:AC417"/>
    <mergeCell ref="AD405:AJ405"/>
    <mergeCell ref="AH420:AK420"/>
    <mergeCell ref="N410:X410"/>
    <mergeCell ref="N411:X411"/>
    <mergeCell ref="Q428:T429"/>
    <mergeCell ref="Y407:AC407"/>
    <mergeCell ref="AK407:AW407"/>
    <mergeCell ref="AD386:AJ386"/>
    <mergeCell ref="Y403:AC403"/>
    <mergeCell ref="Y418:AC418"/>
    <mergeCell ref="AG433:AJ433"/>
    <mergeCell ref="B432:AZ432"/>
    <mergeCell ref="AO431:AR431"/>
    <mergeCell ref="B428:P429"/>
    <mergeCell ref="C399:M412"/>
    <mergeCell ref="AW431:AZ431"/>
    <mergeCell ref="AW433:AZ433"/>
    <mergeCell ref="N393:X393"/>
    <mergeCell ref="N396:X396"/>
    <mergeCell ref="N397:X397"/>
    <mergeCell ref="Y396:AC396"/>
    <mergeCell ref="AD433:AF433"/>
    <mergeCell ref="AK413:AW413"/>
    <mergeCell ref="AK414:AW414"/>
    <mergeCell ref="X431:Z431"/>
    <mergeCell ref="Y394:AC394"/>
    <mergeCell ref="Y395:AC395"/>
    <mergeCell ref="X433:Z433"/>
    <mergeCell ref="AS429:AV429"/>
    <mergeCell ref="AD431:AF431"/>
    <mergeCell ref="AK412:AW412"/>
    <mergeCell ref="AD408:AJ408"/>
    <mergeCell ref="AK408:AW408"/>
    <mergeCell ref="AD418:AJ418"/>
    <mergeCell ref="AD429:AF429"/>
    <mergeCell ref="AK429:AN429"/>
    <mergeCell ref="AO429:AR429"/>
    <mergeCell ref="AK402:AW402"/>
    <mergeCell ref="AK403:AW403"/>
    <mergeCell ref="Y391:AC391"/>
    <mergeCell ref="N404:X405"/>
    <mergeCell ref="N407:X408"/>
    <mergeCell ref="AA433:AC433"/>
    <mergeCell ref="Y412:AC412"/>
    <mergeCell ref="Y415:AC415"/>
    <mergeCell ref="N413:X414"/>
    <mergeCell ref="B433:P433"/>
    <mergeCell ref="N417:X418"/>
    <mergeCell ref="Q431:T431"/>
    <mergeCell ref="B430:AZ430"/>
    <mergeCell ref="AD387:AJ387"/>
    <mergeCell ref="AK394:AW394"/>
    <mergeCell ref="N415:X415"/>
    <mergeCell ref="AK395:AW395"/>
    <mergeCell ref="Y397:AC397"/>
    <mergeCell ref="AS460:AV460"/>
    <mergeCell ref="AW460:AZ460"/>
    <mergeCell ref="AD434:AF434"/>
    <mergeCell ref="AG435:AJ435"/>
    <mergeCell ref="X423:AD423"/>
    <mergeCell ref="Y393:AC393"/>
    <mergeCell ref="B431:P431"/>
    <mergeCell ref="U431:W431"/>
    <mergeCell ref="AD390:AJ390"/>
    <mergeCell ref="AD391:AJ391"/>
    <mergeCell ref="AG431:AJ431"/>
    <mergeCell ref="AO433:AR433"/>
    <mergeCell ref="AW434:AZ434"/>
    <mergeCell ref="AS433:AV433"/>
    <mergeCell ref="AK435:AN435"/>
    <mergeCell ref="AD401:AJ401"/>
    <mergeCell ref="AS470:AV470"/>
    <mergeCell ref="AW466:AZ466"/>
    <mergeCell ref="AW459:AZ459"/>
    <mergeCell ref="AK460:AN460"/>
    <mergeCell ref="AS469:AV469"/>
    <mergeCell ref="AT506:AZ506"/>
    <mergeCell ref="AR505:AS505"/>
    <mergeCell ref="AT508:AZ508"/>
    <mergeCell ref="AN508:AO508"/>
    <mergeCell ref="AP508:AQ508"/>
    <mergeCell ref="AR508:AS508"/>
    <mergeCell ref="AP507:AQ507"/>
    <mergeCell ref="AT505:AZ505"/>
    <mergeCell ref="AJ506:AK506"/>
    <mergeCell ref="AL506:AM506"/>
    <mergeCell ref="AW469:AZ469"/>
    <mergeCell ref="AW467:AZ467"/>
    <mergeCell ref="AP506:AQ506"/>
    <mergeCell ref="AL508:AM508"/>
    <mergeCell ref="AG475:AJ475"/>
    <mergeCell ref="AJ503:AK503"/>
    <mergeCell ref="AJ504:AK504"/>
    <mergeCell ref="AL504:AM504"/>
    <mergeCell ref="AN504:AO504"/>
    <mergeCell ref="AL503:AM503"/>
    <mergeCell ref="AP504:AQ504"/>
    <mergeCell ref="AW470:AZ470"/>
    <mergeCell ref="AO472:AR472"/>
    <mergeCell ref="AJ508:AK508"/>
    <mergeCell ref="AT501:AZ501"/>
    <mergeCell ref="AG464:AJ464"/>
    <mergeCell ref="AS459:AV459"/>
    <mergeCell ref="AA483:AC483"/>
    <mergeCell ref="AL511:AM511"/>
    <mergeCell ref="AN511:AO511"/>
    <mergeCell ref="AP514:AQ514"/>
    <mergeCell ref="AL513:AM513"/>
    <mergeCell ref="AQ526:AR526"/>
    <mergeCell ref="AI526:AJ526"/>
    <mergeCell ref="AK526:AL526"/>
    <mergeCell ref="AM526:AN526"/>
    <mergeCell ref="AC527:AD527"/>
    <mergeCell ref="AE527:AF527"/>
    <mergeCell ref="AO524:AP524"/>
    <mergeCell ref="AO525:AP525"/>
    <mergeCell ref="AQ525:AR525"/>
    <mergeCell ref="AO523:AP523"/>
    <mergeCell ref="AQ523:AR523"/>
    <mergeCell ref="AM524:AN524"/>
    <mergeCell ref="AI527:AJ527"/>
    <mergeCell ref="AG526:AH526"/>
    <mergeCell ref="AK527:AL527"/>
    <mergeCell ref="AM527:AN527"/>
    <mergeCell ref="AG524:AH524"/>
    <mergeCell ref="AI524:AJ524"/>
    <mergeCell ref="AO526:AP526"/>
    <mergeCell ref="AE524:AF524"/>
    <mergeCell ref="AR497:AS497"/>
    <mergeCell ref="AL512:AM512"/>
    <mergeCell ref="AL509:AM509"/>
    <mergeCell ref="AP509:AQ509"/>
    <mergeCell ref="AO483:AR483"/>
    <mergeCell ref="AR502:AS502"/>
    <mergeCell ref="W489:AA489"/>
    <mergeCell ref="AK471:AN471"/>
    <mergeCell ref="AK475:AN475"/>
    <mergeCell ref="AK480:AN480"/>
    <mergeCell ref="AG482:AJ482"/>
    <mergeCell ref="AN507:AO507"/>
    <mergeCell ref="AN510:AO510"/>
    <mergeCell ref="AP510:AQ510"/>
    <mergeCell ref="AH515:AI515"/>
    <mergeCell ref="AR503:AS503"/>
    <mergeCell ref="AK478:AN478"/>
    <mergeCell ref="AO478:AR478"/>
    <mergeCell ref="AS478:AV478"/>
    <mergeCell ref="AF507:AG507"/>
    <mergeCell ref="AJ500:AK500"/>
    <mergeCell ref="AL500:AM500"/>
    <mergeCell ref="AR513:AS513"/>
    <mergeCell ref="AR504:AS504"/>
    <mergeCell ref="AR511:AS511"/>
    <mergeCell ref="AP512:AQ512"/>
    <mergeCell ref="AP511:AQ511"/>
    <mergeCell ref="AN515:AO515"/>
    <mergeCell ref="AP515:AQ515"/>
    <mergeCell ref="AR515:AS515"/>
    <mergeCell ref="AN513:AO513"/>
    <mergeCell ref="AD482:AF482"/>
    <mergeCell ref="AT504:AZ504"/>
    <mergeCell ref="AW475:AZ475"/>
    <mergeCell ref="AW476:AZ476"/>
    <mergeCell ref="AD479:AF479"/>
    <mergeCell ref="AD475:AF475"/>
    <mergeCell ref="AO480:AR480"/>
    <mergeCell ref="AO482:AR482"/>
    <mergeCell ref="AK523:AL523"/>
    <mergeCell ref="AM523:AN523"/>
    <mergeCell ref="AM525:AN525"/>
    <mergeCell ref="AQ524:AR524"/>
    <mergeCell ref="AJ515:AK515"/>
    <mergeCell ref="AR514:AS514"/>
    <mergeCell ref="AH513:AI513"/>
    <mergeCell ref="AS524:AZ524"/>
    <mergeCell ref="AM522:AN522"/>
    <mergeCell ref="AQ522:AR522"/>
    <mergeCell ref="AF509:AG509"/>
    <mergeCell ref="AG523:AH523"/>
    <mergeCell ref="AI523:AJ523"/>
    <mergeCell ref="X511:Y511"/>
    <mergeCell ref="Z511:AA511"/>
    <mergeCell ref="Z509:AA509"/>
    <mergeCell ref="AB509:AC509"/>
    <mergeCell ref="AT514:AZ514"/>
    <mergeCell ref="AT515:AZ515"/>
    <mergeCell ref="AP513:AQ513"/>
    <mergeCell ref="AJ510:AK510"/>
    <mergeCell ref="AR510:AS510"/>
    <mergeCell ref="Y524:Z524"/>
    <mergeCell ref="AA524:AB524"/>
    <mergeCell ref="AC524:AD524"/>
    <mergeCell ref="AG522:AH522"/>
    <mergeCell ref="AI522:AJ522"/>
    <mergeCell ref="AK522:AL522"/>
    <mergeCell ref="B518:AZ518"/>
    <mergeCell ref="B520:T522"/>
    <mergeCell ref="U520:AR520"/>
    <mergeCell ref="Z513:AA513"/>
    <mergeCell ref="AT500:AZ500"/>
    <mergeCell ref="AT507:AZ507"/>
    <mergeCell ref="AN506:AO506"/>
    <mergeCell ref="AT503:AZ503"/>
    <mergeCell ref="AT502:AZ502"/>
    <mergeCell ref="AK472:AN472"/>
    <mergeCell ref="AG473:AJ473"/>
    <mergeCell ref="AD476:AF476"/>
    <mergeCell ref="AO476:AR476"/>
    <mergeCell ref="AS480:AV480"/>
    <mergeCell ref="AW480:AZ480"/>
    <mergeCell ref="B474:P474"/>
    <mergeCell ref="Q473:T473"/>
    <mergeCell ref="AN505:AO505"/>
    <mergeCell ref="AP505:AQ505"/>
    <mergeCell ref="V506:W506"/>
    <mergeCell ref="X506:Y506"/>
    <mergeCell ref="AD503:AE503"/>
    <mergeCell ref="X503:Y503"/>
    <mergeCell ref="Z503:AA503"/>
    <mergeCell ref="AB503:AC503"/>
    <mergeCell ref="X504:Y504"/>
    <mergeCell ref="Z504:AA504"/>
    <mergeCell ref="AB504:AC504"/>
    <mergeCell ref="AD504:AE504"/>
    <mergeCell ref="AF504:AG504"/>
    <mergeCell ref="AF503:AG503"/>
    <mergeCell ref="AH505:AI505"/>
    <mergeCell ref="AJ505:AK505"/>
    <mergeCell ref="AL505:AM505"/>
    <mergeCell ref="AN502:AO502"/>
    <mergeCell ref="X499:Y499"/>
    <mergeCell ref="AD371:AJ371"/>
    <mergeCell ref="E356:H356"/>
    <mergeCell ref="U357:X357"/>
    <mergeCell ref="AC355:AF355"/>
    <mergeCell ref="AL363:AN363"/>
    <mergeCell ref="B358:D358"/>
    <mergeCell ref="U358:X358"/>
    <mergeCell ref="E357:H357"/>
    <mergeCell ref="I357:L357"/>
    <mergeCell ref="AL364:AN364"/>
    <mergeCell ref="P510:U510"/>
    <mergeCell ref="V510:W510"/>
    <mergeCell ref="X510:Y510"/>
    <mergeCell ref="Z510:AA510"/>
    <mergeCell ref="B503:O506"/>
    <mergeCell ref="AD511:AE511"/>
    <mergeCell ref="Z499:AA499"/>
    <mergeCell ref="AB499:AC499"/>
    <mergeCell ref="AB500:AC500"/>
    <mergeCell ref="AD500:AE500"/>
    <mergeCell ref="Z506:AA506"/>
    <mergeCell ref="AH502:AI502"/>
    <mergeCell ref="AH498:AI498"/>
    <mergeCell ref="AH504:AI504"/>
    <mergeCell ref="AH503:AI503"/>
    <mergeCell ref="P505:U505"/>
    <mergeCell ref="AD508:AE508"/>
    <mergeCell ref="AB510:AC510"/>
    <mergeCell ref="AD510:AE510"/>
    <mergeCell ref="AF510:AG510"/>
    <mergeCell ref="AB511:AC511"/>
    <mergeCell ref="AB498:AC498"/>
    <mergeCell ref="B507:O509"/>
    <mergeCell ref="AH507:AI507"/>
    <mergeCell ref="AB507:AC507"/>
    <mergeCell ref="AH506:AI506"/>
    <mergeCell ref="P508:U508"/>
    <mergeCell ref="V508:W508"/>
    <mergeCell ref="AB506:AC506"/>
    <mergeCell ref="B510:O510"/>
    <mergeCell ref="AR507:AS507"/>
    <mergeCell ref="V511:W511"/>
    <mergeCell ref="P509:U509"/>
    <mergeCell ref="V509:W509"/>
    <mergeCell ref="AD509:AE509"/>
    <mergeCell ref="AH509:AI509"/>
    <mergeCell ref="AH508:AI508"/>
    <mergeCell ref="AJ512:AK512"/>
    <mergeCell ref="V513:W513"/>
    <mergeCell ref="AJ511:AK511"/>
    <mergeCell ref="AJ507:AK507"/>
    <mergeCell ref="X508:Y508"/>
    <mergeCell ref="Z508:AA508"/>
    <mergeCell ref="X509:Y509"/>
    <mergeCell ref="AB508:AC508"/>
    <mergeCell ref="AF508:AG508"/>
    <mergeCell ref="Z507:AA507"/>
    <mergeCell ref="AD507:AE507"/>
    <mergeCell ref="AD506:AE506"/>
    <mergeCell ref="AF506:AG506"/>
    <mergeCell ref="P507:U507"/>
    <mergeCell ref="V507:W507"/>
    <mergeCell ref="X507:Y507"/>
    <mergeCell ref="AF511:AG511"/>
    <mergeCell ref="AL516:AM516"/>
    <mergeCell ref="AD472:AF472"/>
    <mergeCell ref="AK469:AN469"/>
    <mergeCell ref="AD372:AJ372"/>
    <mergeCell ref="AD381:AJ381"/>
    <mergeCell ref="AH514:AI514"/>
    <mergeCell ref="AL515:AM515"/>
    <mergeCell ref="P514:U514"/>
    <mergeCell ref="V514:W514"/>
    <mergeCell ref="X514:Y514"/>
    <mergeCell ref="Z514:AA514"/>
    <mergeCell ref="AH510:AI510"/>
    <mergeCell ref="P506:U506"/>
    <mergeCell ref="V505:W505"/>
    <mergeCell ref="X505:Y505"/>
    <mergeCell ref="Z505:AA505"/>
    <mergeCell ref="AB505:AC505"/>
    <mergeCell ref="AD505:AE505"/>
    <mergeCell ref="AK433:AN433"/>
    <mergeCell ref="AD396:AJ396"/>
    <mergeCell ref="V516:W516"/>
    <mergeCell ref="X516:Y516"/>
    <mergeCell ref="AF514:AG514"/>
    <mergeCell ref="P515:U515"/>
    <mergeCell ref="AD498:AE498"/>
    <mergeCell ref="AF498:AG498"/>
    <mergeCell ref="P500:U500"/>
    <mergeCell ref="V500:W500"/>
    <mergeCell ref="X500:Y500"/>
    <mergeCell ref="AD515:AE515"/>
    <mergeCell ref="AB514:AC514"/>
    <mergeCell ref="Q471:T471"/>
    <mergeCell ref="C804:AZ804"/>
    <mergeCell ref="C807:AZ807"/>
    <mergeCell ref="C812:AZ812"/>
    <mergeCell ref="B793:AZ793"/>
    <mergeCell ref="C798:R798"/>
    <mergeCell ref="AI798:AY798"/>
    <mergeCell ref="G754:P754"/>
    <mergeCell ref="AO747:AZ753"/>
    <mergeCell ref="AD383:AJ383"/>
    <mergeCell ref="E355:H355"/>
    <mergeCell ref="I355:L355"/>
    <mergeCell ref="M355:P355"/>
    <mergeCell ref="Q355:T355"/>
    <mergeCell ref="U355:X355"/>
    <mergeCell ref="Y355:AB355"/>
    <mergeCell ref="AO742:AZ743"/>
    <mergeCell ref="B744:F744"/>
    <mergeCell ref="G744:P744"/>
    <mergeCell ref="Q744:Y744"/>
    <mergeCell ref="AO744:AZ744"/>
    <mergeCell ref="B738:I738"/>
    <mergeCell ref="AK371:AZ371"/>
    <mergeCell ref="C372:M372"/>
    <mergeCell ref="W364:Y364"/>
    <mergeCell ref="AK357:AN357"/>
    <mergeCell ref="AC746:AN746"/>
    <mergeCell ref="I356:L356"/>
    <mergeCell ref="AX363:AZ363"/>
    <mergeCell ref="AO363:AQ363"/>
    <mergeCell ref="G751:P751"/>
    <mergeCell ref="Q751:Y751"/>
    <mergeCell ref="Z751:AB751"/>
    <mergeCell ref="Q759:R759"/>
    <mergeCell ref="S754:AB755"/>
    <mergeCell ref="S760:AB760"/>
    <mergeCell ref="S761:AB761"/>
    <mergeCell ref="Q753:Y753"/>
    <mergeCell ref="Q752:Y752"/>
    <mergeCell ref="G756:P759"/>
    <mergeCell ref="Q750:Y750"/>
    <mergeCell ref="Z750:AB750"/>
    <mergeCell ref="Q746:Y746"/>
    <mergeCell ref="Z746:AB746"/>
    <mergeCell ref="G752:P752"/>
    <mergeCell ref="G755:P755"/>
    <mergeCell ref="S757:AB757"/>
    <mergeCell ref="S758:AB758"/>
    <mergeCell ref="Q758:R758"/>
    <mergeCell ref="S765:AB765"/>
    <mergeCell ref="Q765:R765"/>
    <mergeCell ref="Q761:R761"/>
    <mergeCell ref="Q762:R762"/>
    <mergeCell ref="Q763:R763"/>
    <mergeCell ref="S756:AB756"/>
    <mergeCell ref="G753:P753"/>
    <mergeCell ref="S764:AB764"/>
    <mergeCell ref="Q754:R754"/>
    <mergeCell ref="G760:P762"/>
    <mergeCell ref="Q760:R760"/>
    <mergeCell ref="Q757:R757"/>
    <mergeCell ref="AA528:AB528"/>
    <mergeCell ref="AO671:AQ671"/>
    <mergeCell ref="S759:AB759"/>
    <mergeCell ref="S762:AB762"/>
    <mergeCell ref="S763:AB763"/>
    <mergeCell ref="Q748:Y748"/>
    <mergeCell ref="Z748:AB748"/>
    <mergeCell ref="AS529:AZ529"/>
    <mergeCell ref="B754:F788"/>
    <mergeCell ref="Q755:R755"/>
    <mergeCell ref="Q756:R756"/>
    <mergeCell ref="G771:P774"/>
    <mergeCell ref="G784:P784"/>
    <mergeCell ref="G770:P770"/>
    <mergeCell ref="Q767:R767"/>
    <mergeCell ref="Q768:R768"/>
    <mergeCell ref="Q769:R769"/>
    <mergeCell ref="Q766:R766"/>
    <mergeCell ref="N724:Z724"/>
    <mergeCell ref="AA724:AE724"/>
    <mergeCell ref="B725:M725"/>
    <mergeCell ref="N725:Z725"/>
    <mergeCell ref="AA725:AE725"/>
    <mergeCell ref="B729:Q729"/>
    <mergeCell ref="G745:P746"/>
    <mergeCell ref="G750:P750"/>
    <mergeCell ref="G765:P765"/>
    <mergeCell ref="Q749:Y749"/>
    <mergeCell ref="Z749:AB749"/>
    <mergeCell ref="G747:P747"/>
    <mergeCell ref="G748:P748"/>
    <mergeCell ref="Q770:R770"/>
    <mergeCell ref="G788:P788"/>
    <mergeCell ref="G785:P785"/>
    <mergeCell ref="G786:P786"/>
    <mergeCell ref="Q771:R771"/>
    <mergeCell ref="S679:W679"/>
    <mergeCell ref="AI529:AJ529"/>
    <mergeCell ref="AK529:AL529"/>
    <mergeCell ref="AM529:AN529"/>
    <mergeCell ref="AO529:AP529"/>
    <mergeCell ref="AQ529:AR529"/>
    <mergeCell ref="B529:T529"/>
    <mergeCell ref="B678:I680"/>
    <mergeCell ref="J738:Q738"/>
    <mergeCell ref="G763:P764"/>
    <mergeCell ref="W705:AE705"/>
    <mergeCell ref="S694:W694"/>
    <mergeCell ref="J679:R679"/>
    <mergeCell ref="O701:R701"/>
    <mergeCell ref="W702:AE702"/>
    <mergeCell ref="O707:R707"/>
    <mergeCell ref="L707:N707"/>
    <mergeCell ref="B737:Q737"/>
    <mergeCell ref="L701:N701"/>
    <mergeCell ref="AF702:AZ702"/>
    <mergeCell ref="B703:K703"/>
    <mergeCell ref="S781:AB781"/>
    <mergeCell ref="Q773:R773"/>
    <mergeCell ref="Q774:R774"/>
    <mergeCell ref="Q775:R775"/>
    <mergeCell ref="AK618:AL618"/>
    <mergeCell ref="U617:V617"/>
    <mergeCell ref="Q671:S671"/>
    <mergeCell ref="AS527:AZ527"/>
    <mergeCell ref="AS526:AZ526"/>
    <mergeCell ref="AQ528:AR528"/>
    <mergeCell ref="AS528:AZ528"/>
    <mergeCell ref="AS525:AZ525"/>
    <mergeCell ref="AE528:AF528"/>
    <mergeCell ref="W673:Y673"/>
    <mergeCell ref="Z673:AB673"/>
    <mergeCell ref="AC673:AE673"/>
    <mergeCell ref="AR673:AT673"/>
    <mergeCell ref="AO528:AP528"/>
    <mergeCell ref="AG528:AH528"/>
    <mergeCell ref="AI528:AJ528"/>
    <mergeCell ref="AK528:AL528"/>
    <mergeCell ref="W531:X531"/>
    <mergeCell ref="AI531:AJ531"/>
    <mergeCell ref="AK531:AL531"/>
    <mergeCell ref="W528:X528"/>
    <mergeCell ref="Y528:Z528"/>
    <mergeCell ref="AG529:AH529"/>
    <mergeCell ref="AR672:AT672"/>
    <mergeCell ref="AL655:AN655"/>
    <mergeCell ref="AR671:AT671"/>
    <mergeCell ref="AO670:AQ670"/>
    <mergeCell ref="AF656:AH656"/>
    <mergeCell ref="AI656:AK656"/>
    <mergeCell ref="Y526:Z526"/>
    <mergeCell ref="AA526:AB526"/>
    <mergeCell ref="W617:X617"/>
    <mergeCell ref="AC618:AD618"/>
    <mergeCell ref="AA618:AB618"/>
    <mergeCell ref="AR649:AT649"/>
    <mergeCell ref="T671:V671"/>
    <mergeCell ref="W671:Y671"/>
    <mergeCell ref="Z671:AB671"/>
    <mergeCell ref="AC671:AE671"/>
    <mergeCell ref="W670:Y670"/>
    <mergeCell ref="Z670:AB670"/>
    <mergeCell ref="AC670:AE670"/>
    <mergeCell ref="AF671:AH671"/>
    <mergeCell ref="AI671:AK671"/>
    <mergeCell ref="AO672:AQ672"/>
    <mergeCell ref="Q672:S672"/>
    <mergeCell ref="W672:Y672"/>
    <mergeCell ref="AL666:AN666"/>
    <mergeCell ref="AO666:AQ666"/>
    <mergeCell ref="AO655:AQ655"/>
    <mergeCell ref="AC653:AE653"/>
    <mergeCell ref="Q670:S670"/>
    <mergeCell ref="T670:V670"/>
    <mergeCell ref="Q666:S666"/>
    <mergeCell ref="T666:V666"/>
    <mergeCell ref="W666:Y666"/>
    <mergeCell ref="AI670:AK670"/>
    <mergeCell ref="AL670:AN670"/>
    <mergeCell ref="Z666:AB666"/>
    <mergeCell ref="AC666:AE666"/>
    <mergeCell ref="AF666:AH666"/>
    <mergeCell ref="AF672:AH672"/>
    <mergeCell ref="B742:P743"/>
    <mergeCell ref="Z744:AB744"/>
    <mergeCell ref="R732:X732"/>
    <mergeCell ref="AO745:AZ746"/>
    <mergeCell ref="AC744:AN744"/>
    <mergeCell ref="X677:AB680"/>
    <mergeCell ref="J678:R678"/>
    <mergeCell ref="B682:AZ682"/>
    <mergeCell ref="B684:AZ684"/>
    <mergeCell ref="B685:AZ686"/>
    <mergeCell ref="L703:N703"/>
    <mergeCell ref="J677:R677"/>
    <mergeCell ref="S677:W677"/>
    <mergeCell ref="AN677:AQ677"/>
    <mergeCell ref="Q745:Y745"/>
    <mergeCell ref="Z745:AB745"/>
    <mergeCell ref="AC745:AN745"/>
    <mergeCell ref="N719:Z719"/>
    <mergeCell ref="AN737:AU737"/>
    <mergeCell ref="R731:X731"/>
    <mergeCell ref="B730:Q730"/>
    <mergeCell ref="R712:AE712"/>
    <mergeCell ref="B736:Q736"/>
    <mergeCell ref="B733:I733"/>
    <mergeCell ref="J733:Q733"/>
    <mergeCell ref="T733:AE733"/>
    <mergeCell ref="J680:R680"/>
    <mergeCell ref="S680:W680"/>
    <mergeCell ref="R736:X736"/>
    <mergeCell ref="Y736:AE736"/>
    <mergeCell ref="B745:F746"/>
    <mergeCell ref="Y731:AE731"/>
    <mergeCell ref="T673:V673"/>
    <mergeCell ref="Q656:S656"/>
    <mergeCell ref="T656:V656"/>
    <mergeCell ref="Q662:AT662"/>
    <mergeCell ref="B734:AZ734"/>
    <mergeCell ref="B702:K702"/>
    <mergeCell ref="L702:N702"/>
    <mergeCell ref="O704:R704"/>
    <mergeCell ref="S704:V704"/>
    <mergeCell ref="W704:AE704"/>
    <mergeCell ref="AF704:AZ704"/>
    <mergeCell ref="B692:R694"/>
    <mergeCell ref="S692:W692"/>
    <mergeCell ref="X692:AF692"/>
    <mergeCell ref="S701:V701"/>
    <mergeCell ref="W701:AE701"/>
    <mergeCell ref="O705:R705"/>
    <mergeCell ref="AF705:AZ705"/>
    <mergeCell ref="AL671:AN671"/>
    <mergeCell ref="B671:P671"/>
    <mergeCell ref="B672:P672"/>
    <mergeCell ref="B669:P670"/>
    <mergeCell ref="AR666:AT666"/>
    <mergeCell ref="AI672:AK672"/>
    <mergeCell ref="B727:AZ727"/>
    <mergeCell ref="S693:W693"/>
    <mergeCell ref="S707:V707"/>
    <mergeCell ref="AA723:AE723"/>
    <mergeCell ref="S706:V706"/>
    <mergeCell ref="AF706:AZ706"/>
    <mergeCell ref="AG692:AN692"/>
    <mergeCell ref="Z672:AB672"/>
    <mergeCell ref="B664:P664"/>
    <mergeCell ref="H652:P652"/>
    <mergeCell ref="Q652:S652"/>
    <mergeCell ref="AL654:AN654"/>
    <mergeCell ref="AO654:AQ654"/>
    <mergeCell ref="AR654:AT654"/>
    <mergeCell ref="T652:V652"/>
    <mergeCell ref="W652:Y652"/>
    <mergeCell ref="AN730:AU730"/>
    <mergeCell ref="B724:M724"/>
    <mergeCell ref="B704:K704"/>
    <mergeCell ref="L704:N704"/>
    <mergeCell ref="AR670:AT670"/>
    <mergeCell ref="AF670:AH670"/>
    <mergeCell ref="AR665:AT665"/>
    <mergeCell ref="Q665:S665"/>
    <mergeCell ref="T665:V665"/>
    <mergeCell ref="W665:Y665"/>
    <mergeCell ref="Z665:AB665"/>
    <mergeCell ref="B666:P666"/>
    <mergeCell ref="AI666:AK666"/>
    <mergeCell ref="AC665:AE665"/>
    <mergeCell ref="AF665:AH665"/>
    <mergeCell ref="AI665:AK665"/>
    <mergeCell ref="AL665:AN665"/>
    <mergeCell ref="AO665:AQ665"/>
    <mergeCell ref="B668:M668"/>
    <mergeCell ref="B665:P665"/>
    <mergeCell ref="AI673:AK673"/>
    <mergeCell ref="AC672:AE672"/>
    <mergeCell ref="B688:AZ688"/>
    <mergeCell ref="Q673:S673"/>
    <mergeCell ref="AI650:AK650"/>
    <mergeCell ref="Z649:AB649"/>
    <mergeCell ref="AC649:AE649"/>
    <mergeCell ref="Q664:S664"/>
    <mergeCell ref="T664:V664"/>
    <mergeCell ref="W664:Y664"/>
    <mergeCell ref="Z664:AB664"/>
    <mergeCell ref="AC664:AE664"/>
    <mergeCell ref="W663:Y663"/>
    <mergeCell ref="Z663:AB663"/>
    <mergeCell ref="AC663:AE663"/>
    <mergeCell ref="AF664:AH664"/>
    <mergeCell ref="AI664:AK664"/>
    <mergeCell ref="AL664:AN664"/>
    <mergeCell ref="AO664:AQ664"/>
    <mergeCell ref="AR664:AT664"/>
    <mergeCell ref="AO663:AQ663"/>
    <mergeCell ref="AR663:AT663"/>
    <mergeCell ref="AF663:AH663"/>
    <mergeCell ref="AI663:AK663"/>
    <mergeCell ref="AL663:AN663"/>
    <mergeCell ref="AF653:AH653"/>
    <mergeCell ref="AI653:AK653"/>
    <mergeCell ref="AL653:AN653"/>
    <mergeCell ref="AO653:AQ653"/>
    <mergeCell ref="AR653:AT653"/>
    <mergeCell ref="T650:V650"/>
    <mergeCell ref="W650:Y650"/>
    <mergeCell ref="W628:Y628"/>
    <mergeCell ref="T635:V635"/>
    <mergeCell ref="T629:V629"/>
    <mergeCell ref="W629:Y629"/>
    <mergeCell ref="AL656:AN656"/>
    <mergeCell ref="AO656:AQ656"/>
    <mergeCell ref="AR656:AT656"/>
    <mergeCell ref="B658:N658"/>
    <mergeCell ref="O658:Q658"/>
    <mergeCell ref="R658:T658"/>
    <mergeCell ref="B645:G656"/>
    <mergeCell ref="AC654:AE654"/>
    <mergeCell ref="AF654:AH654"/>
    <mergeCell ref="Z651:AB651"/>
    <mergeCell ref="AC651:AE651"/>
    <mergeCell ref="AI654:AK654"/>
    <mergeCell ref="H654:P654"/>
    <mergeCell ref="Q654:S654"/>
    <mergeCell ref="T654:V654"/>
    <mergeCell ref="W654:Y654"/>
    <mergeCell ref="H655:P655"/>
    <mergeCell ref="Q655:S655"/>
    <mergeCell ref="T655:V655"/>
    <mergeCell ref="W655:Y655"/>
    <mergeCell ref="Z655:AB655"/>
    <mergeCell ref="AC655:AE655"/>
    <mergeCell ref="AF655:AH655"/>
    <mergeCell ref="AI655:AK655"/>
    <mergeCell ref="Q649:S649"/>
    <mergeCell ref="T649:V649"/>
    <mergeCell ref="H650:P650"/>
    <mergeCell ref="AR655:AT655"/>
    <mergeCell ref="P616:T616"/>
    <mergeCell ref="P615:T615"/>
    <mergeCell ref="AO620:AP620"/>
    <mergeCell ref="B620:T620"/>
    <mergeCell ref="B618:O618"/>
    <mergeCell ref="AA620:AB620"/>
    <mergeCell ref="W620:X620"/>
    <mergeCell ref="AR626:AT626"/>
    <mergeCell ref="B622:AZ622"/>
    <mergeCell ref="B624:P624"/>
    <mergeCell ref="AF648:AH648"/>
    <mergeCell ref="AI648:AK648"/>
    <mergeCell ref="H646:P646"/>
    <mergeCell ref="Q646:S646"/>
    <mergeCell ref="T646:V646"/>
    <mergeCell ref="T644:V644"/>
    <mergeCell ref="AD637:AJ637"/>
    <mergeCell ref="Q639:AT639"/>
    <mergeCell ref="AR627:AT627"/>
    <mergeCell ref="AF629:AH629"/>
    <mergeCell ref="AO629:AQ629"/>
    <mergeCell ref="AR629:AT629"/>
    <mergeCell ref="AO628:AQ628"/>
    <mergeCell ref="AL628:AN628"/>
    <mergeCell ref="AF628:AH628"/>
    <mergeCell ref="B631:E631"/>
    <mergeCell ref="B628:P628"/>
    <mergeCell ref="AL648:AN648"/>
    <mergeCell ref="AC647:AE647"/>
    <mergeCell ref="AC646:AE646"/>
    <mergeCell ref="AE620:AF620"/>
    <mergeCell ref="AG620:AH620"/>
    <mergeCell ref="AQ620:AR620"/>
    <mergeCell ref="AC620:AD620"/>
    <mergeCell ref="AI620:AJ620"/>
    <mergeCell ref="Y620:Z620"/>
    <mergeCell ref="AI629:AK629"/>
    <mergeCell ref="AL629:AN629"/>
    <mergeCell ref="AC650:AE650"/>
    <mergeCell ref="AF650:AH650"/>
    <mergeCell ref="AL650:AN650"/>
    <mergeCell ref="AO650:AQ650"/>
    <mergeCell ref="AS615:AZ615"/>
    <mergeCell ref="B616:O616"/>
    <mergeCell ref="H651:P651"/>
    <mergeCell ref="Q651:S651"/>
    <mergeCell ref="AF651:AH651"/>
    <mergeCell ref="AI645:AK645"/>
    <mergeCell ref="AR645:AT645"/>
    <mergeCell ref="AF646:AH646"/>
    <mergeCell ref="AI646:AK646"/>
    <mergeCell ref="AL646:AN646"/>
    <mergeCell ref="AO646:AQ646"/>
    <mergeCell ref="AR646:AT646"/>
    <mergeCell ref="W644:Y644"/>
    <mergeCell ref="Z644:AB644"/>
    <mergeCell ref="AC644:AE644"/>
    <mergeCell ref="AF644:AH644"/>
    <mergeCell ref="AI644:AK644"/>
    <mergeCell ref="Z646:AB646"/>
    <mergeCell ref="AI651:AK651"/>
    <mergeCell ref="AL651:AN651"/>
    <mergeCell ref="B632:P633"/>
    <mergeCell ref="AK620:AL620"/>
    <mergeCell ref="B612:O612"/>
    <mergeCell ref="P612:T612"/>
    <mergeCell ref="U612:V612"/>
    <mergeCell ref="W612:X612"/>
    <mergeCell ref="Y612:Z612"/>
    <mergeCell ref="AA612:AB612"/>
    <mergeCell ref="B611:O611"/>
    <mergeCell ref="P611:T611"/>
    <mergeCell ref="U615:V615"/>
    <mergeCell ref="W615:X615"/>
    <mergeCell ref="U620:V620"/>
    <mergeCell ref="AR650:AT650"/>
    <mergeCell ref="AR635:AT635"/>
    <mergeCell ref="U616:V616"/>
    <mergeCell ref="W616:X616"/>
    <mergeCell ref="Y616:Z616"/>
    <mergeCell ref="AA616:AB616"/>
    <mergeCell ref="AC616:AD616"/>
    <mergeCell ref="Q632:AT632"/>
    <mergeCell ref="Q633:S633"/>
    <mergeCell ref="T633:V633"/>
    <mergeCell ref="W633:Y633"/>
    <mergeCell ref="Z633:AB633"/>
    <mergeCell ref="AC633:AE633"/>
    <mergeCell ref="AF633:AH633"/>
    <mergeCell ref="AI633:AK633"/>
    <mergeCell ref="AL633:AN633"/>
    <mergeCell ref="Y617:Z617"/>
    <mergeCell ref="AA617:AB617"/>
    <mergeCell ref="AI616:AJ616"/>
    <mergeCell ref="AG616:AH616"/>
    <mergeCell ref="AE616:AF616"/>
    <mergeCell ref="B614:O614"/>
    <mergeCell ref="P614:T614"/>
    <mergeCell ref="U614:V614"/>
    <mergeCell ref="W614:X614"/>
    <mergeCell ref="Y614:Z614"/>
    <mergeCell ref="AA614:AB614"/>
    <mergeCell ref="B615:O615"/>
    <mergeCell ref="U613:V613"/>
    <mergeCell ref="W613:X613"/>
    <mergeCell ref="Y613:Z613"/>
    <mergeCell ref="AA613:AB613"/>
    <mergeCell ref="B613:O613"/>
    <mergeCell ref="AK615:AL615"/>
    <mergeCell ref="AM615:AN615"/>
    <mergeCell ref="P613:T613"/>
    <mergeCell ref="AQ614:AR614"/>
    <mergeCell ref="Y615:Z615"/>
    <mergeCell ref="AA615:AB615"/>
    <mergeCell ref="AM613:AN613"/>
    <mergeCell ref="AI614:AJ614"/>
    <mergeCell ref="AK614:AL614"/>
    <mergeCell ref="AM614:AN614"/>
    <mergeCell ref="AO613:AP613"/>
    <mergeCell ref="AO614:AP614"/>
    <mergeCell ref="AC614:AD614"/>
    <mergeCell ref="AS614:AZ614"/>
    <mergeCell ref="AS613:AZ613"/>
    <mergeCell ref="AM609:AN609"/>
    <mergeCell ref="AO609:AP609"/>
    <mergeCell ref="AQ612:AR612"/>
    <mergeCell ref="AS612:AZ612"/>
    <mergeCell ref="AM612:AN612"/>
    <mergeCell ref="AO612:AP612"/>
    <mergeCell ref="AS611:AZ611"/>
    <mergeCell ref="AC612:AD612"/>
    <mergeCell ref="AC611:AD611"/>
    <mergeCell ref="AE611:AF611"/>
    <mergeCell ref="AG611:AH611"/>
    <mergeCell ref="AI611:AJ611"/>
    <mergeCell ref="AG615:AH615"/>
    <mergeCell ref="AI615:AJ615"/>
    <mergeCell ref="AO618:AP618"/>
    <mergeCell ref="AK617:AL617"/>
    <mergeCell ref="AK611:AL611"/>
    <mergeCell ref="AM611:AN611"/>
    <mergeCell ref="AO616:AP616"/>
    <mergeCell ref="AM616:AN616"/>
    <mergeCell ref="AK616:AL616"/>
    <mergeCell ref="AO615:AP615"/>
    <mergeCell ref="AQ615:AR615"/>
    <mergeCell ref="AQ613:AR613"/>
    <mergeCell ref="AC615:AD615"/>
    <mergeCell ref="AE615:AF615"/>
    <mergeCell ref="AK612:AL612"/>
    <mergeCell ref="AO611:AP611"/>
    <mergeCell ref="AQ611:AR611"/>
    <mergeCell ref="AK613:AL613"/>
    <mergeCell ref="AC609:AD609"/>
    <mergeCell ref="AE614:AF614"/>
    <mergeCell ref="AG614:AH614"/>
    <mergeCell ref="AG613:AH613"/>
    <mergeCell ref="AI613:AJ613"/>
    <mergeCell ref="AC613:AD613"/>
    <mergeCell ref="AE613:AF613"/>
    <mergeCell ref="AE612:AF612"/>
    <mergeCell ref="AG612:AH612"/>
    <mergeCell ref="AI612:AJ612"/>
    <mergeCell ref="U611:V611"/>
    <mergeCell ref="W611:X611"/>
    <mergeCell ref="Y611:Z611"/>
    <mergeCell ref="AA611:AB611"/>
    <mergeCell ref="AM610:AN610"/>
    <mergeCell ref="AK602:AL602"/>
    <mergeCell ref="AI610:AJ610"/>
    <mergeCell ref="AK610:AL610"/>
    <mergeCell ref="AI609:AJ609"/>
    <mergeCell ref="AK609:AL609"/>
    <mergeCell ref="AM602:AN602"/>
    <mergeCell ref="B605:AZ605"/>
    <mergeCell ref="B607:O609"/>
    <mergeCell ref="P607:T609"/>
    <mergeCell ref="U607:AR607"/>
    <mergeCell ref="AG609:AH609"/>
    <mergeCell ref="AS607:AZ609"/>
    <mergeCell ref="U609:V609"/>
    <mergeCell ref="W609:X609"/>
    <mergeCell ref="Y609:Z609"/>
    <mergeCell ref="AA609:AB609"/>
    <mergeCell ref="AI602:AJ602"/>
    <mergeCell ref="AC610:AD610"/>
    <mergeCell ref="AE610:AF610"/>
    <mergeCell ref="AG610:AH610"/>
    <mergeCell ref="AE609:AF609"/>
    <mergeCell ref="AU600:AV600"/>
    <mergeCell ref="AW600:AZ600"/>
    <mergeCell ref="U608:AR608"/>
    <mergeCell ref="AO610:AP610"/>
    <mergeCell ref="AQ610:AR610"/>
    <mergeCell ref="AS610:AZ610"/>
    <mergeCell ref="AQ609:AR609"/>
    <mergeCell ref="B610:O610"/>
    <mergeCell ref="P610:T610"/>
    <mergeCell ref="U610:V610"/>
    <mergeCell ref="W610:X610"/>
    <mergeCell ref="Y610:Z610"/>
    <mergeCell ref="AA610:AB610"/>
    <mergeCell ref="AO602:AP602"/>
    <mergeCell ref="AQ602:AR602"/>
    <mergeCell ref="AS602:AT602"/>
    <mergeCell ref="R602:T602"/>
    <mergeCell ref="U602:X602"/>
    <mergeCell ref="AU602:AV602"/>
    <mergeCell ref="AW602:AZ602"/>
    <mergeCell ref="Y602:Z602"/>
    <mergeCell ref="AA602:AB602"/>
    <mergeCell ref="AC602:AD602"/>
    <mergeCell ref="AE602:AF602"/>
    <mergeCell ref="AG602:AH602"/>
    <mergeCell ref="AA601:AB601"/>
    <mergeCell ref="AW601:AZ601"/>
    <mergeCell ref="B601:Q601"/>
    <mergeCell ref="R601:T601"/>
    <mergeCell ref="U601:X601"/>
    <mergeCell ref="Y601:Z601"/>
    <mergeCell ref="AQ600:AR600"/>
    <mergeCell ref="AW543:AZ543"/>
    <mergeCell ref="R554:T554"/>
    <mergeCell ref="R556:T556"/>
    <mergeCell ref="AU598:AV598"/>
    <mergeCell ref="AW598:AZ598"/>
    <mergeCell ref="B599:Q599"/>
    <mergeCell ref="R599:T599"/>
    <mergeCell ref="U599:X599"/>
    <mergeCell ref="Y599:Z599"/>
    <mergeCell ref="AA599:AB599"/>
    <mergeCell ref="AE600:AF600"/>
    <mergeCell ref="AG600:AH600"/>
    <mergeCell ref="AI599:AJ599"/>
    <mergeCell ref="AK599:AL599"/>
    <mergeCell ref="AM599:AN599"/>
    <mergeCell ref="AO599:AP599"/>
    <mergeCell ref="AM600:AN600"/>
    <mergeCell ref="AO600:AP600"/>
    <mergeCell ref="AI600:AJ600"/>
    <mergeCell ref="AK600:AL600"/>
    <mergeCell ref="B600:Q600"/>
    <mergeCell ref="R600:T600"/>
    <mergeCell ref="U600:X600"/>
    <mergeCell ref="Y600:Z600"/>
    <mergeCell ref="AA600:AB600"/>
    <mergeCell ref="AC600:AD600"/>
    <mergeCell ref="B544:Q544"/>
    <mergeCell ref="B546:Q546"/>
    <mergeCell ref="B547:Q547"/>
    <mergeCell ref="B548:Q548"/>
    <mergeCell ref="AS598:AT598"/>
    <mergeCell ref="B598:Q598"/>
    <mergeCell ref="B538:N538"/>
    <mergeCell ref="O538:Q538"/>
    <mergeCell ref="R538:T538"/>
    <mergeCell ref="B540:Q542"/>
    <mergeCell ref="R540:T542"/>
    <mergeCell ref="U540:X542"/>
    <mergeCell ref="Y540:AV540"/>
    <mergeCell ref="B561:Q561"/>
    <mergeCell ref="B596:Q596"/>
    <mergeCell ref="B597:Q597"/>
    <mergeCell ref="B579:Q579"/>
    <mergeCell ref="B576:Q576"/>
    <mergeCell ref="B577:Q577"/>
    <mergeCell ref="B578:Q578"/>
    <mergeCell ref="B570:Q570"/>
    <mergeCell ref="B571:Q571"/>
    <mergeCell ref="B572:Q572"/>
    <mergeCell ref="B573:Q573"/>
    <mergeCell ref="B574:Q574"/>
    <mergeCell ref="B552:Q552"/>
    <mergeCell ref="B549:AV549"/>
    <mergeCell ref="B557:AV557"/>
    <mergeCell ref="B568:AV568"/>
    <mergeCell ref="B575:AV575"/>
    <mergeCell ref="R544:T544"/>
    <mergeCell ref="R547:T547"/>
    <mergeCell ref="R548:T548"/>
    <mergeCell ref="B555:Q555"/>
    <mergeCell ref="B556:Q556"/>
    <mergeCell ref="B558:Q558"/>
    <mergeCell ref="B559:Q559"/>
    <mergeCell ref="B560:Q560"/>
    <mergeCell ref="AW540:AZ542"/>
    <mergeCell ref="Y542:Z542"/>
    <mergeCell ref="AO542:AP542"/>
    <mergeCell ref="AQ542:AR542"/>
    <mergeCell ref="AS542:AT542"/>
    <mergeCell ref="AU542:AV542"/>
    <mergeCell ref="AA542:AB542"/>
    <mergeCell ref="AC542:AD542"/>
    <mergeCell ref="AE542:AF542"/>
    <mergeCell ref="AG542:AH542"/>
    <mergeCell ref="AI542:AJ542"/>
    <mergeCell ref="AK542:AL542"/>
    <mergeCell ref="AM542:AN542"/>
    <mergeCell ref="Y558:Z558"/>
    <mergeCell ref="AA558:AB558"/>
    <mergeCell ref="AC558:AD558"/>
    <mergeCell ref="R558:T558"/>
    <mergeCell ref="R552:T552"/>
    <mergeCell ref="R559:T559"/>
    <mergeCell ref="AA544:AB544"/>
    <mergeCell ref="AC544:AD544"/>
    <mergeCell ref="AE544:AF544"/>
    <mergeCell ref="AG544:AH544"/>
    <mergeCell ref="U555:X555"/>
    <mergeCell ref="U556:X556"/>
    <mergeCell ref="AO544:AP544"/>
    <mergeCell ref="AQ544:AR544"/>
    <mergeCell ref="AS544:AT544"/>
    <mergeCell ref="AE534:AF534"/>
    <mergeCell ref="AK530:AL530"/>
    <mergeCell ref="AM530:AN530"/>
    <mergeCell ref="AO530:AP530"/>
    <mergeCell ref="AQ530:AR530"/>
    <mergeCell ref="AS530:AZ530"/>
    <mergeCell ref="AE530:AF530"/>
    <mergeCell ref="AG530:AH530"/>
    <mergeCell ref="AI530:AJ530"/>
    <mergeCell ref="AG531:AH531"/>
    <mergeCell ref="AQ531:AR531"/>
    <mergeCell ref="AS531:AZ531"/>
    <mergeCell ref="AM531:AN531"/>
    <mergeCell ref="AC531:AD531"/>
    <mergeCell ref="AE531:AF531"/>
    <mergeCell ref="AO531:AP531"/>
    <mergeCell ref="AE532:AF532"/>
    <mergeCell ref="AG533:AH533"/>
    <mergeCell ref="Y531:Z531"/>
    <mergeCell ref="Y541:AV541"/>
    <mergeCell ref="B534:T534"/>
    <mergeCell ref="U534:V534"/>
    <mergeCell ref="W534:X534"/>
    <mergeCell ref="Y534:Z534"/>
    <mergeCell ref="AA534:AB534"/>
    <mergeCell ref="AC534:AD534"/>
    <mergeCell ref="AG534:AH534"/>
    <mergeCell ref="AI534:AJ534"/>
    <mergeCell ref="AK534:AL534"/>
    <mergeCell ref="AM534:AN534"/>
    <mergeCell ref="AO534:AP534"/>
    <mergeCell ref="AQ534:AR534"/>
    <mergeCell ref="AS534:AZ534"/>
    <mergeCell ref="AG532:AH532"/>
    <mergeCell ref="AI532:AJ532"/>
    <mergeCell ref="AK532:AL532"/>
    <mergeCell ref="AM532:AN532"/>
    <mergeCell ref="AO532:AP532"/>
    <mergeCell ref="AQ532:AR532"/>
    <mergeCell ref="AS532:AZ532"/>
    <mergeCell ref="W533:X533"/>
    <mergeCell ref="Y533:Z533"/>
    <mergeCell ref="AO533:AP533"/>
    <mergeCell ref="AQ533:AR533"/>
    <mergeCell ref="AS533:AZ533"/>
    <mergeCell ref="AA533:AB533"/>
    <mergeCell ref="AC533:AD533"/>
    <mergeCell ref="AI533:AJ533"/>
    <mergeCell ref="AK533:AL533"/>
    <mergeCell ref="AM533:AN533"/>
    <mergeCell ref="B530:T530"/>
    <mergeCell ref="U530:V530"/>
    <mergeCell ref="W530:X530"/>
    <mergeCell ref="Y530:Z530"/>
    <mergeCell ref="AA530:AB530"/>
    <mergeCell ref="AC530:AD530"/>
    <mergeCell ref="B532:T532"/>
    <mergeCell ref="U532:V532"/>
    <mergeCell ref="W532:X532"/>
    <mergeCell ref="Y532:Z532"/>
    <mergeCell ref="AA532:AB532"/>
    <mergeCell ref="AC532:AD532"/>
    <mergeCell ref="AC525:AD525"/>
    <mergeCell ref="Y523:Z523"/>
    <mergeCell ref="AJ516:AK516"/>
    <mergeCell ref="AK524:AL524"/>
    <mergeCell ref="AA523:AB523"/>
    <mergeCell ref="AC523:AD523"/>
    <mergeCell ref="B523:T523"/>
    <mergeCell ref="AE523:AF523"/>
    <mergeCell ref="U523:V523"/>
    <mergeCell ref="W523:X523"/>
    <mergeCell ref="Z516:AA516"/>
    <mergeCell ref="AB516:AC516"/>
    <mergeCell ref="AD516:AE516"/>
    <mergeCell ref="AG525:AH525"/>
    <mergeCell ref="AI525:AJ525"/>
    <mergeCell ref="AK525:AL525"/>
    <mergeCell ref="AA525:AB525"/>
    <mergeCell ref="AC528:AD528"/>
    <mergeCell ref="Y527:Z527"/>
    <mergeCell ref="AA527:AB527"/>
    <mergeCell ref="AS520:AZ522"/>
    <mergeCell ref="U522:V522"/>
    <mergeCell ref="W522:X522"/>
    <mergeCell ref="AO522:AP522"/>
    <mergeCell ref="AA522:AB522"/>
    <mergeCell ref="AC522:AD522"/>
    <mergeCell ref="AE522:AF522"/>
    <mergeCell ref="Y522:Z522"/>
    <mergeCell ref="AF516:AG516"/>
    <mergeCell ref="AP516:AQ516"/>
    <mergeCell ref="AR516:AS516"/>
    <mergeCell ref="AH516:AI516"/>
    <mergeCell ref="AN516:AO516"/>
    <mergeCell ref="U521:AR521"/>
    <mergeCell ref="AT516:AZ516"/>
    <mergeCell ref="B516:U516"/>
    <mergeCell ref="B511:O511"/>
    <mergeCell ref="P511:U511"/>
    <mergeCell ref="B513:O513"/>
    <mergeCell ref="B514:O514"/>
    <mergeCell ref="Z515:AA515"/>
    <mergeCell ref="AJ513:AK513"/>
    <mergeCell ref="B512:O512"/>
    <mergeCell ref="P512:U512"/>
    <mergeCell ref="V512:W512"/>
    <mergeCell ref="X512:Y512"/>
    <mergeCell ref="Z512:AA512"/>
    <mergeCell ref="AB512:AC512"/>
    <mergeCell ref="B515:O515"/>
    <mergeCell ref="AB515:AC515"/>
    <mergeCell ref="P513:U513"/>
    <mergeCell ref="AD512:AE512"/>
    <mergeCell ref="AF505:AG505"/>
    <mergeCell ref="V502:W502"/>
    <mergeCell ref="AD514:AE514"/>
    <mergeCell ref="AP500:AQ500"/>
    <mergeCell ref="AL499:AM499"/>
    <mergeCell ref="AN499:AO499"/>
    <mergeCell ref="AP499:AQ499"/>
    <mergeCell ref="AP503:AQ503"/>
    <mergeCell ref="AF501:AG501"/>
    <mergeCell ref="AH501:AI501"/>
    <mergeCell ref="AJ501:AK501"/>
    <mergeCell ref="AL501:AM501"/>
    <mergeCell ref="AN501:AO501"/>
    <mergeCell ref="AP501:AQ501"/>
    <mergeCell ref="AN503:AO503"/>
    <mergeCell ref="AF502:AG502"/>
    <mergeCell ref="Z500:AA500"/>
    <mergeCell ref="AL502:AM502"/>
    <mergeCell ref="X513:Y513"/>
    <mergeCell ref="P504:U504"/>
    <mergeCell ref="V504:W504"/>
    <mergeCell ref="P499:U499"/>
    <mergeCell ref="V499:W499"/>
    <mergeCell ref="P503:U503"/>
    <mergeCell ref="V503:W503"/>
    <mergeCell ref="AD502:AE502"/>
    <mergeCell ref="X501:Y501"/>
    <mergeCell ref="Z501:AA501"/>
    <mergeCell ref="AB501:AC501"/>
    <mergeCell ref="AD501:AE501"/>
    <mergeCell ref="X502:Y502"/>
    <mergeCell ref="Z502:AA502"/>
    <mergeCell ref="AB502:AC502"/>
    <mergeCell ref="V501:W501"/>
    <mergeCell ref="P501:U501"/>
    <mergeCell ref="AJ502:AK502"/>
    <mergeCell ref="P498:U498"/>
    <mergeCell ref="V498:W498"/>
    <mergeCell ref="X498:Y498"/>
    <mergeCell ref="Z498:AA498"/>
    <mergeCell ref="AR501:AS501"/>
    <mergeCell ref="AL498:AM498"/>
    <mergeCell ref="AN498:AO498"/>
    <mergeCell ref="AP498:AQ498"/>
    <mergeCell ref="AR498:AS498"/>
    <mergeCell ref="B497:O497"/>
    <mergeCell ref="P497:U497"/>
    <mergeCell ref="V497:W497"/>
    <mergeCell ref="X497:Y497"/>
    <mergeCell ref="Z497:AA497"/>
    <mergeCell ref="AB497:AC497"/>
    <mergeCell ref="AJ497:AK497"/>
    <mergeCell ref="AL497:AM497"/>
    <mergeCell ref="AN497:AO497"/>
    <mergeCell ref="AP497:AQ497"/>
    <mergeCell ref="AF500:AG500"/>
    <mergeCell ref="AH500:AI500"/>
    <mergeCell ref="AR500:AS500"/>
    <mergeCell ref="AD499:AE499"/>
    <mergeCell ref="AF499:AG499"/>
    <mergeCell ref="AH499:AI499"/>
    <mergeCell ref="AJ499:AK499"/>
    <mergeCell ref="AR499:AS499"/>
    <mergeCell ref="AN500:AO500"/>
    <mergeCell ref="B500:O502"/>
    <mergeCell ref="AD497:AE497"/>
    <mergeCell ref="P502:U502"/>
    <mergeCell ref="AT498:AZ498"/>
    <mergeCell ref="AJ496:AK496"/>
    <mergeCell ref="AL496:AM496"/>
    <mergeCell ref="AN496:AO496"/>
    <mergeCell ref="AT497:AZ497"/>
    <mergeCell ref="B498:O499"/>
    <mergeCell ref="AT499:AZ499"/>
    <mergeCell ref="AJ498:AK498"/>
    <mergeCell ref="AF497:AG497"/>
    <mergeCell ref="AH497:AI497"/>
    <mergeCell ref="AD495:AE495"/>
    <mergeCell ref="AF495:AG495"/>
    <mergeCell ref="AH495:AI495"/>
    <mergeCell ref="AJ495:AK495"/>
    <mergeCell ref="B496:O496"/>
    <mergeCell ref="P496:U496"/>
    <mergeCell ref="V496:W496"/>
    <mergeCell ref="X496:Y496"/>
    <mergeCell ref="Z496:AA496"/>
    <mergeCell ref="AB496:AC496"/>
    <mergeCell ref="AP496:AQ496"/>
    <mergeCell ref="AT493:AZ495"/>
    <mergeCell ref="V495:W495"/>
    <mergeCell ref="X495:Y495"/>
    <mergeCell ref="AL495:AM495"/>
    <mergeCell ref="AN495:AO495"/>
    <mergeCell ref="AP495:AQ495"/>
    <mergeCell ref="AR496:AS496"/>
    <mergeCell ref="AT496:AZ496"/>
    <mergeCell ref="V494:AS494"/>
    <mergeCell ref="B493:O495"/>
    <mergeCell ref="P493:U495"/>
    <mergeCell ref="B481:P481"/>
    <mergeCell ref="AK470:AN470"/>
    <mergeCell ref="X470:Z470"/>
    <mergeCell ref="AO470:AR470"/>
    <mergeCell ref="AA470:AC470"/>
    <mergeCell ref="AD470:AF470"/>
    <mergeCell ref="AK467:AN467"/>
    <mergeCell ref="AO467:AR467"/>
    <mergeCell ref="V493:AS493"/>
    <mergeCell ref="AS468:AV468"/>
    <mergeCell ref="AA474:AC474"/>
    <mergeCell ref="AD474:AF474"/>
    <mergeCell ref="AD473:AF473"/>
    <mergeCell ref="AS467:AV467"/>
    <mergeCell ref="Q469:T469"/>
    <mergeCell ref="Q467:T467"/>
    <mergeCell ref="Q468:T468"/>
    <mergeCell ref="AK474:AN474"/>
    <mergeCell ref="Q472:T472"/>
    <mergeCell ref="X474:Z474"/>
    <mergeCell ref="AG474:AJ474"/>
    <mergeCell ref="AS476:AV476"/>
    <mergeCell ref="X478:Z478"/>
    <mergeCell ref="AG478:AJ478"/>
    <mergeCell ref="U482:W482"/>
    <mergeCell ref="X482:Z482"/>
    <mergeCell ref="AS473:AV473"/>
    <mergeCell ref="U468:W468"/>
    <mergeCell ref="X468:Z468"/>
    <mergeCell ref="B468:P468"/>
    <mergeCell ref="AA469:AC469"/>
    <mergeCell ref="AO469:AR469"/>
    <mergeCell ref="AD496:AE496"/>
    <mergeCell ref="AF496:AG496"/>
    <mergeCell ref="AH496:AI496"/>
    <mergeCell ref="AB495:AC495"/>
    <mergeCell ref="N389:X389"/>
    <mergeCell ref="N390:X390"/>
    <mergeCell ref="N391:X391"/>
    <mergeCell ref="N392:X392"/>
    <mergeCell ref="Y382:AC382"/>
    <mergeCell ref="Y383:AC383"/>
    <mergeCell ref="Y384:AC384"/>
    <mergeCell ref="Y387:AC387"/>
    <mergeCell ref="Y390:AC390"/>
    <mergeCell ref="AW468:AZ468"/>
    <mergeCell ref="B472:P472"/>
    <mergeCell ref="AK419:AW419"/>
    <mergeCell ref="AR495:AS495"/>
    <mergeCell ref="Z495:AA495"/>
    <mergeCell ref="U472:W472"/>
    <mergeCell ref="X469:Z469"/>
    <mergeCell ref="U470:W470"/>
    <mergeCell ref="AA467:AC467"/>
    <mergeCell ref="AD467:AF467"/>
    <mergeCell ref="B482:P482"/>
    <mergeCell ref="B483:P483"/>
    <mergeCell ref="U480:W480"/>
    <mergeCell ref="X480:Z480"/>
    <mergeCell ref="N387:X387"/>
    <mergeCell ref="Q489:T489"/>
    <mergeCell ref="X471:Z471"/>
    <mergeCell ref="L491:O491"/>
    <mergeCell ref="P491:Q491"/>
    <mergeCell ref="AD385:AJ385"/>
    <mergeCell ref="N372:X372"/>
    <mergeCell ref="N381:X381"/>
    <mergeCell ref="N375:X375"/>
    <mergeCell ref="N378:X379"/>
    <mergeCell ref="N380:X380"/>
    <mergeCell ref="Y377:AC377"/>
    <mergeCell ref="Y374:AC374"/>
    <mergeCell ref="N374:X374"/>
    <mergeCell ref="Y373:AC373"/>
    <mergeCell ref="Y379:AC379"/>
    <mergeCell ref="Y380:AC380"/>
    <mergeCell ref="AW482:AZ482"/>
    <mergeCell ref="AD382:AJ382"/>
    <mergeCell ref="Y357:AB357"/>
    <mergeCell ref="M356:P356"/>
    <mergeCell ref="Q356:T356"/>
    <mergeCell ref="AG356:AJ356"/>
    <mergeCell ref="AK356:AN356"/>
    <mergeCell ref="AO364:AQ364"/>
    <mergeCell ref="AR364:AT364"/>
    <mergeCell ref="AU364:AW364"/>
    <mergeCell ref="W363:Y363"/>
    <mergeCell ref="U481:W481"/>
    <mergeCell ref="B370:AZ370"/>
    <mergeCell ref="Q358:T358"/>
    <mergeCell ref="AX364:AZ364"/>
    <mergeCell ref="C371:M371"/>
    <mergeCell ref="N371:X371"/>
    <mergeCell ref="M357:P357"/>
    <mergeCell ref="Q357:T357"/>
    <mergeCell ref="AU363:AW363"/>
    <mergeCell ref="B362:N363"/>
    <mergeCell ref="N385:X385"/>
    <mergeCell ref="N386:X386"/>
    <mergeCell ref="Y385:AC385"/>
    <mergeCell ref="Y386:AC386"/>
    <mergeCell ref="Y376:AC376"/>
    <mergeCell ref="Y371:AC371"/>
    <mergeCell ref="C373:M375"/>
    <mergeCell ref="C376:M382"/>
    <mergeCell ref="Y381:AC381"/>
    <mergeCell ref="N376:X376"/>
    <mergeCell ref="N377:X377"/>
    <mergeCell ref="Y378:AC378"/>
    <mergeCell ref="N373:X373"/>
    <mergeCell ref="N382:X382"/>
    <mergeCell ref="N383:X383"/>
    <mergeCell ref="N384:X384"/>
    <mergeCell ref="O364:V364"/>
    <mergeCell ref="C383:M392"/>
    <mergeCell ref="Y388:AC388"/>
    <mergeCell ref="N388:X388"/>
    <mergeCell ref="AC363:AE363"/>
    <mergeCell ref="AF363:AH363"/>
    <mergeCell ref="AI363:AK363"/>
    <mergeCell ref="E354:H354"/>
    <mergeCell ref="I354:L354"/>
    <mergeCell ref="E349:H349"/>
    <mergeCell ref="E348:H348"/>
    <mergeCell ref="I348:L348"/>
    <mergeCell ref="AK351:AN351"/>
    <mergeCell ref="I349:L349"/>
    <mergeCell ref="AC353:AF353"/>
    <mergeCell ref="AG348:AJ348"/>
    <mergeCell ref="AK348:AN348"/>
    <mergeCell ref="AG352:AJ352"/>
    <mergeCell ref="AG350:AJ350"/>
    <mergeCell ref="Q350:T350"/>
    <mergeCell ref="U350:X350"/>
    <mergeCell ref="AC348:AF348"/>
    <mergeCell ref="E350:H350"/>
    <mergeCell ref="I350:L350"/>
    <mergeCell ref="B364:N364"/>
    <mergeCell ref="Q351:T351"/>
    <mergeCell ref="I352:L352"/>
    <mergeCell ref="Y354:AB354"/>
    <mergeCell ref="B357:D357"/>
    <mergeCell ref="Z363:AB363"/>
    <mergeCell ref="E358:H358"/>
    <mergeCell ref="U352:X352"/>
    <mergeCell ref="O362:V363"/>
    <mergeCell ref="W362:AZ362"/>
    <mergeCell ref="AI364:AK364"/>
    <mergeCell ref="V326:Y326"/>
    <mergeCell ref="B333:O333"/>
    <mergeCell ref="S333:W333"/>
    <mergeCell ref="X333:AB333"/>
    <mergeCell ref="AB326:AI326"/>
    <mergeCell ref="E353:H353"/>
    <mergeCell ref="I353:L353"/>
    <mergeCell ref="M353:P353"/>
    <mergeCell ref="I347:L347"/>
    <mergeCell ref="M347:P347"/>
    <mergeCell ref="Q347:T347"/>
    <mergeCell ref="B334:R334"/>
    <mergeCell ref="S334:W334"/>
    <mergeCell ref="X334:AB334"/>
    <mergeCell ref="AC334:AG334"/>
    <mergeCell ref="AH334:AL334"/>
    <mergeCell ref="M352:P352"/>
    <mergeCell ref="Q353:T353"/>
    <mergeCell ref="B339:R339"/>
    <mergeCell ref="S339:W339"/>
    <mergeCell ref="X339:AB339"/>
    <mergeCell ref="AC339:AG339"/>
    <mergeCell ref="AH339:AL339"/>
    <mergeCell ref="U347:X347"/>
    <mergeCell ref="B345:D347"/>
    <mergeCell ref="E345:P346"/>
    <mergeCell ref="Q345:AB346"/>
    <mergeCell ref="AC345:AN346"/>
    <mergeCell ref="AC341:AG341"/>
    <mergeCell ref="AG349:AJ349"/>
    <mergeCell ref="Y347:AB347"/>
    <mergeCell ref="B353:D353"/>
    <mergeCell ref="AK347:AN347"/>
    <mergeCell ref="B348:D348"/>
    <mergeCell ref="B350:D350"/>
    <mergeCell ref="AC357:AF357"/>
    <mergeCell ref="B356:D356"/>
    <mergeCell ref="AC358:AF358"/>
    <mergeCell ref="B352:D352"/>
    <mergeCell ref="Y352:AB352"/>
    <mergeCell ref="AC352:AF352"/>
    <mergeCell ref="S341:W341"/>
    <mergeCell ref="X341:AB341"/>
    <mergeCell ref="AC347:AF347"/>
    <mergeCell ref="AG357:AJ357"/>
    <mergeCell ref="B355:D355"/>
    <mergeCell ref="I358:L358"/>
    <mergeCell ref="M358:P358"/>
    <mergeCell ref="U356:X356"/>
    <mergeCell ref="Y358:AB358"/>
    <mergeCell ref="B351:D351"/>
    <mergeCell ref="B354:D354"/>
    <mergeCell ref="Q352:T352"/>
    <mergeCell ref="AK352:AN352"/>
    <mergeCell ref="AC351:AF351"/>
    <mergeCell ref="E352:H352"/>
    <mergeCell ref="AC340:AG340"/>
    <mergeCell ref="AC336:AG336"/>
    <mergeCell ref="AC338:AG338"/>
    <mergeCell ref="E351:H351"/>
    <mergeCell ref="AH340:AL340"/>
    <mergeCell ref="B338:R338"/>
    <mergeCell ref="S338:W338"/>
    <mergeCell ref="X338:AB338"/>
    <mergeCell ref="M348:P348"/>
    <mergeCell ref="Q348:T348"/>
    <mergeCell ref="E347:H347"/>
    <mergeCell ref="B337:R337"/>
    <mergeCell ref="S337:W337"/>
    <mergeCell ref="B341:R341"/>
    <mergeCell ref="M350:P350"/>
    <mergeCell ref="B340:R340"/>
    <mergeCell ref="S340:W340"/>
    <mergeCell ref="U351:X351"/>
    <mergeCell ref="U349:X349"/>
    <mergeCell ref="Y349:AB349"/>
    <mergeCell ref="AC349:AF349"/>
    <mergeCell ref="Y350:AB350"/>
    <mergeCell ref="AC350:AF350"/>
    <mergeCell ref="Y351:AB351"/>
    <mergeCell ref="B336:R336"/>
    <mergeCell ref="AH341:AL341"/>
    <mergeCell ref="B349:D349"/>
    <mergeCell ref="M349:P349"/>
    <mergeCell ref="I351:L351"/>
    <mergeCell ref="M351:P351"/>
    <mergeCell ref="AG351:AJ351"/>
    <mergeCell ref="AG347:AJ347"/>
    <mergeCell ref="AO325:AR325"/>
    <mergeCell ref="B304:C304"/>
    <mergeCell ref="D304:AD304"/>
    <mergeCell ref="B305:C305"/>
    <mergeCell ref="D305:X305"/>
    <mergeCell ref="D308:X308"/>
    <mergeCell ref="B309:C309"/>
    <mergeCell ref="D313:X313"/>
    <mergeCell ref="D314:X314"/>
    <mergeCell ref="D315:X315"/>
    <mergeCell ref="D320:X320"/>
    <mergeCell ref="Z313:AD320"/>
    <mergeCell ref="B271:J276"/>
    <mergeCell ref="G299:T299"/>
    <mergeCell ref="B300:T300"/>
    <mergeCell ref="AP301:AZ301"/>
    <mergeCell ref="I325:L325"/>
    <mergeCell ref="Z325:AC325"/>
    <mergeCell ref="B316:C316"/>
    <mergeCell ref="B317:C317"/>
    <mergeCell ref="B318:C318"/>
    <mergeCell ref="B319:C319"/>
    <mergeCell ref="B320:C320"/>
    <mergeCell ref="B301:T301"/>
    <mergeCell ref="AC273:AW273"/>
    <mergeCell ref="AC275:AW275"/>
    <mergeCell ref="AF315:AZ315"/>
    <mergeCell ref="AF320:AZ320"/>
    <mergeCell ref="V236:AZ236"/>
    <mergeCell ref="V237:AZ237"/>
    <mergeCell ref="V238:AZ238"/>
    <mergeCell ref="V239:AZ239"/>
    <mergeCell ref="B296:U296"/>
    <mergeCell ref="D316:X316"/>
    <mergeCell ref="D317:X317"/>
    <mergeCell ref="D318:X318"/>
    <mergeCell ref="D319:X319"/>
    <mergeCell ref="K287:AA288"/>
    <mergeCell ref="Z305:AD309"/>
    <mergeCell ref="B306:C306"/>
    <mergeCell ref="D306:X306"/>
    <mergeCell ref="B307:C307"/>
    <mergeCell ref="AP300:AZ300"/>
    <mergeCell ref="AP296:AZ296"/>
    <mergeCell ref="AP297:AZ297"/>
    <mergeCell ref="V297:AO297"/>
    <mergeCell ref="V299:AO299"/>
    <mergeCell ref="V300:AO300"/>
    <mergeCell ref="V298:AO298"/>
    <mergeCell ref="B251:J251"/>
    <mergeCell ref="D309:X309"/>
    <mergeCell ref="AF305:AZ305"/>
    <mergeCell ref="AF306:AZ306"/>
    <mergeCell ref="AF307:AZ307"/>
    <mergeCell ref="AF308:AZ308"/>
    <mergeCell ref="AF309:AZ309"/>
    <mergeCell ref="AF313:AZ313"/>
    <mergeCell ref="B261:J270"/>
    <mergeCell ref="K261:AA261"/>
    <mergeCell ref="D307:X307"/>
    <mergeCell ref="AX251:AZ251"/>
    <mergeCell ref="AX252:AZ254"/>
    <mergeCell ref="K257:AA258"/>
    <mergeCell ref="B297:F299"/>
    <mergeCell ref="AP298:AZ298"/>
    <mergeCell ref="B240:B241"/>
    <mergeCell ref="C240:T241"/>
    <mergeCell ref="V240:AZ240"/>
    <mergeCell ref="V241:AZ241"/>
    <mergeCell ref="B242:B243"/>
    <mergeCell ref="C242:T243"/>
    <mergeCell ref="V242:AZ242"/>
    <mergeCell ref="B244:B245"/>
    <mergeCell ref="C244:T245"/>
    <mergeCell ref="V244:AZ244"/>
    <mergeCell ref="V245:AZ245"/>
    <mergeCell ref="B249:AZ249"/>
    <mergeCell ref="B250:J250"/>
    <mergeCell ref="K250:AA250"/>
    <mergeCell ref="AB250:AZ250"/>
    <mergeCell ref="AC283:AW283"/>
    <mergeCell ref="AC284:AW284"/>
    <mergeCell ref="AC285:AW285"/>
    <mergeCell ref="AC286:AW286"/>
    <mergeCell ref="AC287:AW287"/>
    <mergeCell ref="AC288:AW288"/>
    <mergeCell ref="AC267:AW267"/>
    <mergeCell ref="B255:J260"/>
    <mergeCell ref="G297:T297"/>
    <mergeCell ref="G298:T298"/>
    <mergeCell ref="AC282:AW282"/>
    <mergeCell ref="AC274:AW274"/>
    <mergeCell ref="C232:T232"/>
    <mergeCell ref="V232:AZ232"/>
    <mergeCell ref="B233:B235"/>
    <mergeCell ref="C233:T235"/>
    <mergeCell ref="V233:AZ233"/>
    <mergeCell ref="V235:AZ235"/>
    <mergeCell ref="V234:AZ234"/>
    <mergeCell ref="C231:T231"/>
    <mergeCell ref="AC251:AW251"/>
    <mergeCell ref="AC252:AW252"/>
    <mergeCell ref="AC253:AW253"/>
    <mergeCell ref="AC254:AW254"/>
    <mergeCell ref="K251:AA251"/>
    <mergeCell ref="B252:J254"/>
    <mergeCell ref="K252:AA254"/>
    <mergeCell ref="B223:K223"/>
    <mergeCell ref="L223:U223"/>
    <mergeCell ref="V223:AB223"/>
    <mergeCell ref="AC223:AL223"/>
    <mergeCell ref="B224:K224"/>
    <mergeCell ref="L224:U224"/>
    <mergeCell ref="V224:AB224"/>
    <mergeCell ref="AC224:AL224"/>
    <mergeCell ref="B225:K225"/>
    <mergeCell ref="L225:U225"/>
    <mergeCell ref="V225:AB225"/>
    <mergeCell ref="AC225:AL225"/>
    <mergeCell ref="B230:T230"/>
    <mergeCell ref="U230:AZ230"/>
    <mergeCell ref="V243:AZ243"/>
    <mergeCell ref="B236:B239"/>
    <mergeCell ref="C236:T239"/>
    <mergeCell ref="B207:F207"/>
    <mergeCell ref="G207:O207"/>
    <mergeCell ref="P207:Z207"/>
    <mergeCell ref="AA207:AJ207"/>
    <mergeCell ref="AK207:AZ207"/>
    <mergeCell ref="B211:W211"/>
    <mergeCell ref="X211:AK211"/>
    <mergeCell ref="AL211:AZ211"/>
    <mergeCell ref="B212:W212"/>
    <mergeCell ref="X212:AK212"/>
    <mergeCell ref="AL212:AZ212"/>
    <mergeCell ref="B217:AZ217"/>
    <mergeCell ref="B222:K222"/>
    <mergeCell ref="L222:U222"/>
    <mergeCell ref="V222:AB222"/>
    <mergeCell ref="AC222:AL222"/>
    <mergeCell ref="V231:AZ231"/>
    <mergeCell ref="B181:B182"/>
    <mergeCell ref="C181:T182"/>
    <mergeCell ref="V181:AZ181"/>
    <mergeCell ref="V182:AZ182"/>
    <mergeCell ref="B183:B184"/>
    <mergeCell ref="C183:T184"/>
    <mergeCell ref="V183:AZ183"/>
    <mergeCell ref="V184:AZ184"/>
    <mergeCell ref="U191:U193"/>
    <mergeCell ref="B205:F205"/>
    <mergeCell ref="G205:O205"/>
    <mergeCell ref="P205:Z205"/>
    <mergeCell ref="AA205:AJ205"/>
    <mergeCell ref="AK205:AZ205"/>
    <mergeCell ref="B206:F206"/>
    <mergeCell ref="G206:O206"/>
    <mergeCell ref="P206:Z206"/>
    <mergeCell ref="AA206:AJ206"/>
    <mergeCell ref="AK206:AZ206"/>
    <mergeCell ref="B201:F201"/>
    <mergeCell ref="G201:O201"/>
    <mergeCell ref="P201:Z201"/>
    <mergeCell ref="AA201:AJ201"/>
    <mergeCell ref="AK201:AZ201"/>
    <mergeCell ref="B202:F202"/>
    <mergeCell ref="G202:O202"/>
    <mergeCell ref="P202:Z202"/>
    <mergeCell ref="AA202:AJ202"/>
    <mergeCell ref="AK202:AZ202"/>
    <mergeCell ref="B203:F203"/>
    <mergeCell ref="G203:O203"/>
    <mergeCell ref="P203:Z203"/>
    <mergeCell ref="AA203:AJ203"/>
    <mergeCell ref="AK203:AZ203"/>
    <mergeCell ref="B204:F204"/>
    <mergeCell ref="G204:O204"/>
    <mergeCell ref="P204:Z204"/>
    <mergeCell ref="AA204:AJ204"/>
    <mergeCell ref="AK204:AZ204"/>
    <mergeCell ref="B185:B186"/>
    <mergeCell ref="C185:T186"/>
    <mergeCell ref="V185:AZ185"/>
    <mergeCell ref="V186:AZ186"/>
    <mergeCell ref="B189:T189"/>
    <mergeCell ref="U189:AZ189"/>
    <mergeCell ref="B188:AZ188"/>
    <mergeCell ref="C190:T190"/>
    <mergeCell ref="V190:AZ190"/>
    <mergeCell ref="C191:T191"/>
    <mergeCell ref="V191:AZ193"/>
    <mergeCell ref="C192:T192"/>
    <mergeCell ref="C193:T193"/>
    <mergeCell ref="B197:AZ197"/>
    <mergeCell ref="V175:AZ175"/>
    <mergeCell ref="B169:AZ169"/>
    <mergeCell ref="B171:T171"/>
    <mergeCell ref="U171:AZ171"/>
    <mergeCell ref="C172:T172"/>
    <mergeCell ref="V172:AZ172"/>
    <mergeCell ref="C173:T173"/>
    <mergeCell ref="V173:AZ173"/>
    <mergeCell ref="B177:B180"/>
    <mergeCell ref="C177:T180"/>
    <mergeCell ref="V177:AZ177"/>
    <mergeCell ref="V178:AZ178"/>
    <mergeCell ref="V179:AZ179"/>
    <mergeCell ref="V180:AZ180"/>
    <mergeCell ref="B174:B176"/>
    <mergeCell ref="C174:T176"/>
    <mergeCell ref="V174:AZ174"/>
    <mergeCell ref="V176:AZ176"/>
    <mergeCell ref="B162:K162"/>
    <mergeCell ref="L162:R162"/>
    <mergeCell ref="B163:K163"/>
    <mergeCell ref="L164:R164"/>
    <mergeCell ref="L163:R163"/>
    <mergeCell ref="AK157:AO157"/>
    <mergeCell ref="AP157:AU157"/>
    <mergeCell ref="AV157:AZ157"/>
    <mergeCell ref="B158:AZ158"/>
    <mergeCell ref="B161:K161"/>
    <mergeCell ref="L161:R161"/>
    <mergeCell ref="B157:O157"/>
    <mergeCell ref="P157:Q157"/>
    <mergeCell ref="R157:U157"/>
    <mergeCell ref="AA157:AE157"/>
    <mergeCell ref="B155:O155"/>
    <mergeCell ref="P155:Q155"/>
    <mergeCell ref="R155:U155"/>
    <mergeCell ref="V155:Z155"/>
    <mergeCell ref="AA155:AE155"/>
    <mergeCell ref="AF155:AJ155"/>
    <mergeCell ref="AK155:AO155"/>
    <mergeCell ref="AA156:AE156"/>
    <mergeCell ref="AF156:AJ156"/>
    <mergeCell ref="AK156:AO156"/>
    <mergeCell ref="AP156:AU156"/>
    <mergeCell ref="AV156:AZ156"/>
    <mergeCell ref="AP155:AU155"/>
    <mergeCell ref="AV155:AZ155"/>
    <mergeCell ref="B164:K164"/>
    <mergeCell ref="B156:O156"/>
    <mergeCell ref="P156:Q156"/>
    <mergeCell ref="R156:U156"/>
    <mergeCell ref="V156:Z156"/>
    <mergeCell ref="V157:Z157"/>
    <mergeCell ref="AF157:AJ157"/>
    <mergeCell ref="AK153:AO153"/>
    <mergeCell ref="AP153:AU153"/>
    <mergeCell ref="AV153:AZ153"/>
    <mergeCell ref="AP152:AU152"/>
    <mergeCell ref="AV152:AZ152"/>
    <mergeCell ref="AK151:AO151"/>
    <mergeCell ref="AP151:AU151"/>
    <mergeCell ref="AV151:AZ151"/>
    <mergeCell ref="AK152:AO152"/>
    <mergeCell ref="B153:O153"/>
    <mergeCell ref="P153:Q153"/>
    <mergeCell ref="R153:U153"/>
    <mergeCell ref="V153:Z153"/>
    <mergeCell ref="AA153:AE153"/>
    <mergeCell ref="AF153:AJ153"/>
    <mergeCell ref="B154:O154"/>
    <mergeCell ref="P154:Q154"/>
    <mergeCell ref="R154:U154"/>
    <mergeCell ref="AA154:AE154"/>
    <mergeCell ref="AF154:AJ154"/>
    <mergeCell ref="V154:Z154"/>
    <mergeCell ref="AK154:AO154"/>
    <mergeCell ref="AP154:AU154"/>
    <mergeCell ref="AV154:AZ154"/>
    <mergeCell ref="B150:O150"/>
    <mergeCell ref="P150:Q150"/>
    <mergeCell ref="R150:U150"/>
    <mergeCell ref="V150:Z150"/>
    <mergeCell ref="AA150:AE150"/>
    <mergeCell ref="AF150:AJ150"/>
    <mergeCell ref="AK150:AO150"/>
    <mergeCell ref="AP150:AU150"/>
    <mergeCell ref="AV150:AZ150"/>
    <mergeCell ref="B151:O151"/>
    <mergeCell ref="P151:Q151"/>
    <mergeCell ref="R151:U151"/>
    <mergeCell ref="V151:Z151"/>
    <mergeCell ref="AA151:AE151"/>
    <mergeCell ref="AF151:AJ151"/>
    <mergeCell ref="B152:O152"/>
    <mergeCell ref="P152:Q152"/>
    <mergeCell ref="R152:U152"/>
    <mergeCell ref="V152:Z152"/>
    <mergeCell ref="AA152:AE152"/>
    <mergeCell ref="AF152:AJ152"/>
    <mergeCell ref="B148:O148"/>
    <mergeCell ref="P148:Q148"/>
    <mergeCell ref="R148:U148"/>
    <mergeCell ref="V148:Z148"/>
    <mergeCell ref="AA148:AE148"/>
    <mergeCell ref="AF148:AJ148"/>
    <mergeCell ref="AK148:AO148"/>
    <mergeCell ref="AP148:AU148"/>
    <mergeCell ref="AV148:AZ148"/>
    <mergeCell ref="B149:O149"/>
    <mergeCell ref="P149:Q149"/>
    <mergeCell ref="R149:U149"/>
    <mergeCell ref="V149:Z149"/>
    <mergeCell ref="AA149:AE149"/>
    <mergeCell ref="AF149:AJ149"/>
    <mergeCell ref="AK149:AO149"/>
    <mergeCell ref="AP149:AU149"/>
    <mergeCell ref="AV149:AZ149"/>
    <mergeCell ref="AV143:AZ143"/>
    <mergeCell ref="B144:O144"/>
    <mergeCell ref="P144:Q144"/>
    <mergeCell ref="R144:U144"/>
    <mergeCell ref="V144:Z144"/>
    <mergeCell ref="AA144:AE144"/>
    <mergeCell ref="AF144:AJ144"/>
    <mergeCell ref="AK144:AO144"/>
    <mergeCell ref="AP144:AU144"/>
    <mergeCell ref="AV144:AZ144"/>
    <mergeCell ref="B147:O147"/>
    <mergeCell ref="P147:Q147"/>
    <mergeCell ref="R147:U147"/>
    <mergeCell ref="V147:Z147"/>
    <mergeCell ref="AA147:AE147"/>
    <mergeCell ref="AF147:AJ147"/>
    <mergeCell ref="AK147:AO147"/>
    <mergeCell ref="AP147:AU147"/>
    <mergeCell ref="AV147:AZ147"/>
    <mergeCell ref="AF145:AJ145"/>
    <mergeCell ref="B145:O145"/>
    <mergeCell ref="B146:O146"/>
    <mergeCell ref="R145:U145"/>
    <mergeCell ref="R146:U146"/>
    <mergeCell ref="V145:Z145"/>
    <mergeCell ref="B143:O143"/>
    <mergeCell ref="P143:Q143"/>
    <mergeCell ref="R143:U143"/>
    <mergeCell ref="V143:Z143"/>
    <mergeCell ref="AA143:AE143"/>
    <mergeCell ref="AF143:AJ143"/>
    <mergeCell ref="AK143:AO143"/>
    <mergeCell ref="B126:E126"/>
    <mergeCell ref="F126:M126"/>
    <mergeCell ref="N126:O126"/>
    <mergeCell ref="B129:AD129"/>
    <mergeCell ref="AE129:AL129"/>
    <mergeCell ref="AP143:AU143"/>
    <mergeCell ref="P145:Q145"/>
    <mergeCell ref="P146:Q146"/>
    <mergeCell ref="AK145:AO145"/>
    <mergeCell ref="AP145:AU145"/>
    <mergeCell ref="AF146:AJ146"/>
    <mergeCell ref="AK146:AO146"/>
    <mergeCell ref="AP146:AU146"/>
    <mergeCell ref="V146:Z146"/>
    <mergeCell ref="AA145:AE145"/>
    <mergeCell ref="AA146:AE146"/>
    <mergeCell ref="B135:AD135"/>
    <mergeCell ref="AE135:AL135"/>
    <mergeCell ref="B136:AD136"/>
    <mergeCell ref="AE136:AL136"/>
    <mergeCell ref="B141:O141"/>
    <mergeCell ref="P141:Q141"/>
    <mergeCell ref="R141:U141"/>
    <mergeCell ref="V141:Z141"/>
    <mergeCell ref="AA141:AE141"/>
    <mergeCell ref="AF141:AJ141"/>
    <mergeCell ref="AK141:AO141"/>
    <mergeCell ref="AP141:AU141"/>
    <mergeCell ref="F124:M124"/>
    <mergeCell ref="N124:O124"/>
    <mergeCell ref="P124:T124"/>
    <mergeCell ref="U124:V124"/>
    <mergeCell ref="W124:Z124"/>
    <mergeCell ref="AV141:AZ141"/>
    <mergeCell ref="B142:O142"/>
    <mergeCell ref="P142:Q142"/>
    <mergeCell ref="R142:U142"/>
    <mergeCell ref="V142:Z142"/>
    <mergeCell ref="AA142:AE142"/>
    <mergeCell ref="AF142:AJ142"/>
    <mergeCell ref="AK142:AO142"/>
    <mergeCell ref="AP142:AU142"/>
    <mergeCell ref="AV142:AZ142"/>
    <mergeCell ref="P126:T126"/>
    <mergeCell ref="U126:V126"/>
    <mergeCell ref="W126:Z126"/>
    <mergeCell ref="AA124:AD124"/>
    <mergeCell ref="AE124:AL124"/>
    <mergeCell ref="B125:E125"/>
    <mergeCell ref="F125:M125"/>
    <mergeCell ref="N125:O125"/>
    <mergeCell ref="P125:T125"/>
    <mergeCell ref="U125:V125"/>
    <mergeCell ref="B138:G138"/>
    <mergeCell ref="AA126:AD126"/>
    <mergeCell ref="AE126:AL126"/>
    <mergeCell ref="B127:AD127"/>
    <mergeCell ref="AE127:AL127"/>
    <mergeCell ref="B128:AD128"/>
    <mergeCell ref="AE128:AL128"/>
    <mergeCell ref="B115:AD115"/>
    <mergeCell ref="AE115:AL115"/>
    <mergeCell ref="B116:AD116"/>
    <mergeCell ref="AE116:AL116"/>
    <mergeCell ref="B117:AD117"/>
    <mergeCell ref="AE117:AL117"/>
    <mergeCell ref="B118:AD118"/>
    <mergeCell ref="AE118:AL118"/>
    <mergeCell ref="B130:AD130"/>
    <mergeCell ref="AE130:AL130"/>
    <mergeCell ref="B131:AD131"/>
    <mergeCell ref="AE131:AL131"/>
    <mergeCell ref="B132:AD132"/>
    <mergeCell ref="AE132:AL132"/>
    <mergeCell ref="B133:AD133"/>
    <mergeCell ref="AE133:AL133"/>
    <mergeCell ref="B134:AD134"/>
    <mergeCell ref="AE134:AL134"/>
    <mergeCell ref="B119:AD119"/>
    <mergeCell ref="AE119:AL119"/>
    <mergeCell ref="B120:AD120"/>
    <mergeCell ref="AE120:AL120"/>
    <mergeCell ref="B121:AD121"/>
    <mergeCell ref="AE121:AL121"/>
    <mergeCell ref="B122:AD122"/>
    <mergeCell ref="AE122:AL122"/>
    <mergeCell ref="B123:AD123"/>
    <mergeCell ref="AE123:AL123"/>
    <mergeCell ref="W125:Z125"/>
    <mergeCell ref="AA125:AD125"/>
    <mergeCell ref="AE125:AL125"/>
    <mergeCell ref="B124:E124"/>
    <mergeCell ref="B108:AD108"/>
    <mergeCell ref="AE108:AL108"/>
    <mergeCell ref="B109:AD109"/>
    <mergeCell ref="AE109:AL109"/>
    <mergeCell ref="B106:AD106"/>
    <mergeCell ref="AE106:AL106"/>
    <mergeCell ref="B107:AD107"/>
    <mergeCell ref="AE107:AL107"/>
    <mergeCell ref="B113:AD113"/>
    <mergeCell ref="AE113:AL113"/>
    <mergeCell ref="B114:AD114"/>
    <mergeCell ref="AE114:AL114"/>
    <mergeCell ref="B110:AD110"/>
    <mergeCell ref="AE110:AL110"/>
    <mergeCell ref="B111:AD111"/>
    <mergeCell ref="AE111:AL111"/>
    <mergeCell ref="B112:AD112"/>
    <mergeCell ref="AE112:AL112"/>
    <mergeCell ref="B92:AD92"/>
    <mergeCell ref="AE92:AL92"/>
    <mergeCell ref="B96:AD96"/>
    <mergeCell ref="AE96:AL96"/>
    <mergeCell ref="B97:AD97"/>
    <mergeCell ref="AE97:AL97"/>
    <mergeCell ref="B98:AD98"/>
    <mergeCell ref="AE98:AL98"/>
    <mergeCell ref="B99:AD99"/>
    <mergeCell ref="AE99:AL99"/>
    <mergeCell ref="B100:AD100"/>
    <mergeCell ref="AE100:AL100"/>
    <mergeCell ref="B104:AD104"/>
    <mergeCell ref="AE104:AL104"/>
    <mergeCell ref="B105:AD105"/>
    <mergeCell ref="AE105:AL105"/>
    <mergeCell ref="B101:AD101"/>
    <mergeCell ref="AE101:AL101"/>
    <mergeCell ref="B102:AD102"/>
    <mergeCell ref="AE102:AL102"/>
    <mergeCell ref="B103:AD103"/>
    <mergeCell ref="AE103:AL103"/>
    <mergeCell ref="AE83:AL83"/>
    <mergeCell ref="B81:AD81"/>
    <mergeCell ref="B84:AD84"/>
    <mergeCell ref="AE84:AL84"/>
    <mergeCell ref="B85:AD85"/>
    <mergeCell ref="AE85:AL85"/>
    <mergeCell ref="B86:AD86"/>
    <mergeCell ref="AE86:AL86"/>
    <mergeCell ref="B87:AD87"/>
    <mergeCell ref="AE87:AL87"/>
    <mergeCell ref="N89:AD89"/>
    <mergeCell ref="AE89:AL89"/>
    <mergeCell ref="O71:AZ71"/>
    <mergeCell ref="B80:AD80"/>
    <mergeCell ref="AE80:AL80"/>
    <mergeCell ref="AN70:AZ70"/>
    <mergeCell ref="B90:M91"/>
    <mergeCell ref="N90:AD90"/>
    <mergeCell ref="AE90:AL90"/>
    <mergeCell ref="N91:AD91"/>
    <mergeCell ref="AE91:AL91"/>
    <mergeCell ref="AA566:AB566"/>
    <mergeCell ref="O64:AZ64"/>
    <mergeCell ref="B56:R56"/>
    <mergeCell ref="B59:R59"/>
    <mergeCell ref="S59:AZ59"/>
    <mergeCell ref="O67:AZ67"/>
    <mergeCell ref="AM581:AN581"/>
    <mergeCell ref="B543:AV543"/>
    <mergeCell ref="B69:N69"/>
    <mergeCell ref="R546:T546"/>
    <mergeCell ref="O69:AZ69"/>
    <mergeCell ref="A1:AZ1"/>
    <mergeCell ref="A2:AZ2"/>
    <mergeCell ref="A3:AZ3"/>
    <mergeCell ref="U12:AZ12"/>
    <mergeCell ref="L14:AZ14"/>
    <mergeCell ref="B5:H5"/>
    <mergeCell ref="B43:R43"/>
    <mergeCell ref="S43:AZ43"/>
    <mergeCell ref="AC34:AF34"/>
    <mergeCell ref="B40:R40"/>
    <mergeCell ref="S40:AZ40"/>
    <mergeCell ref="AH53:AM53"/>
    <mergeCell ref="AN53:AO53"/>
    <mergeCell ref="AP53:AQ53"/>
    <mergeCell ref="AR53:AT53"/>
    <mergeCell ref="AC29:AF29"/>
    <mergeCell ref="B25:P25"/>
    <mergeCell ref="S44:AZ44"/>
    <mergeCell ref="B47:R47"/>
    <mergeCell ref="S47:AZ47"/>
    <mergeCell ref="B48:R48"/>
    <mergeCell ref="R596:T596"/>
    <mergeCell ref="AE581:AF581"/>
    <mergeCell ref="AG581:AH581"/>
    <mergeCell ref="AI581:AJ581"/>
    <mergeCell ref="AK581:AL581"/>
    <mergeCell ref="R585:T585"/>
    <mergeCell ref="R586:T586"/>
    <mergeCell ref="R587:T587"/>
    <mergeCell ref="R583:T583"/>
    <mergeCell ref="AG582:AH582"/>
    <mergeCell ref="B594:Q594"/>
    <mergeCell ref="B595:Q595"/>
    <mergeCell ref="B590:AV590"/>
    <mergeCell ref="R588:T588"/>
    <mergeCell ref="R589:T589"/>
    <mergeCell ref="R591:T591"/>
    <mergeCell ref="R592:T592"/>
    <mergeCell ref="R593:T593"/>
    <mergeCell ref="B582:Q582"/>
    <mergeCell ref="B583:Q583"/>
    <mergeCell ref="B584:Q584"/>
    <mergeCell ref="B585:Q585"/>
    <mergeCell ref="B586:Q586"/>
    <mergeCell ref="R594:T594"/>
    <mergeCell ref="R595:T595"/>
    <mergeCell ref="B587:Q587"/>
    <mergeCell ref="B588:Q588"/>
    <mergeCell ref="B589:Q589"/>
    <mergeCell ref="B591:Q591"/>
    <mergeCell ref="B592:Q592"/>
    <mergeCell ref="B593:Q593"/>
    <mergeCell ref="B581:Q581"/>
    <mergeCell ref="AI553:AJ553"/>
    <mergeCell ref="AK553:AL553"/>
    <mergeCell ref="O66:AZ66"/>
    <mergeCell ref="B67:N67"/>
    <mergeCell ref="S56:AZ56"/>
    <mergeCell ref="B57:R57"/>
    <mergeCell ref="S57:AZ57"/>
    <mergeCell ref="B58:R58"/>
    <mergeCell ref="S58:AZ58"/>
    <mergeCell ref="B64:N64"/>
    <mergeCell ref="S48:AZ48"/>
    <mergeCell ref="V51:AF51"/>
    <mergeCell ref="AH51:AM51"/>
    <mergeCell ref="B71:N71"/>
    <mergeCell ref="AW544:AZ544"/>
    <mergeCell ref="AW545:AZ545"/>
    <mergeCell ref="B545:AV545"/>
    <mergeCell ref="AM544:AN544"/>
    <mergeCell ref="U544:X544"/>
    <mergeCell ref="Y544:Z544"/>
    <mergeCell ref="B66:N66"/>
    <mergeCell ref="B88:AD88"/>
    <mergeCell ref="AE88:AL88"/>
    <mergeCell ref="B89:M89"/>
    <mergeCell ref="AE81:AL81"/>
    <mergeCell ref="B70:N70"/>
    <mergeCell ref="O70:P70"/>
    <mergeCell ref="Q70:X70"/>
    <mergeCell ref="Y70:Z70"/>
    <mergeCell ref="AA70:AH70"/>
    <mergeCell ref="AI70:AM70"/>
    <mergeCell ref="B82:AD82"/>
    <mergeCell ref="B562:Q562"/>
    <mergeCell ref="B563:Q563"/>
    <mergeCell ref="B564:Q564"/>
    <mergeCell ref="AC553:AD553"/>
    <mergeCell ref="AC566:AD566"/>
    <mergeCell ref="AE553:AF553"/>
    <mergeCell ref="B580:Q580"/>
    <mergeCell ref="B565:Q565"/>
    <mergeCell ref="B566:Q566"/>
    <mergeCell ref="B567:Q567"/>
    <mergeCell ref="B569:Q569"/>
    <mergeCell ref="B550:Q550"/>
    <mergeCell ref="B551:Q551"/>
    <mergeCell ref="AI544:AJ544"/>
    <mergeCell ref="AK544:AL544"/>
    <mergeCell ref="AK546:AL546"/>
    <mergeCell ref="AK558:AL558"/>
    <mergeCell ref="R550:T550"/>
    <mergeCell ref="AA550:AB550"/>
    <mergeCell ref="R565:T565"/>
    <mergeCell ref="R569:T569"/>
    <mergeCell ref="AI551:AJ551"/>
    <mergeCell ref="AI556:AJ556"/>
    <mergeCell ref="AC552:AD552"/>
    <mergeCell ref="AE552:AF552"/>
    <mergeCell ref="AG548:AH548"/>
    <mergeCell ref="R566:T566"/>
    <mergeCell ref="R562:T562"/>
    <mergeCell ref="R563:T563"/>
    <mergeCell ref="AC550:AD550"/>
    <mergeCell ref="R567:T567"/>
    <mergeCell ref="Y561:Z561"/>
    <mergeCell ref="Y567:Z567"/>
    <mergeCell ref="AA567:AB567"/>
    <mergeCell ref="R553:T553"/>
    <mergeCell ref="AC564:AD564"/>
    <mergeCell ref="AE564:AF564"/>
    <mergeCell ref="Y566:Z566"/>
    <mergeCell ref="AW546:AZ546"/>
    <mergeCell ref="Y547:Z547"/>
    <mergeCell ref="AA547:AB547"/>
    <mergeCell ref="AC547:AD547"/>
    <mergeCell ref="R570:T570"/>
    <mergeCell ref="AG553:AH553"/>
    <mergeCell ref="AO547:AP547"/>
    <mergeCell ref="AQ547:AR547"/>
    <mergeCell ref="AS547:AT547"/>
    <mergeCell ref="B553:Q553"/>
    <mergeCell ref="B554:Q554"/>
    <mergeCell ref="Y554:Z554"/>
    <mergeCell ref="AA554:AB554"/>
    <mergeCell ref="AC554:AD554"/>
    <mergeCell ref="AE554:AF554"/>
    <mergeCell ref="U553:X553"/>
    <mergeCell ref="U554:X554"/>
    <mergeCell ref="Y559:Z559"/>
    <mergeCell ref="AA559:AB559"/>
    <mergeCell ref="AC559:AD559"/>
    <mergeCell ref="AE559:AF559"/>
    <mergeCell ref="AG559:AH559"/>
    <mergeCell ref="AI559:AJ559"/>
    <mergeCell ref="AE547:AF547"/>
    <mergeCell ref="AG547:AH547"/>
    <mergeCell ref="R555:T555"/>
    <mergeCell ref="AU544:AV544"/>
    <mergeCell ref="Y546:Z546"/>
    <mergeCell ref="AA546:AB546"/>
    <mergeCell ref="AC546:AD546"/>
    <mergeCell ref="AE546:AF546"/>
    <mergeCell ref="Y551:Z551"/>
    <mergeCell ref="Y553:Z553"/>
    <mergeCell ref="AA553:AB553"/>
    <mergeCell ref="Y552:Z552"/>
    <mergeCell ref="AA552:AB552"/>
    <mergeCell ref="AW550:AZ550"/>
    <mergeCell ref="AI550:AJ550"/>
    <mergeCell ref="AI554:AJ554"/>
    <mergeCell ref="AI547:AJ547"/>
    <mergeCell ref="AK547:AL547"/>
    <mergeCell ref="AM547:AN547"/>
    <mergeCell ref="AQ548:AR548"/>
    <mergeCell ref="AS548:AT548"/>
    <mergeCell ref="AU548:AV548"/>
    <mergeCell ref="AA548:AB548"/>
    <mergeCell ref="AO551:AP551"/>
    <mergeCell ref="AQ551:AR551"/>
    <mergeCell ref="AG552:AH552"/>
    <mergeCell ref="AI552:AJ552"/>
    <mergeCell ref="AK552:AL552"/>
    <mergeCell ref="AM552:AN552"/>
    <mergeCell ref="AO552:AP552"/>
    <mergeCell ref="AQ552:AR552"/>
    <mergeCell ref="AG550:AH550"/>
    <mergeCell ref="Y548:Z548"/>
    <mergeCell ref="AM546:AN546"/>
    <mergeCell ref="AO546:AP546"/>
    <mergeCell ref="AQ546:AR546"/>
    <mergeCell ref="AS546:AT546"/>
    <mergeCell ref="AU550:AV550"/>
    <mergeCell ref="AS552:AT552"/>
    <mergeCell ref="AU552:AV552"/>
    <mergeCell ref="AE551:AF551"/>
    <mergeCell ref="AG551:AH551"/>
    <mergeCell ref="AU546:AV546"/>
    <mergeCell ref="AI548:AJ548"/>
    <mergeCell ref="AK548:AL548"/>
    <mergeCell ref="AK550:AL550"/>
    <mergeCell ref="AK551:AL551"/>
    <mergeCell ref="AC548:AD548"/>
    <mergeCell ref="AE548:AF548"/>
    <mergeCell ref="AI546:AJ546"/>
    <mergeCell ref="AG546:AH546"/>
    <mergeCell ref="Y550:Z550"/>
    <mergeCell ref="AW551:AZ551"/>
    <mergeCell ref="AW552:AZ552"/>
    <mergeCell ref="AS551:AT551"/>
    <mergeCell ref="AU551:AV551"/>
    <mergeCell ref="AM550:AN550"/>
    <mergeCell ref="AO550:AP550"/>
    <mergeCell ref="AQ550:AR550"/>
    <mergeCell ref="AS550:AT550"/>
    <mergeCell ref="AE550:AF550"/>
    <mergeCell ref="AU547:AV547"/>
    <mergeCell ref="AW547:AZ547"/>
    <mergeCell ref="AM548:AN548"/>
    <mergeCell ref="AG555:AH555"/>
    <mergeCell ref="AI555:AJ555"/>
    <mergeCell ref="AK555:AL555"/>
    <mergeCell ref="AW558:AZ558"/>
    <mergeCell ref="AI558:AJ558"/>
    <mergeCell ref="AW555:AZ555"/>
    <mergeCell ref="AW556:AZ556"/>
    <mergeCell ref="AU558:AV558"/>
    <mergeCell ref="AE558:AF558"/>
    <mergeCell ref="AG558:AH558"/>
    <mergeCell ref="AG554:AH554"/>
    <mergeCell ref="AE556:AF556"/>
    <mergeCell ref="AG556:AH556"/>
    <mergeCell ref="AQ555:AR555"/>
    <mergeCell ref="AS555:AT555"/>
    <mergeCell ref="AE555:AF555"/>
    <mergeCell ref="AM553:AN553"/>
    <mergeCell ref="AU554:AV554"/>
    <mergeCell ref="AW548:AZ548"/>
    <mergeCell ref="AO548:AP548"/>
    <mergeCell ref="AW559:AZ559"/>
    <mergeCell ref="AM551:AN551"/>
    <mergeCell ref="AO553:AP553"/>
    <mergeCell ref="AQ553:AR553"/>
    <mergeCell ref="AS553:AT553"/>
    <mergeCell ref="AU553:AV553"/>
    <mergeCell ref="AW553:AZ553"/>
    <mergeCell ref="AW554:AZ554"/>
    <mergeCell ref="AS554:AT554"/>
    <mergeCell ref="AK554:AL554"/>
    <mergeCell ref="AM554:AN554"/>
    <mergeCell ref="AO554:AP554"/>
    <mergeCell ref="AQ554:AR554"/>
    <mergeCell ref="AK559:AL559"/>
    <mergeCell ref="AM559:AN559"/>
    <mergeCell ref="AO559:AP559"/>
    <mergeCell ref="AQ559:AR559"/>
    <mergeCell ref="AS559:AT559"/>
    <mergeCell ref="AU559:AV559"/>
    <mergeCell ref="AM558:AN558"/>
    <mergeCell ref="AO558:AP558"/>
    <mergeCell ref="AQ558:AR558"/>
    <mergeCell ref="AS558:AT558"/>
    <mergeCell ref="AK556:AL556"/>
    <mergeCell ref="AQ556:AR556"/>
    <mergeCell ref="AS556:AT556"/>
    <mergeCell ref="AU556:AV556"/>
    <mergeCell ref="AM555:AN555"/>
    <mergeCell ref="AO555:AP555"/>
    <mergeCell ref="AU555:AV555"/>
    <mergeCell ref="AM556:AN556"/>
    <mergeCell ref="AO556:AP556"/>
    <mergeCell ref="AM560:AN560"/>
    <mergeCell ref="AO560:AP560"/>
    <mergeCell ref="AC561:AD561"/>
    <mergeCell ref="AE561:AF561"/>
    <mergeCell ref="AG561:AH561"/>
    <mergeCell ref="AI561:AJ561"/>
    <mergeCell ref="AK561:AL561"/>
    <mergeCell ref="AM561:AN561"/>
    <mergeCell ref="Y560:Z560"/>
    <mergeCell ref="AA560:AB560"/>
    <mergeCell ref="AC560:AD560"/>
    <mergeCell ref="AE560:AF560"/>
    <mergeCell ref="AG560:AH560"/>
    <mergeCell ref="AI560:AJ560"/>
    <mergeCell ref="AW562:AZ562"/>
    <mergeCell ref="AQ560:AR560"/>
    <mergeCell ref="AS560:AT560"/>
    <mergeCell ref="AU560:AV560"/>
    <mergeCell ref="AO561:AP561"/>
    <mergeCell ref="AQ561:AR561"/>
    <mergeCell ref="AS561:AT561"/>
    <mergeCell ref="AU561:AV561"/>
    <mergeCell ref="AW560:AZ560"/>
    <mergeCell ref="AA561:AB561"/>
    <mergeCell ref="AQ562:AR562"/>
    <mergeCell ref="AS562:AT562"/>
    <mergeCell ref="AU562:AV562"/>
    <mergeCell ref="AK560:AL560"/>
    <mergeCell ref="AK563:AL563"/>
    <mergeCell ref="AW561:AZ561"/>
    <mergeCell ref="Y562:Z562"/>
    <mergeCell ref="AA562:AB562"/>
    <mergeCell ref="AC562:AD562"/>
    <mergeCell ref="AE562:AF562"/>
    <mergeCell ref="AG562:AH562"/>
    <mergeCell ref="AI562:AJ562"/>
    <mergeCell ref="AK562:AL562"/>
    <mergeCell ref="AM562:AN562"/>
    <mergeCell ref="AO562:AP562"/>
    <mergeCell ref="AW563:AZ563"/>
    <mergeCell ref="AE565:AF565"/>
    <mergeCell ref="AG565:AH565"/>
    <mergeCell ref="AI565:AJ565"/>
    <mergeCell ref="AG564:AH564"/>
    <mergeCell ref="AI564:AJ564"/>
    <mergeCell ref="AK564:AL564"/>
    <mergeCell ref="AM564:AN564"/>
    <mergeCell ref="AO564:AP564"/>
    <mergeCell ref="AM563:AN563"/>
    <mergeCell ref="AO563:AP563"/>
    <mergeCell ref="AQ563:AR563"/>
    <mergeCell ref="AS563:AT563"/>
    <mergeCell ref="AU563:AV563"/>
    <mergeCell ref="Y565:Z565"/>
    <mergeCell ref="AA565:AB565"/>
    <mergeCell ref="Y563:Z563"/>
    <mergeCell ref="AA563:AB563"/>
    <mergeCell ref="AE563:AF563"/>
    <mergeCell ref="AG563:AH563"/>
    <mergeCell ref="AC563:AD563"/>
    <mergeCell ref="AW566:AZ566"/>
    <mergeCell ref="AQ564:AR564"/>
    <mergeCell ref="AS564:AT564"/>
    <mergeCell ref="AU564:AV564"/>
    <mergeCell ref="AW564:AZ564"/>
    <mergeCell ref="AK567:AL567"/>
    <mergeCell ref="AM567:AN567"/>
    <mergeCell ref="AO567:AP567"/>
    <mergeCell ref="AQ567:AR567"/>
    <mergeCell ref="AS567:AT567"/>
    <mergeCell ref="AU567:AV567"/>
    <mergeCell ref="AO566:AP566"/>
    <mergeCell ref="AQ566:AR566"/>
    <mergeCell ref="AS566:AT566"/>
    <mergeCell ref="AU566:AV566"/>
    <mergeCell ref="AG567:AH567"/>
    <mergeCell ref="AI567:AJ567"/>
    <mergeCell ref="AW565:AZ565"/>
    <mergeCell ref="AM566:AN566"/>
    <mergeCell ref="AI566:AJ566"/>
    <mergeCell ref="AK566:AL566"/>
    <mergeCell ref="AK565:AL565"/>
    <mergeCell ref="AM565:AN565"/>
    <mergeCell ref="AO565:AP565"/>
    <mergeCell ref="AQ565:AR565"/>
    <mergeCell ref="AS565:AT565"/>
    <mergeCell ref="AU565:AV565"/>
    <mergeCell ref="AW567:AZ567"/>
    <mergeCell ref="AG566:AH566"/>
    <mergeCell ref="AW570:AZ570"/>
    <mergeCell ref="AS569:AT569"/>
    <mergeCell ref="AU569:AV569"/>
    <mergeCell ref="AW569:AZ569"/>
    <mergeCell ref="Y570:Z570"/>
    <mergeCell ref="AA570:AB570"/>
    <mergeCell ref="AC570:AD570"/>
    <mergeCell ref="AE570:AF570"/>
    <mergeCell ref="AG570:AH570"/>
    <mergeCell ref="AI570:AJ570"/>
    <mergeCell ref="AK570:AL570"/>
    <mergeCell ref="AK569:AL569"/>
    <mergeCell ref="AM569:AN569"/>
    <mergeCell ref="AO569:AP569"/>
    <mergeCell ref="AQ569:AR569"/>
    <mergeCell ref="AA569:AB569"/>
    <mergeCell ref="AG569:AH569"/>
    <mergeCell ref="AK571:AL571"/>
    <mergeCell ref="AM571:AN571"/>
    <mergeCell ref="AO571:AP571"/>
    <mergeCell ref="AQ571:AR571"/>
    <mergeCell ref="AS571:AT571"/>
    <mergeCell ref="AU571:AV571"/>
    <mergeCell ref="AA571:AB571"/>
    <mergeCell ref="Y573:Z573"/>
    <mergeCell ref="AM573:AN573"/>
    <mergeCell ref="AO573:AP573"/>
    <mergeCell ref="AQ573:AR573"/>
    <mergeCell ref="AS573:AT573"/>
    <mergeCell ref="AU573:AV573"/>
    <mergeCell ref="AI569:AJ569"/>
    <mergeCell ref="AC571:AD571"/>
    <mergeCell ref="AE571:AF571"/>
    <mergeCell ref="AG571:AH571"/>
    <mergeCell ref="AI571:AJ571"/>
    <mergeCell ref="AM570:AN570"/>
    <mergeCell ref="AO570:AP570"/>
    <mergeCell ref="AQ570:AR570"/>
    <mergeCell ref="AS570:AT570"/>
    <mergeCell ref="AU570:AV570"/>
    <mergeCell ref="AK574:AL574"/>
    <mergeCell ref="AM574:AN574"/>
    <mergeCell ref="AO574:AP574"/>
    <mergeCell ref="AQ574:AR574"/>
    <mergeCell ref="AS574:AT574"/>
    <mergeCell ref="AU574:AV574"/>
    <mergeCell ref="Y574:Z574"/>
    <mergeCell ref="AA574:AB574"/>
    <mergeCell ref="AC574:AD574"/>
    <mergeCell ref="AE574:AF574"/>
    <mergeCell ref="AG574:AH574"/>
    <mergeCell ref="AI574:AJ574"/>
    <mergeCell ref="AA576:AB576"/>
    <mergeCell ref="AS572:AT572"/>
    <mergeCell ref="AU572:AV572"/>
    <mergeCell ref="AW572:AZ572"/>
    <mergeCell ref="Y571:Z571"/>
    <mergeCell ref="AC573:AD573"/>
    <mergeCell ref="AE573:AF573"/>
    <mergeCell ref="AG573:AH573"/>
    <mergeCell ref="AI573:AJ573"/>
    <mergeCell ref="AK573:AL573"/>
    <mergeCell ref="AW571:AZ571"/>
    <mergeCell ref="Y572:Z572"/>
    <mergeCell ref="AA572:AB572"/>
    <mergeCell ref="AC572:AD572"/>
    <mergeCell ref="AE572:AF572"/>
    <mergeCell ref="AG572:AH572"/>
    <mergeCell ref="AI572:AJ572"/>
    <mergeCell ref="AK572:AL572"/>
    <mergeCell ref="AM572:AN572"/>
    <mergeCell ref="AO572:AP572"/>
    <mergeCell ref="AO577:AP577"/>
    <mergeCell ref="AQ577:AR577"/>
    <mergeCell ref="AS577:AT577"/>
    <mergeCell ref="AU577:AV577"/>
    <mergeCell ref="AW577:AZ577"/>
    <mergeCell ref="AC576:AD576"/>
    <mergeCell ref="AU576:AV576"/>
    <mergeCell ref="AW576:AZ576"/>
    <mergeCell ref="AK577:AL577"/>
    <mergeCell ref="Y577:Z577"/>
    <mergeCell ref="AA577:AB577"/>
    <mergeCell ref="AC577:AD577"/>
    <mergeCell ref="AE577:AF577"/>
    <mergeCell ref="AG577:AH577"/>
    <mergeCell ref="AI577:AJ577"/>
    <mergeCell ref="AM577:AN577"/>
    <mergeCell ref="AC578:AD578"/>
    <mergeCell ref="AE578:AF578"/>
    <mergeCell ref="Y578:Z578"/>
    <mergeCell ref="AE576:AF576"/>
    <mergeCell ref="AG576:AH576"/>
    <mergeCell ref="AI576:AJ576"/>
    <mergeCell ref="AK576:AL576"/>
    <mergeCell ref="AM576:AN576"/>
    <mergeCell ref="AO576:AP576"/>
    <mergeCell ref="AQ576:AR576"/>
    <mergeCell ref="AS576:AT576"/>
    <mergeCell ref="AM579:AN579"/>
    <mergeCell ref="AO579:AP579"/>
    <mergeCell ref="AQ579:AR579"/>
    <mergeCell ref="AS579:AT579"/>
    <mergeCell ref="AU579:AV579"/>
    <mergeCell ref="AQ578:AR578"/>
    <mergeCell ref="AS578:AT578"/>
    <mergeCell ref="AU578:AV578"/>
    <mergeCell ref="AW578:AZ578"/>
    <mergeCell ref="Y579:Z579"/>
    <mergeCell ref="AA579:AB579"/>
    <mergeCell ref="AC579:AD579"/>
    <mergeCell ref="AE579:AF579"/>
    <mergeCell ref="AG579:AH579"/>
    <mergeCell ref="AI579:AJ579"/>
    <mergeCell ref="AG578:AH578"/>
    <mergeCell ref="AI578:AJ578"/>
    <mergeCell ref="AK578:AL578"/>
    <mergeCell ref="AM578:AN578"/>
    <mergeCell ref="AO578:AP578"/>
    <mergeCell ref="AA578:AB578"/>
    <mergeCell ref="AS580:AT580"/>
    <mergeCell ref="AU580:AV580"/>
    <mergeCell ref="AW580:AZ580"/>
    <mergeCell ref="Y581:Z581"/>
    <mergeCell ref="AA581:AB581"/>
    <mergeCell ref="AC581:AD581"/>
    <mergeCell ref="AA580:AB580"/>
    <mergeCell ref="AE580:AF580"/>
    <mergeCell ref="Y580:Z580"/>
    <mergeCell ref="AQ582:AR582"/>
    <mergeCell ref="AS582:AT582"/>
    <mergeCell ref="AU582:AV582"/>
    <mergeCell ref="AW582:AZ582"/>
    <mergeCell ref="AG580:AH580"/>
    <mergeCell ref="AI580:AJ580"/>
    <mergeCell ref="AK580:AL580"/>
    <mergeCell ref="AM580:AN580"/>
    <mergeCell ref="AO580:AP580"/>
    <mergeCell ref="AQ580:AR580"/>
    <mergeCell ref="AI582:AJ582"/>
    <mergeCell ref="AK582:AL582"/>
    <mergeCell ref="AM582:AN582"/>
    <mergeCell ref="AC582:AD582"/>
    <mergeCell ref="AE582:AF582"/>
    <mergeCell ref="AO582:AP582"/>
    <mergeCell ref="AO581:AP581"/>
    <mergeCell ref="AQ581:AR581"/>
    <mergeCell ref="AS581:AT581"/>
    <mergeCell ref="AU581:AV581"/>
    <mergeCell ref="AW581:AZ581"/>
    <mergeCell ref="AC580:AD580"/>
    <mergeCell ref="AW584:AZ584"/>
    <mergeCell ref="AU588:AV588"/>
    <mergeCell ref="AW588:AZ588"/>
    <mergeCell ref="AU585:AV585"/>
    <mergeCell ref="AW585:AZ585"/>
    <mergeCell ref="AW587:AZ587"/>
    <mergeCell ref="AM584:AN584"/>
    <mergeCell ref="AO584:AP584"/>
    <mergeCell ref="AQ584:AR584"/>
    <mergeCell ref="AQ585:AR585"/>
    <mergeCell ref="AQ588:AR588"/>
    <mergeCell ref="AI587:AJ587"/>
    <mergeCell ref="AO586:AP586"/>
    <mergeCell ref="AQ586:AR586"/>
    <mergeCell ref="AM585:AN585"/>
    <mergeCell ref="AO585:AP585"/>
    <mergeCell ref="AS587:AT587"/>
    <mergeCell ref="AU587:AV587"/>
    <mergeCell ref="AW593:AZ593"/>
    <mergeCell ref="AM594:AN594"/>
    <mergeCell ref="AE594:AF594"/>
    <mergeCell ref="AG594:AH594"/>
    <mergeCell ref="AI594:AJ594"/>
    <mergeCell ref="AW586:AZ586"/>
    <mergeCell ref="AQ593:AR593"/>
    <mergeCell ref="AM587:AN587"/>
    <mergeCell ref="AO587:AP587"/>
    <mergeCell ref="AA587:AB587"/>
    <mergeCell ref="AC587:AD587"/>
    <mergeCell ref="AE587:AF587"/>
    <mergeCell ref="AG587:AH587"/>
    <mergeCell ref="AO591:AP591"/>
    <mergeCell ref="AS589:AT589"/>
    <mergeCell ref="AU589:AV589"/>
    <mergeCell ref="AW589:AZ589"/>
    <mergeCell ref="AE588:AF588"/>
    <mergeCell ref="AS591:AT591"/>
    <mergeCell ref="AU591:AV591"/>
    <mergeCell ref="AW591:AZ591"/>
    <mergeCell ref="AE589:AF589"/>
    <mergeCell ref="AG591:AH591"/>
    <mergeCell ref="AS588:AT588"/>
    <mergeCell ref="AW592:AZ592"/>
    <mergeCell ref="AG589:AH589"/>
    <mergeCell ref="AI589:AJ589"/>
    <mergeCell ref="AK589:AL589"/>
    <mergeCell ref="AM589:AN589"/>
    <mergeCell ref="AO589:AP589"/>
    <mergeCell ref="AQ589:AR589"/>
    <mergeCell ref="AI588:AJ588"/>
    <mergeCell ref="AM586:AN586"/>
    <mergeCell ref="AE585:AF585"/>
    <mergeCell ref="AG585:AH585"/>
    <mergeCell ref="AG584:AH584"/>
    <mergeCell ref="AI584:AJ584"/>
    <mergeCell ref="AU592:AV592"/>
    <mergeCell ref="AE593:AF593"/>
    <mergeCell ref="AK584:AL584"/>
    <mergeCell ref="AI591:AJ591"/>
    <mergeCell ref="AK591:AL591"/>
    <mergeCell ref="AS585:AT585"/>
    <mergeCell ref="AS584:AT584"/>
    <mergeCell ref="AU584:AV584"/>
    <mergeCell ref="AC583:AD583"/>
    <mergeCell ref="AE583:AF583"/>
    <mergeCell ref="AG583:AH583"/>
    <mergeCell ref="AI583:AJ583"/>
    <mergeCell ref="AK583:AL583"/>
    <mergeCell ref="AG596:AH596"/>
    <mergeCell ref="AI596:AJ596"/>
    <mergeCell ref="AK596:AL596"/>
    <mergeCell ref="U562:X562"/>
    <mergeCell ref="U563:X563"/>
    <mergeCell ref="AC586:AD586"/>
    <mergeCell ref="AE586:AF586"/>
    <mergeCell ref="Y583:Z583"/>
    <mergeCell ref="U547:X547"/>
    <mergeCell ref="U548:X548"/>
    <mergeCell ref="U550:X550"/>
    <mergeCell ref="U551:X551"/>
    <mergeCell ref="U552:X552"/>
    <mergeCell ref="AC595:AD595"/>
    <mergeCell ref="AE595:AF595"/>
    <mergeCell ref="AC591:AD591"/>
    <mergeCell ref="AE591:AF591"/>
    <mergeCell ref="AC588:AD588"/>
    <mergeCell ref="AG595:AH595"/>
    <mergeCell ref="AC589:AD589"/>
    <mergeCell ref="AC592:AD592"/>
    <mergeCell ref="AA573:AB573"/>
    <mergeCell ref="AG592:AH592"/>
    <mergeCell ref="AI592:AJ592"/>
    <mergeCell ref="AK587:AL587"/>
    <mergeCell ref="U579:X579"/>
    <mergeCell ref="U580:X580"/>
    <mergeCell ref="AC585:AD585"/>
    <mergeCell ref="Y576:Z576"/>
    <mergeCell ref="AA583:AB583"/>
    <mergeCell ref="AK588:AL588"/>
    <mergeCell ref="AG588:AH588"/>
    <mergeCell ref="U572:X572"/>
    <mergeCell ref="U573:X573"/>
    <mergeCell ref="AC584:AD584"/>
    <mergeCell ref="U564:X564"/>
    <mergeCell ref="AA584:AB584"/>
    <mergeCell ref="AA582:AB582"/>
    <mergeCell ref="AE592:AF592"/>
    <mergeCell ref="Y569:Z569"/>
    <mergeCell ref="AC569:AD569"/>
    <mergeCell ref="AE569:AF569"/>
    <mergeCell ref="AC565:AD565"/>
    <mergeCell ref="AC567:AD567"/>
    <mergeCell ref="AE567:AF567"/>
    <mergeCell ref="Y564:Z564"/>
    <mergeCell ref="AA564:AB564"/>
    <mergeCell ref="AK594:AL594"/>
    <mergeCell ref="U586:X586"/>
    <mergeCell ref="U589:X589"/>
    <mergeCell ref="Y585:Z585"/>
    <mergeCell ref="AA585:AB585"/>
    <mergeCell ref="AA591:AB591"/>
    <mergeCell ref="Y589:Z589"/>
    <mergeCell ref="AA589:AB589"/>
    <mergeCell ref="AA588:AB588"/>
    <mergeCell ref="AA586:AB586"/>
    <mergeCell ref="U566:X566"/>
    <mergeCell ref="AA592:AB592"/>
    <mergeCell ref="AE584:AF584"/>
    <mergeCell ref="AG586:AH586"/>
    <mergeCell ref="AI586:AJ586"/>
    <mergeCell ref="AK586:AL586"/>
    <mergeCell ref="AK579:AL579"/>
    <mergeCell ref="T626:V626"/>
    <mergeCell ref="W626:Y626"/>
    <mergeCell ref="AC594:AD594"/>
    <mergeCell ref="AI595:AJ595"/>
    <mergeCell ref="AK595:AL595"/>
    <mergeCell ref="AM595:AN595"/>
    <mergeCell ref="Y587:Z587"/>
    <mergeCell ref="R598:T598"/>
    <mergeCell ref="U598:X598"/>
    <mergeCell ref="Y598:Z598"/>
    <mergeCell ref="AA598:AB598"/>
    <mergeCell ref="AC598:AD598"/>
    <mergeCell ref="AE598:AF598"/>
    <mergeCell ref="B625:P626"/>
    <mergeCell ref="Y596:Z596"/>
    <mergeCell ref="B602:Q602"/>
    <mergeCell ref="AC599:AD599"/>
    <mergeCell ref="AE599:AF599"/>
    <mergeCell ref="AG599:AH599"/>
    <mergeCell ref="AI598:AJ598"/>
    <mergeCell ref="AK598:AL598"/>
    <mergeCell ref="AM598:AN598"/>
    <mergeCell ref="AG598:AH598"/>
    <mergeCell ref="Y594:Z594"/>
    <mergeCell ref="AA594:AB594"/>
    <mergeCell ref="Y595:Z595"/>
    <mergeCell ref="AA595:AB595"/>
    <mergeCell ref="R597:T597"/>
    <mergeCell ref="AE597:AF597"/>
    <mergeCell ref="AL626:AN626"/>
    <mergeCell ref="Q626:S626"/>
    <mergeCell ref="AA596:AB596"/>
    <mergeCell ref="AC593:AD593"/>
    <mergeCell ref="AK593:AL593"/>
    <mergeCell ref="AM593:AN593"/>
    <mergeCell ref="AK592:AL592"/>
    <mergeCell ref="AI585:AJ585"/>
    <mergeCell ref="AK585:AL585"/>
    <mergeCell ref="AF627:AH627"/>
    <mergeCell ref="AI627:AK627"/>
    <mergeCell ref="AC627:AE627"/>
    <mergeCell ref="AC626:AE626"/>
    <mergeCell ref="AF626:AH626"/>
    <mergeCell ref="AI626:AK626"/>
    <mergeCell ref="Z628:AB628"/>
    <mergeCell ref="AC629:AE629"/>
    <mergeCell ref="AC628:AE628"/>
    <mergeCell ref="AS600:AT600"/>
    <mergeCell ref="AQ599:AR599"/>
    <mergeCell ref="AS599:AT599"/>
    <mergeCell ref="AQ596:AR596"/>
    <mergeCell ref="AG597:AH597"/>
    <mergeCell ref="AI597:AJ597"/>
    <mergeCell ref="AK597:AL597"/>
    <mergeCell ref="AM597:AN597"/>
    <mergeCell ref="AO597:AP597"/>
    <mergeCell ref="AQ597:AR597"/>
    <mergeCell ref="AS597:AT597"/>
    <mergeCell ref="AM620:AN620"/>
    <mergeCell ref="AO594:AP594"/>
    <mergeCell ref="AQ594:AR594"/>
    <mergeCell ref="AS594:AT594"/>
    <mergeCell ref="AC596:AD596"/>
    <mergeCell ref="AE596:AF596"/>
    <mergeCell ref="Z629:AB629"/>
    <mergeCell ref="AR641:AT641"/>
    <mergeCell ref="T641:V641"/>
    <mergeCell ref="W641:Y641"/>
    <mergeCell ref="Z641:AB641"/>
    <mergeCell ref="AI634:AK634"/>
    <mergeCell ref="W646:Y646"/>
    <mergeCell ref="AF642:AH642"/>
    <mergeCell ref="AI642:AK642"/>
    <mergeCell ref="AL642:AN642"/>
    <mergeCell ref="AO642:AQ642"/>
    <mergeCell ref="AC641:AE641"/>
    <mergeCell ref="AF641:AH641"/>
    <mergeCell ref="AI641:AK641"/>
    <mergeCell ref="AL641:AN641"/>
    <mergeCell ref="AO641:AQ641"/>
    <mergeCell ref="T643:V643"/>
    <mergeCell ref="AL634:AN634"/>
    <mergeCell ref="AO634:AQ634"/>
    <mergeCell ref="AL635:AN635"/>
    <mergeCell ref="AO635:AQ635"/>
    <mergeCell ref="W635:Y635"/>
    <mergeCell ref="Z635:AB635"/>
    <mergeCell ref="W640:Y640"/>
    <mergeCell ref="Z640:AB640"/>
    <mergeCell ref="AR633:AT633"/>
    <mergeCell ref="W634:Y634"/>
    <mergeCell ref="B639:P640"/>
    <mergeCell ref="AO648:AQ648"/>
    <mergeCell ref="AR648:AT648"/>
    <mergeCell ref="B627:P627"/>
    <mergeCell ref="Q627:S627"/>
    <mergeCell ref="T627:V627"/>
    <mergeCell ref="W627:Y627"/>
    <mergeCell ref="Z627:AB627"/>
    <mergeCell ref="B629:P629"/>
    <mergeCell ref="Q629:S629"/>
    <mergeCell ref="B634:P634"/>
    <mergeCell ref="Q634:S634"/>
    <mergeCell ref="AF634:AH634"/>
    <mergeCell ref="AL645:AN645"/>
    <mergeCell ref="AO645:AQ645"/>
    <mergeCell ref="AL644:AN644"/>
    <mergeCell ref="AO644:AQ644"/>
    <mergeCell ref="AF643:AH643"/>
    <mergeCell ref="AI643:AK643"/>
    <mergeCell ref="AR643:AT643"/>
    <mergeCell ref="AO643:AQ643"/>
    <mergeCell ref="AL643:AN643"/>
    <mergeCell ref="Z643:AB643"/>
    <mergeCell ref="H645:P645"/>
    <mergeCell ref="Q645:S645"/>
    <mergeCell ref="T645:V645"/>
    <mergeCell ref="W645:Y645"/>
    <mergeCell ref="H642:P642"/>
    <mergeCell ref="AC642:AE642"/>
    <mergeCell ref="T634:V634"/>
    <mergeCell ref="T642:V642"/>
    <mergeCell ref="W642:Y642"/>
    <mergeCell ref="Q642:S642"/>
    <mergeCell ref="AR640:AT640"/>
    <mergeCell ref="AI640:AK640"/>
    <mergeCell ref="AL640:AN640"/>
    <mergeCell ref="AC643:AE643"/>
    <mergeCell ref="Z642:AB642"/>
    <mergeCell ref="AO640:AQ640"/>
    <mergeCell ref="AR642:AT642"/>
    <mergeCell ref="AR644:AT644"/>
    <mergeCell ref="Z645:AB645"/>
    <mergeCell ref="AC645:AE645"/>
    <mergeCell ref="Z652:AB652"/>
    <mergeCell ref="AL652:AN652"/>
    <mergeCell ref="AO652:AQ652"/>
    <mergeCell ref="AR652:AT652"/>
    <mergeCell ref="AC652:AE652"/>
    <mergeCell ref="AF652:AH652"/>
    <mergeCell ref="AI652:AK652"/>
    <mergeCell ref="AF649:AH649"/>
    <mergeCell ref="AI649:AK649"/>
    <mergeCell ref="AL649:AN649"/>
    <mergeCell ref="AO649:AQ649"/>
    <mergeCell ref="Z648:AB648"/>
    <mergeCell ref="AF645:AH645"/>
    <mergeCell ref="AF647:AH647"/>
    <mergeCell ref="AI647:AK647"/>
    <mergeCell ref="AL647:AN647"/>
    <mergeCell ref="AO647:AQ647"/>
    <mergeCell ref="AO651:AQ651"/>
    <mergeCell ref="AR651:AT651"/>
    <mergeCell ref="W649:Y649"/>
    <mergeCell ref="Q650:S650"/>
    <mergeCell ref="H647:P647"/>
    <mergeCell ref="Q647:S647"/>
    <mergeCell ref="T647:V647"/>
    <mergeCell ref="W647:Y647"/>
    <mergeCell ref="Z647:AB647"/>
    <mergeCell ref="W643:Y643"/>
    <mergeCell ref="B641:G644"/>
    <mergeCell ref="Z654:AB654"/>
    <mergeCell ref="H653:P653"/>
    <mergeCell ref="Q653:S653"/>
    <mergeCell ref="T653:V653"/>
    <mergeCell ref="W653:Y653"/>
    <mergeCell ref="Z653:AB653"/>
    <mergeCell ref="B708:K708"/>
    <mergeCell ref="L708:N708"/>
    <mergeCell ref="O708:R708"/>
    <mergeCell ref="S708:V708"/>
    <mergeCell ref="W708:AE708"/>
    <mergeCell ref="W656:Y656"/>
    <mergeCell ref="Z656:AB656"/>
    <mergeCell ref="AC656:AE656"/>
    <mergeCell ref="H644:P644"/>
    <mergeCell ref="Q644:S644"/>
    <mergeCell ref="AC648:AE648"/>
    <mergeCell ref="T651:V651"/>
    <mergeCell ref="W651:Y651"/>
    <mergeCell ref="Z650:AB650"/>
    <mergeCell ref="H649:P649"/>
    <mergeCell ref="B660:AZ660"/>
    <mergeCell ref="B661:M661"/>
    <mergeCell ref="Q663:S663"/>
    <mergeCell ref="T663:V663"/>
    <mergeCell ref="H643:P643"/>
    <mergeCell ref="Q643:S643"/>
    <mergeCell ref="AR647:AT647"/>
    <mergeCell ref="H656:P656"/>
    <mergeCell ref="S783:AB784"/>
    <mergeCell ref="Q783:R784"/>
    <mergeCell ref="S772:AB772"/>
    <mergeCell ref="S773:AB773"/>
    <mergeCell ref="S774:AB774"/>
    <mergeCell ref="S775:AB775"/>
    <mergeCell ref="Q779:R779"/>
    <mergeCell ref="Q780:R780"/>
    <mergeCell ref="S782:AB782"/>
    <mergeCell ref="G776:P780"/>
    <mergeCell ref="G766:P769"/>
    <mergeCell ref="G782:P782"/>
    <mergeCell ref="G783:P783"/>
    <mergeCell ref="S776:AB776"/>
    <mergeCell ref="S777:AB777"/>
    <mergeCell ref="S778:AB778"/>
    <mergeCell ref="S779:AB779"/>
    <mergeCell ref="Q781:R781"/>
    <mergeCell ref="S768:AB768"/>
    <mergeCell ref="S769:AB769"/>
    <mergeCell ref="S770:AB770"/>
    <mergeCell ref="S771:AB771"/>
    <mergeCell ref="G781:P781"/>
    <mergeCell ref="Q776:R776"/>
    <mergeCell ref="Q777:R777"/>
    <mergeCell ref="Q778:R778"/>
    <mergeCell ref="Q772:R772"/>
    <mergeCell ref="S767:AB767"/>
    <mergeCell ref="S766:AB766"/>
    <mergeCell ref="Q782:R782"/>
    <mergeCell ref="G775:P775"/>
    <mergeCell ref="S780:AB780"/>
    <mergeCell ref="Z626:AB626"/>
    <mergeCell ref="AR628:AT628"/>
    <mergeCell ref="H648:P648"/>
    <mergeCell ref="Q648:S648"/>
    <mergeCell ref="T648:V648"/>
    <mergeCell ref="W648:Y648"/>
    <mergeCell ref="AI635:AK635"/>
    <mergeCell ref="U567:X567"/>
    <mergeCell ref="U569:X569"/>
    <mergeCell ref="U570:X570"/>
    <mergeCell ref="U571:X571"/>
    <mergeCell ref="AO626:AQ626"/>
    <mergeCell ref="AC640:AE640"/>
    <mergeCell ref="AF640:AH640"/>
    <mergeCell ref="AO633:AQ633"/>
    <mergeCell ref="AL627:AN627"/>
    <mergeCell ref="AO627:AQ627"/>
    <mergeCell ref="AI628:AK628"/>
    <mergeCell ref="AR634:AT634"/>
    <mergeCell ref="Q635:S635"/>
    <mergeCell ref="AF635:AH635"/>
    <mergeCell ref="Z634:AB634"/>
    <mergeCell ref="AC634:AE634"/>
    <mergeCell ref="Q640:S640"/>
    <mergeCell ref="T640:V640"/>
    <mergeCell ref="H641:P641"/>
    <mergeCell ref="Q641:S641"/>
    <mergeCell ref="AC635:AE635"/>
    <mergeCell ref="R580:T580"/>
    <mergeCell ref="R581:T581"/>
    <mergeCell ref="R582:T582"/>
    <mergeCell ref="R584:T584"/>
    <mergeCell ref="R571:T571"/>
    <mergeCell ref="R576:T576"/>
    <mergeCell ref="R573:T573"/>
    <mergeCell ref="R574:T574"/>
    <mergeCell ref="R579:T579"/>
    <mergeCell ref="R577:T577"/>
    <mergeCell ref="R578:T578"/>
    <mergeCell ref="Z343:AD343"/>
    <mergeCell ref="Y408:AC408"/>
    <mergeCell ref="AD404:AJ404"/>
    <mergeCell ref="U577:X577"/>
    <mergeCell ref="U578:X578"/>
    <mergeCell ref="U565:X565"/>
    <mergeCell ref="AI563:AJ563"/>
    <mergeCell ref="R560:T560"/>
    <mergeCell ref="R561:T561"/>
    <mergeCell ref="Y555:Z555"/>
    <mergeCell ref="AA555:AB555"/>
    <mergeCell ref="Y556:Z556"/>
    <mergeCell ref="AA551:AB551"/>
    <mergeCell ref="AC551:AD551"/>
    <mergeCell ref="AA556:AB556"/>
    <mergeCell ref="AC556:AD556"/>
    <mergeCell ref="AC555:AD555"/>
    <mergeCell ref="R564:T564"/>
    <mergeCell ref="AE566:AF566"/>
    <mergeCell ref="U581:X581"/>
    <mergeCell ref="U558:X558"/>
    <mergeCell ref="Y400:AC400"/>
    <mergeCell ref="AD400:AJ400"/>
    <mergeCell ref="AK405:AW405"/>
    <mergeCell ref="U592:X592"/>
    <mergeCell ref="AM596:AN596"/>
    <mergeCell ref="AO596:AP596"/>
    <mergeCell ref="Y597:Z597"/>
    <mergeCell ref="AA597:AB597"/>
    <mergeCell ref="AC597:AD597"/>
    <mergeCell ref="B312:C312"/>
    <mergeCell ref="D312:AD312"/>
    <mergeCell ref="W329:AA329"/>
    <mergeCell ref="AG353:AJ353"/>
    <mergeCell ref="B313:C313"/>
    <mergeCell ref="B314:C314"/>
    <mergeCell ref="B315:C315"/>
    <mergeCell ref="U546:X546"/>
    <mergeCell ref="U582:X582"/>
    <mergeCell ref="U583:X583"/>
    <mergeCell ref="U584:X584"/>
    <mergeCell ref="Y584:Z584"/>
    <mergeCell ref="Y582:Z582"/>
    <mergeCell ref="V515:W515"/>
    <mergeCell ref="X515:Y515"/>
    <mergeCell ref="B533:T533"/>
    <mergeCell ref="U533:V533"/>
    <mergeCell ref="U559:X559"/>
    <mergeCell ref="U560:X560"/>
    <mergeCell ref="U561:X561"/>
    <mergeCell ref="U574:X574"/>
    <mergeCell ref="U576:X576"/>
    <mergeCell ref="R551:T551"/>
    <mergeCell ref="AI601:AJ601"/>
    <mergeCell ref="AK601:AL601"/>
    <mergeCell ref="AM601:AN601"/>
    <mergeCell ref="AO601:AP601"/>
    <mergeCell ref="AQ601:AR601"/>
    <mergeCell ref="AS601:AT601"/>
    <mergeCell ref="AO598:AP598"/>
    <mergeCell ref="AO583:AP583"/>
    <mergeCell ref="AQ583:AR583"/>
    <mergeCell ref="AS583:AT583"/>
    <mergeCell ref="AU583:AV583"/>
    <mergeCell ref="AW583:AZ583"/>
    <mergeCell ref="AW579:AZ579"/>
    <mergeCell ref="AW574:AZ574"/>
    <mergeCell ref="AW596:AZ596"/>
    <mergeCell ref="AU599:AV599"/>
    <mergeCell ref="AW599:AZ599"/>
    <mergeCell ref="AW594:AZ594"/>
    <mergeCell ref="AU597:AV597"/>
    <mergeCell ref="AQ595:AR595"/>
    <mergeCell ref="AS595:AT595"/>
    <mergeCell ref="AU595:AV595"/>
    <mergeCell ref="AU594:AV594"/>
    <mergeCell ref="AM592:AN592"/>
    <mergeCell ref="AO592:AP592"/>
    <mergeCell ref="AQ592:AR592"/>
    <mergeCell ref="AS592:AT592"/>
    <mergeCell ref="AO593:AP593"/>
    <mergeCell ref="AO595:AP595"/>
    <mergeCell ref="AW595:AZ595"/>
    <mergeCell ref="AS593:AT593"/>
    <mergeCell ref="AU593:AV593"/>
    <mergeCell ref="Y406:AC406"/>
    <mergeCell ref="AD406:AJ406"/>
    <mergeCell ref="Y404:AC404"/>
    <mergeCell ref="AF708:AZ708"/>
    <mergeCell ref="G787:P787"/>
    <mergeCell ref="AQ598:AR598"/>
    <mergeCell ref="AC601:AD601"/>
    <mergeCell ref="AE601:AF601"/>
    <mergeCell ref="AE533:AF533"/>
    <mergeCell ref="U587:X587"/>
    <mergeCell ref="U588:X588"/>
    <mergeCell ref="Y591:Z591"/>
    <mergeCell ref="Y588:Z588"/>
    <mergeCell ref="Y586:Z586"/>
    <mergeCell ref="U585:X585"/>
    <mergeCell ref="U593:X593"/>
    <mergeCell ref="U594:X594"/>
    <mergeCell ref="U595:X595"/>
    <mergeCell ref="U596:X596"/>
    <mergeCell ref="B690:G690"/>
    <mergeCell ref="AU601:AV601"/>
    <mergeCell ref="Q628:S628"/>
    <mergeCell ref="T628:V628"/>
    <mergeCell ref="U591:X591"/>
    <mergeCell ref="Y593:Z593"/>
    <mergeCell ref="Y592:Z592"/>
    <mergeCell ref="R572:T572"/>
    <mergeCell ref="U597:X597"/>
    <mergeCell ref="AG593:AH593"/>
    <mergeCell ref="Q625:AT625"/>
    <mergeCell ref="AI593:AJ593"/>
    <mergeCell ref="AS596:AT596"/>
    <mergeCell ref="AS620:AZ620"/>
    <mergeCell ref="AX413:AZ419"/>
    <mergeCell ref="AK399:AW399"/>
    <mergeCell ref="AK400:AW400"/>
    <mergeCell ref="AK415:AW415"/>
    <mergeCell ref="AX372:AZ372"/>
    <mergeCell ref="AX373:AZ375"/>
    <mergeCell ref="AX376:AZ382"/>
    <mergeCell ref="AX383:AZ392"/>
    <mergeCell ref="AX393:AZ398"/>
    <mergeCell ref="AX399:AZ412"/>
    <mergeCell ref="AK416:AW416"/>
    <mergeCell ref="AK417:AW417"/>
    <mergeCell ref="AK418:AW418"/>
    <mergeCell ref="AK391:AW391"/>
    <mergeCell ref="AK378:AW378"/>
    <mergeCell ref="AK386:AW386"/>
    <mergeCell ref="AK393:AW393"/>
    <mergeCell ref="AK398:AW398"/>
    <mergeCell ref="AS586:AT586"/>
    <mergeCell ref="AU586:AV586"/>
    <mergeCell ref="AQ591:AR591"/>
    <mergeCell ref="AM583:AN583"/>
    <mergeCell ref="AK384:AW384"/>
    <mergeCell ref="AK385:AW385"/>
    <mergeCell ref="AU596:AV596"/>
    <mergeCell ref="AW573:AZ573"/>
    <mergeCell ref="AQ572:AR572"/>
    <mergeCell ref="AM588:AN588"/>
    <mergeCell ref="AO588:AP588"/>
    <mergeCell ref="AM591:AN591"/>
    <mergeCell ref="AQ587:AR587"/>
    <mergeCell ref="AA593:AB593"/>
    <mergeCell ref="AG601:AH601"/>
    <mergeCell ref="AK377:AW377"/>
    <mergeCell ref="AK409:AW409"/>
    <mergeCell ref="AK410:AW410"/>
    <mergeCell ref="AK411:AW411"/>
    <mergeCell ref="AK406:AW406"/>
    <mergeCell ref="AC333:AG333"/>
    <mergeCell ref="AH333:AL333"/>
    <mergeCell ref="AK355:AN355"/>
    <mergeCell ref="Y402:AC402"/>
    <mergeCell ref="AR363:AT363"/>
    <mergeCell ref="AD395:AJ395"/>
    <mergeCell ref="X336:AB336"/>
    <mergeCell ref="AH338:AL338"/>
    <mergeCell ref="Y348:AB348"/>
    <mergeCell ref="X335:AB335"/>
    <mergeCell ref="AC335:AG335"/>
    <mergeCell ref="AH335:AL335"/>
    <mergeCell ref="X337:AB337"/>
    <mergeCell ref="AC337:AG337"/>
    <mergeCell ref="AH337:AL337"/>
    <mergeCell ref="U353:X353"/>
    <mergeCell ref="Y353:AB353"/>
    <mergeCell ref="AK349:AN349"/>
    <mergeCell ref="AK392:AW392"/>
    <mergeCell ref="AK353:AN353"/>
    <mergeCell ref="U348:X348"/>
    <mergeCell ref="AD378:AJ378"/>
    <mergeCell ref="AD375:AJ375"/>
    <mergeCell ref="AW597:AZ597"/>
    <mergeCell ref="AD398:AJ398"/>
    <mergeCell ref="AD376:AJ376"/>
    <mergeCell ref="AK387:AW387"/>
    <mergeCell ref="AK388:AW388"/>
    <mergeCell ref="X340:AB340"/>
    <mergeCell ref="Y398:AC398"/>
    <mergeCell ref="AX287:AZ291"/>
    <mergeCell ref="AK373:AW373"/>
    <mergeCell ref="AK374:AW374"/>
    <mergeCell ref="AK375:AW375"/>
    <mergeCell ref="AK376:AW376"/>
    <mergeCell ref="AH336:AL336"/>
    <mergeCell ref="AG354:AJ354"/>
    <mergeCell ref="AC354:AF354"/>
    <mergeCell ref="AD373:AJ373"/>
    <mergeCell ref="AD374:AJ374"/>
    <mergeCell ref="Y375:AC375"/>
    <mergeCell ref="Y356:AB356"/>
    <mergeCell ref="AC356:AF356"/>
    <mergeCell ref="AK354:AN354"/>
    <mergeCell ref="Z364:AB364"/>
    <mergeCell ref="B360:AZ360"/>
    <mergeCell ref="AK379:AW379"/>
    <mergeCell ref="AK380:AW380"/>
    <mergeCell ref="AK381:AW381"/>
    <mergeCell ref="AK382:AW382"/>
    <mergeCell ref="AK389:AW389"/>
    <mergeCell ref="AK383:AW383"/>
    <mergeCell ref="AD377:AJ377"/>
    <mergeCell ref="Y372:AC372"/>
    <mergeCell ref="K289:AA291"/>
    <mergeCell ref="B287:J291"/>
    <mergeCell ref="V301:AO301"/>
    <mergeCell ref="AK372:AW372"/>
    <mergeCell ref="AX271:AZ276"/>
    <mergeCell ref="AX277:AZ286"/>
    <mergeCell ref="AC281:AW281"/>
    <mergeCell ref="S336:W336"/>
    <mergeCell ref="S335:W335"/>
    <mergeCell ref="B335:R335"/>
    <mergeCell ref="AP326:AY326"/>
    <mergeCell ref="AC289:AW289"/>
    <mergeCell ref="AC290:AW290"/>
    <mergeCell ref="B308:C308"/>
    <mergeCell ref="K271:AA271"/>
    <mergeCell ref="AC259:AW259"/>
    <mergeCell ref="AC260:AW260"/>
    <mergeCell ref="AC261:AW261"/>
    <mergeCell ref="AC262:AW262"/>
    <mergeCell ref="AC263:AW263"/>
    <mergeCell ref="AC265:AW265"/>
    <mergeCell ref="AC266:AW266"/>
    <mergeCell ref="AC364:AE364"/>
    <mergeCell ref="AF364:AH364"/>
    <mergeCell ref="AX255:AZ260"/>
    <mergeCell ref="AC264:AW264"/>
    <mergeCell ref="K262:AA265"/>
    <mergeCell ref="K266:AA266"/>
    <mergeCell ref="K267:AA270"/>
    <mergeCell ref="AX261:AZ270"/>
    <mergeCell ref="AC255:AW255"/>
    <mergeCell ref="AC256:AW256"/>
    <mergeCell ref="K272:AA276"/>
    <mergeCell ref="B277:J286"/>
    <mergeCell ref="K282:AA286"/>
    <mergeCell ref="M354:P354"/>
    <mergeCell ref="Q354:T354"/>
    <mergeCell ref="U354:X354"/>
    <mergeCell ref="AG358:AJ358"/>
    <mergeCell ref="AG355:AJ355"/>
    <mergeCell ref="AK358:AN358"/>
    <mergeCell ref="H326:K326"/>
    <mergeCell ref="AU6:AZ6"/>
    <mergeCell ref="AO6:AT6"/>
    <mergeCell ref="AQ109:AT109"/>
    <mergeCell ref="AC268:AW268"/>
    <mergeCell ref="AC291:AW291"/>
    <mergeCell ref="V296:AO296"/>
    <mergeCell ref="AC278:AW278"/>
    <mergeCell ref="AC279:AW279"/>
    <mergeCell ref="AC280:AW280"/>
    <mergeCell ref="K277:AA281"/>
    <mergeCell ref="AC271:AW271"/>
    <mergeCell ref="AC272:AW272"/>
    <mergeCell ref="B44:R44"/>
    <mergeCell ref="B24:P24"/>
    <mergeCell ref="Q24:AZ24"/>
    <mergeCell ref="B41:R41"/>
    <mergeCell ref="S41:AZ41"/>
    <mergeCell ref="AC276:AW276"/>
    <mergeCell ref="AC277:AW277"/>
    <mergeCell ref="AP299:AZ299"/>
    <mergeCell ref="Q26:AZ26"/>
    <mergeCell ref="B27:P27"/>
    <mergeCell ref="Q27:AZ27"/>
    <mergeCell ref="B20:N20"/>
    <mergeCell ref="O20:AA20"/>
    <mergeCell ref="B42:R42"/>
    <mergeCell ref="S42:AZ42"/>
    <mergeCell ref="AC31:AZ31"/>
    <mergeCell ref="AC36:AZ36"/>
    <mergeCell ref="B16:AA16"/>
    <mergeCell ref="AB16:AZ16"/>
    <mergeCell ref="B17:AA17"/>
    <mergeCell ref="AB17:AZ17"/>
    <mergeCell ref="B19:N19"/>
    <mergeCell ref="AC257:AW257"/>
    <mergeCell ref="AC269:AW269"/>
    <mergeCell ref="AC270:AW270"/>
    <mergeCell ref="AC258:AW258"/>
    <mergeCell ref="K255:AA256"/>
    <mergeCell ref="K259:AA260"/>
    <mergeCell ref="Q349:T349"/>
    <mergeCell ref="AK350:AN350"/>
    <mergeCell ref="AB20:AN20"/>
    <mergeCell ref="AO20:AZ20"/>
    <mergeCell ref="AN51:AO51"/>
    <mergeCell ref="AP51:AQ51"/>
    <mergeCell ref="AR51:AT51"/>
    <mergeCell ref="B65:N65"/>
    <mergeCell ref="O65:AZ65"/>
    <mergeCell ref="O19:AA19"/>
    <mergeCell ref="AB19:AN19"/>
    <mergeCell ref="AO19:AZ19"/>
    <mergeCell ref="B18:AZ18"/>
    <mergeCell ref="Q25:AZ25"/>
    <mergeCell ref="B26:P26"/>
    <mergeCell ref="AE82:AL82"/>
    <mergeCell ref="B83:AD83"/>
  </mergeCells>
  <printOptions horizontalCentered="1" verticalCentered="1"/>
  <pageMargins left="0.25" right="0.25" top="0.75" bottom="0.75" header="0.3" footer="0.3"/>
  <pageSetup paperSize="9" scale="54" fitToHeight="0" orientation="landscape" r:id="rId1"/>
  <rowBreaks count="19" manualBreakCount="19">
    <brk id="44" max="52" man="1"/>
    <brk id="92" max="52" man="1"/>
    <brk id="138" max="52" man="1"/>
    <brk id="186" max="52" man="1"/>
    <brk id="227" max="52" man="1"/>
    <brk id="276" max="52" man="1"/>
    <brk id="311" max="52" man="1"/>
    <brk id="358" max="52" man="1"/>
    <brk id="388" max="52" man="1"/>
    <brk id="419" max="52" man="1"/>
    <brk id="448" max="52" man="1"/>
    <brk id="476" max="52" man="1"/>
    <brk id="517" max="52" man="1"/>
    <brk id="556" max="52" man="1"/>
    <brk id="589" max="52" man="1"/>
    <brk id="635" max="52" man="1"/>
    <brk id="686" max="52" man="1"/>
    <brk id="746" max="52" man="1"/>
    <brk id="770" max="52" man="1"/>
  </rowBreaks>
  <ignoredErrors>
    <ignoredError sqref="AT512:AZ514 AU511:AZ511 AU516:AZ516 R551:T556 R544 R546:T547 R558:T558 R569:T569 R576:T576 R591:T591 AW590:AZ590 AW543:AZ543 V569:X569 V558:X558 Q628:AT628 AU496:AZ496 U523:AR534 AT529:AZ529 AT523:AZ523 AS528:AZ528 AS524:AZ527 AS530:AZ534 AS529 AW545:AZ545 AX544:AZ544 AW549:AZ549 AX546:AZ546 AW557:AZ557 AX550:AZ550 AW568:AZ568 AX558:AZ558 AX569:AZ569 AX576:AZ576 AX591:AZ591 U614:AR619 AT610:AZ610 AS611:AZ612 S548:T548 S550:T550 V576:X576 V591:X591 AS614:AZ619 AT613:AZ613 AJ326 Q627:S627 U627:AT627" unlockedFormula="1"/>
    <ignoredError sqref="U609:AR609 U522:AR522" numberStoredAsText="1"/>
  </ignoredErrors>
  <drawing r:id="rId2"/>
  <legacyDrawing r:id="rId3"/>
  <controls>
    <mc:AlternateContent xmlns:mc="http://schemas.openxmlformats.org/markup-compatibility/2006">
      <mc:Choice Requires="x14">
        <control shapeId="10738" r:id="rId4" name="btnCondicionesEstandar">
          <controlPr defaultSize="0" autoLine="0" autoPict="0" r:id="rId5">
            <anchor moveWithCells="1" sizeWithCells="1">
              <from>
                <xdr:col>0</xdr:col>
                <xdr:colOff>28575</xdr:colOff>
                <xdr:row>4</xdr:row>
                <xdr:rowOff>152400</xdr:rowOff>
              </from>
              <to>
                <xdr:col>8</xdr:col>
                <xdr:colOff>266700</xdr:colOff>
                <xdr:row>5</xdr:row>
                <xdr:rowOff>0</xdr:rowOff>
              </to>
            </anchor>
          </controlPr>
        </control>
      </mc:Choice>
      <mc:Fallback>
        <control shapeId="10738" r:id="rId4" name="btnCondicionesEstandar"/>
      </mc:Fallback>
    </mc:AlternateContent>
    <mc:AlternateContent xmlns:mc="http://schemas.openxmlformats.org/markup-compatibility/2006">
      <mc:Choice Requires="x14">
        <control shapeId="10740" r:id="rId6" name="CommandButton2">
          <controlPr defaultSize="0" autoLine="0" autoPict="0" r:id="rId7">
            <anchor moveWithCells="1" sizeWithCells="1">
              <from>
                <xdr:col>30</xdr:col>
                <xdr:colOff>161925</xdr:colOff>
                <xdr:row>3</xdr:row>
                <xdr:rowOff>323850</xdr:rowOff>
              </from>
              <to>
                <xdr:col>33</xdr:col>
                <xdr:colOff>266700</xdr:colOff>
                <xdr:row>5</xdr:row>
                <xdr:rowOff>9525</xdr:rowOff>
              </to>
            </anchor>
          </controlPr>
        </control>
      </mc:Choice>
      <mc:Fallback>
        <control shapeId="10740" r:id="rId6" name="CommandButton2"/>
      </mc:Fallback>
    </mc:AlternateContent>
    <mc:AlternateContent xmlns:mc="http://schemas.openxmlformats.org/markup-compatibility/2006">
      <mc:Choice Requires="x14">
        <control shapeId="10741" r:id="rId8" name="btnPantallaCompleta">
          <controlPr defaultSize="0" autoLine="0" r:id="rId9">
            <anchor moveWithCells="1" sizeWithCells="1">
              <from>
                <xdr:col>40</xdr:col>
                <xdr:colOff>171450</xdr:colOff>
                <xdr:row>3</xdr:row>
                <xdr:rowOff>333375</xdr:rowOff>
              </from>
              <to>
                <xdr:col>44</xdr:col>
                <xdr:colOff>0</xdr:colOff>
                <xdr:row>4</xdr:row>
                <xdr:rowOff>666750</xdr:rowOff>
              </to>
            </anchor>
          </controlPr>
        </control>
      </mc:Choice>
      <mc:Fallback>
        <control shapeId="10741" r:id="rId8" name="btnPantallaCompleta"/>
      </mc:Fallback>
    </mc:AlternateContent>
    <mc:AlternateContent xmlns:mc="http://schemas.openxmlformats.org/markup-compatibility/2006">
      <mc:Choice Requires="x14">
        <control shapeId="10742" r:id="rId10" name="CommandButton4">
          <controlPr defaultSize="0" autoLine="0" r:id="rId11">
            <anchor moveWithCells="1" sizeWithCells="1">
              <from>
                <xdr:col>33</xdr:col>
                <xdr:colOff>257175</xdr:colOff>
                <xdr:row>3</xdr:row>
                <xdr:rowOff>323850</xdr:rowOff>
              </from>
              <to>
                <xdr:col>37</xdr:col>
                <xdr:colOff>85725</xdr:colOff>
                <xdr:row>4</xdr:row>
                <xdr:rowOff>666750</xdr:rowOff>
              </to>
            </anchor>
          </controlPr>
        </control>
      </mc:Choice>
      <mc:Fallback>
        <control shapeId="10742" r:id="rId10" name="CommandButton4"/>
      </mc:Fallback>
    </mc:AlternateContent>
    <mc:AlternateContent xmlns:mc="http://schemas.openxmlformats.org/markup-compatibility/2006">
      <mc:Choice Requires="x14">
        <control shapeId="10743" r:id="rId12" name="btnPantallaNormal">
          <controlPr defaultSize="0" autoLine="0" r:id="rId13">
            <anchor moveWithCells="1" sizeWithCells="1">
              <from>
                <xdr:col>43</xdr:col>
                <xdr:colOff>285750</xdr:colOff>
                <xdr:row>3</xdr:row>
                <xdr:rowOff>323850</xdr:rowOff>
              </from>
              <to>
                <xdr:col>47</xdr:col>
                <xdr:colOff>95250</xdr:colOff>
                <xdr:row>5</xdr:row>
                <xdr:rowOff>0</xdr:rowOff>
              </to>
            </anchor>
          </controlPr>
        </control>
      </mc:Choice>
      <mc:Fallback>
        <control shapeId="10743" r:id="rId12" name="btnPantallaNormal"/>
      </mc:Fallback>
    </mc:AlternateContent>
    <mc:AlternateContent xmlns:mc="http://schemas.openxmlformats.org/markup-compatibility/2006">
      <mc:Choice Requires="x14">
        <control shapeId="11015" r:id="rId14" name="ComboBox1">
          <controlPr defaultSize="0" autoLine="0" linkedCell="F491" listFillRange="BASE!$A$327:$A$331" r:id="rId15">
            <anchor moveWithCells="1" sizeWithCells="1">
              <from>
                <xdr:col>5</xdr:col>
                <xdr:colOff>9525</xdr:colOff>
                <xdr:row>490</xdr:row>
                <xdr:rowOff>38100</xdr:rowOff>
              </from>
              <to>
                <xdr:col>8</xdr:col>
                <xdr:colOff>285750</xdr:colOff>
                <xdr:row>490</xdr:row>
                <xdr:rowOff>342900</xdr:rowOff>
              </to>
            </anchor>
          </controlPr>
        </control>
      </mc:Choice>
      <mc:Fallback>
        <control shapeId="11015" r:id="rId14" name="ComboBox1"/>
      </mc:Fallback>
    </mc:AlternateContent>
    <mc:AlternateContent xmlns:mc="http://schemas.openxmlformats.org/markup-compatibility/2006">
      <mc:Choice Requires="x14">
        <control shapeId="11017" r:id="rId16" name="ComboBox2">
          <controlPr defaultSize="0" autoLine="0" linkedCell="O658" listFillRange="BASE!$J$5:$J$17" r:id="rId17">
            <anchor moveWithCells="1" sizeWithCells="1">
              <from>
                <xdr:col>14</xdr:col>
                <xdr:colOff>9525</xdr:colOff>
                <xdr:row>657</xdr:row>
                <xdr:rowOff>9525</xdr:rowOff>
              </from>
              <to>
                <xdr:col>17</xdr:col>
                <xdr:colOff>19050</xdr:colOff>
                <xdr:row>657</xdr:row>
                <xdr:rowOff>323850</xdr:rowOff>
              </to>
            </anchor>
          </controlPr>
        </control>
      </mc:Choice>
      <mc:Fallback>
        <control shapeId="11017" r:id="rId16" name="ComboBox2"/>
      </mc:Fallback>
    </mc:AlternateContent>
    <mc:AlternateContent xmlns:mc="http://schemas.openxmlformats.org/markup-compatibility/2006">
      <mc:Choice Requires="x14">
        <control shapeId="11018" r:id="rId18" name="ComboBox3">
          <controlPr defaultSize="0" autoLine="0" linkedCell="R658" listFillRange="BASE!$K$6:$K$29" r:id="rId19">
            <anchor moveWithCells="1" sizeWithCells="1">
              <from>
                <xdr:col>17</xdr:col>
                <xdr:colOff>38100</xdr:colOff>
                <xdr:row>657</xdr:row>
                <xdr:rowOff>9525</xdr:rowOff>
              </from>
              <to>
                <xdr:col>20</xdr:col>
                <xdr:colOff>38100</xdr:colOff>
                <xdr:row>657</xdr:row>
                <xdr:rowOff>323850</xdr:rowOff>
              </to>
            </anchor>
          </controlPr>
        </control>
      </mc:Choice>
      <mc:Fallback>
        <control shapeId="11018" r:id="rId18" name="ComboBox3"/>
      </mc:Fallback>
    </mc:AlternateContent>
    <mc:AlternateContent xmlns:mc="http://schemas.openxmlformats.org/markup-compatibility/2006">
      <mc:Choice Requires="x14">
        <control shapeId="11020" r:id="rId20" name="ComboBox4">
          <controlPr defaultSize="0" autoLine="0" linkedCell="B690" listFillRange="BASE!$G$318:$G$321" r:id="rId21">
            <anchor moveWithCells="1" sizeWithCells="1">
              <from>
                <xdr:col>2</xdr:col>
                <xdr:colOff>38100</xdr:colOff>
                <xdr:row>689</xdr:row>
                <xdr:rowOff>9525</xdr:rowOff>
              </from>
              <to>
                <xdr:col>8</xdr:col>
                <xdr:colOff>9525</xdr:colOff>
                <xdr:row>690</xdr:row>
                <xdr:rowOff>19050</xdr:rowOff>
              </to>
            </anchor>
          </controlPr>
        </control>
      </mc:Choice>
      <mc:Fallback>
        <control shapeId="11020" r:id="rId20" name="ComboBox4"/>
      </mc:Fallback>
    </mc:AlternateContent>
    <mc:AlternateContent xmlns:mc="http://schemas.openxmlformats.org/markup-compatibility/2006">
      <mc:Choice Requires="x14">
        <control shapeId="11023" r:id="rId22" name="ComboBox5">
          <controlPr defaultSize="0" autoLine="0" linkedCell="L702" listFillRange="BASE!$G$318:$G$320" r:id="rId23">
            <anchor moveWithCells="1" sizeWithCells="1">
              <from>
                <xdr:col>11</xdr:col>
                <xdr:colOff>19050</xdr:colOff>
                <xdr:row>701</xdr:row>
                <xdr:rowOff>19050</xdr:rowOff>
              </from>
              <to>
                <xdr:col>14</xdr:col>
                <xdr:colOff>19050</xdr:colOff>
                <xdr:row>701</xdr:row>
                <xdr:rowOff>247650</xdr:rowOff>
              </to>
            </anchor>
          </controlPr>
        </control>
      </mc:Choice>
      <mc:Fallback>
        <control shapeId="11023" r:id="rId22" name="ComboBox5"/>
      </mc:Fallback>
    </mc:AlternateContent>
    <mc:AlternateContent xmlns:mc="http://schemas.openxmlformats.org/markup-compatibility/2006">
      <mc:Choice Requires="x14">
        <control shapeId="11024" r:id="rId24" name="ComboBox6">
          <controlPr defaultSize="0" autoLine="0" linkedCell="L703" listFillRange="BASE!$G$318:$G$320" r:id="rId25">
            <anchor moveWithCells="1" sizeWithCells="1">
              <from>
                <xdr:col>11</xdr:col>
                <xdr:colOff>19050</xdr:colOff>
                <xdr:row>702</xdr:row>
                <xdr:rowOff>9525</xdr:rowOff>
              </from>
              <to>
                <xdr:col>14</xdr:col>
                <xdr:colOff>19050</xdr:colOff>
                <xdr:row>702</xdr:row>
                <xdr:rowOff>247650</xdr:rowOff>
              </to>
            </anchor>
          </controlPr>
        </control>
      </mc:Choice>
      <mc:Fallback>
        <control shapeId="11024" r:id="rId24" name="ComboBox6"/>
      </mc:Fallback>
    </mc:AlternateContent>
    <mc:AlternateContent xmlns:mc="http://schemas.openxmlformats.org/markup-compatibility/2006">
      <mc:Choice Requires="x14">
        <control shapeId="11025" r:id="rId26" name="ComboBox7">
          <controlPr defaultSize="0" autoLine="0" linkedCell="L704" listFillRange="BASE!$G$318:$G$320" r:id="rId23">
            <anchor moveWithCells="1" sizeWithCells="1">
              <from>
                <xdr:col>11</xdr:col>
                <xdr:colOff>19050</xdr:colOff>
                <xdr:row>703</xdr:row>
                <xdr:rowOff>19050</xdr:rowOff>
              </from>
              <to>
                <xdr:col>14</xdr:col>
                <xdr:colOff>19050</xdr:colOff>
                <xdr:row>703</xdr:row>
                <xdr:rowOff>247650</xdr:rowOff>
              </to>
            </anchor>
          </controlPr>
        </control>
      </mc:Choice>
      <mc:Fallback>
        <control shapeId="11025" r:id="rId26" name="ComboBox7"/>
      </mc:Fallback>
    </mc:AlternateContent>
    <mc:AlternateContent xmlns:mc="http://schemas.openxmlformats.org/markup-compatibility/2006">
      <mc:Choice Requires="x14">
        <control shapeId="11026" r:id="rId27" name="ComboBox8">
          <controlPr defaultSize="0" autoLine="0" linkedCell="L705" listFillRange="BASE!$G$318:$G$320" r:id="rId25">
            <anchor moveWithCells="1" sizeWithCells="1">
              <from>
                <xdr:col>11</xdr:col>
                <xdr:colOff>19050</xdr:colOff>
                <xdr:row>704</xdr:row>
                <xdr:rowOff>19050</xdr:rowOff>
              </from>
              <to>
                <xdr:col>14</xdr:col>
                <xdr:colOff>19050</xdr:colOff>
                <xdr:row>704</xdr:row>
                <xdr:rowOff>257175</xdr:rowOff>
              </to>
            </anchor>
          </controlPr>
        </control>
      </mc:Choice>
      <mc:Fallback>
        <control shapeId="11026" r:id="rId27" name="ComboBox8"/>
      </mc:Fallback>
    </mc:AlternateContent>
    <mc:AlternateContent xmlns:mc="http://schemas.openxmlformats.org/markup-compatibility/2006">
      <mc:Choice Requires="x14">
        <control shapeId="11027" r:id="rId28" name="ComboBox9">
          <controlPr defaultSize="0" autoLine="0" linkedCell="L706" listFillRange="BASE!$G$318:$G$320" r:id="rId25">
            <anchor moveWithCells="1" sizeWithCells="1">
              <from>
                <xdr:col>11</xdr:col>
                <xdr:colOff>19050</xdr:colOff>
                <xdr:row>705</xdr:row>
                <xdr:rowOff>19050</xdr:rowOff>
              </from>
              <to>
                <xdr:col>14</xdr:col>
                <xdr:colOff>19050</xdr:colOff>
                <xdr:row>705</xdr:row>
                <xdr:rowOff>257175</xdr:rowOff>
              </to>
            </anchor>
          </controlPr>
        </control>
      </mc:Choice>
      <mc:Fallback>
        <control shapeId="11027" r:id="rId28" name="ComboBox9"/>
      </mc:Fallback>
    </mc:AlternateContent>
    <mc:AlternateContent xmlns:mc="http://schemas.openxmlformats.org/markup-compatibility/2006">
      <mc:Choice Requires="x14">
        <control shapeId="11028" r:id="rId29" name="ComboBox10">
          <controlPr defaultSize="0" autoLine="0" linkedCell="L707" listFillRange="BASE!$G$318:$G$320" r:id="rId23">
            <anchor moveWithCells="1" sizeWithCells="1">
              <from>
                <xdr:col>11</xdr:col>
                <xdr:colOff>19050</xdr:colOff>
                <xdr:row>706</xdr:row>
                <xdr:rowOff>47625</xdr:rowOff>
              </from>
              <to>
                <xdr:col>14</xdr:col>
                <xdr:colOff>19050</xdr:colOff>
                <xdr:row>707</xdr:row>
                <xdr:rowOff>9525</xdr:rowOff>
              </to>
            </anchor>
          </controlPr>
        </control>
      </mc:Choice>
      <mc:Fallback>
        <control shapeId="11028" r:id="rId29" name="ComboBox10"/>
      </mc:Fallback>
    </mc:AlternateContent>
    <mc:AlternateContent xmlns:mc="http://schemas.openxmlformats.org/markup-compatibility/2006">
      <mc:Choice Requires="x14">
        <control shapeId="11029" r:id="rId30" name="ComboBox11">
          <controlPr defaultSize="0" autoLine="0" linkedCell="O702" listFillRange="BASE!$G$322:$G$324" r:id="rId31">
            <anchor moveWithCells="1" sizeWithCells="1">
              <from>
                <xdr:col>14</xdr:col>
                <xdr:colOff>28575</xdr:colOff>
                <xdr:row>701</xdr:row>
                <xdr:rowOff>19050</xdr:rowOff>
              </from>
              <to>
                <xdr:col>18</xdr:col>
                <xdr:colOff>19050</xdr:colOff>
                <xdr:row>701</xdr:row>
                <xdr:rowOff>257175</xdr:rowOff>
              </to>
            </anchor>
          </controlPr>
        </control>
      </mc:Choice>
      <mc:Fallback>
        <control shapeId="11029" r:id="rId30" name="ComboBox11"/>
      </mc:Fallback>
    </mc:AlternateContent>
    <mc:AlternateContent xmlns:mc="http://schemas.openxmlformats.org/markup-compatibility/2006">
      <mc:Choice Requires="x14">
        <control shapeId="11038" r:id="rId32" name="ComboBox12">
          <controlPr defaultSize="0" autoLine="0" linkedCell="O703" listFillRange="BASE!$G$322:$G$324" r:id="rId31">
            <anchor moveWithCells="1" sizeWithCells="1">
              <from>
                <xdr:col>14</xdr:col>
                <xdr:colOff>28575</xdr:colOff>
                <xdr:row>702</xdr:row>
                <xdr:rowOff>9525</xdr:rowOff>
              </from>
              <to>
                <xdr:col>18</xdr:col>
                <xdr:colOff>19050</xdr:colOff>
                <xdr:row>702</xdr:row>
                <xdr:rowOff>247650</xdr:rowOff>
              </to>
            </anchor>
          </controlPr>
        </control>
      </mc:Choice>
      <mc:Fallback>
        <control shapeId="11038" r:id="rId32" name="ComboBox12"/>
      </mc:Fallback>
    </mc:AlternateContent>
    <mc:AlternateContent xmlns:mc="http://schemas.openxmlformats.org/markup-compatibility/2006">
      <mc:Choice Requires="x14">
        <control shapeId="11039" r:id="rId33" name="ComboBox13">
          <controlPr defaultSize="0" autoLine="0" linkedCell="O704" listFillRange="BASE!$G$322:$G$324" r:id="rId31">
            <anchor moveWithCells="1" sizeWithCells="1">
              <from>
                <xdr:col>14</xdr:col>
                <xdr:colOff>28575</xdr:colOff>
                <xdr:row>703</xdr:row>
                <xdr:rowOff>19050</xdr:rowOff>
              </from>
              <to>
                <xdr:col>18</xdr:col>
                <xdr:colOff>19050</xdr:colOff>
                <xdr:row>703</xdr:row>
                <xdr:rowOff>257175</xdr:rowOff>
              </to>
            </anchor>
          </controlPr>
        </control>
      </mc:Choice>
      <mc:Fallback>
        <control shapeId="11039" r:id="rId33" name="ComboBox13"/>
      </mc:Fallback>
    </mc:AlternateContent>
    <mc:AlternateContent xmlns:mc="http://schemas.openxmlformats.org/markup-compatibility/2006">
      <mc:Choice Requires="x14">
        <control shapeId="11040" r:id="rId34" name="ComboBox14">
          <controlPr defaultSize="0" autoLine="0" linkedCell="O705" listFillRange="BASE!$G$322:$G$324" r:id="rId35">
            <anchor moveWithCells="1" sizeWithCells="1">
              <from>
                <xdr:col>14</xdr:col>
                <xdr:colOff>28575</xdr:colOff>
                <xdr:row>704</xdr:row>
                <xdr:rowOff>38100</xdr:rowOff>
              </from>
              <to>
                <xdr:col>18</xdr:col>
                <xdr:colOff>19050</xdr:colOff>
                <xdr:row>705</xdr:row>
                <xdr:rowOff>9525</xdr:rowOff>
              </to>
            </anchor>
          </controlPr>
        </control>
      </mc:Choice>
      <mc:Fallback>
        <control shapeId="11040" r:id="rId34" name="ComboBox14"/>
      </mc:Fallback>
    </mc:AlternateContent>
    <mc:AlternateContent xmlns:mc="http://schemas.openxmlformats.org/markup-compatibility/2006">
      <mc:Choice Requires="x14">
        <control shapeId="11041" r:id="rId36" name="ComboBox15">
          <controlPr defaultSize="0" autoLine="0" linkedCell="O706" listFillRange="BASE!$G$322:$G$324" r:id="rId31">
            <anchor moveWithCells="1" sizeWithCells="1">
              <from>
                <xdr:col>14</xdr:col>
                <xdr:colOff>28575</xdr:colOff>
                <xdr:row>705</xdr:row>
                <xdr:rowOff>19050</xdr:rowOff>
              </from>
              <to>
                <xdr:col>18</xdr:col>
                <xdr:colOff>19050</xdr:colOff>
                <xdr:row>705</xdr:row>
                <xdr:rowOff>257175</xdr:rowOff>
              </to>
            </anchor>
          </controlPr>
        </control>
      </mc:Choice>
      <mc:Fallback>
        <control shapeId="11041" r:id="rId36" name="ComboBox15"/>
      </mc:Fallback>
    </mc:AlternateContent>
    <mc:AlternateContent xmlns:mc="http://schemas.openxmlformats.org/markup-compatibility/2006">
      <mc:Choice Requires="x14">
        <control shapeId="11042" r:id="rId37" name="ComboBox16">
          <controlPr defaultSize="0" autoLine="0" linkedCell="O707" listFillRange="BASE!$G$322:$G$324" r:id="rId31">
            <anchor moveWithCells="1" sizeWithCells="1">
              <from>
                <xdr:col>14</xdr:col>
                <xdr:colOff>28575</xdr:colOff>
                <xdr:row>706</xdr:row>
                <xdr:rowOff>28575</xdr:rowOff>
              </from>
              <to>
                <xdr:col>18</xdr:col>
                <xdr:colOff>19050</xdr:colOff>
                <xdr:row>707</xdr:row>
                <xdr:rowOff>9525</xdr:rowOff>
              </to>
            </anchor>
          </controlPr>
        </control>
      </mc:Choice>
      <mc:Fallback>
        <control shapeId="11042" r:id="rId37" name="ComboBox16"/>
      </mc:Fallback>
    </mc:AlternateContent>
    <mc:AlternateContent xmlns:mc="http://schemas.openxmlformats.org/markup-compatibility/2006">
      <mc:Choice Requires="x14">
        <control shapeId="11043" r:id="rId38" name="ComboBox17">
          <controlPr defaultSize="0" autoLine="0" autoPict="0" linkedCell="S702" listFillRange="BASE!$G$314:$G$317" r:id="rId39">
            <anchor moveWithCells="1" sizeWithCells="1">
              <from>
                <xdr:col>18</xdr:col>
                <xdr:colOff>28575</xdr:colOff>
                <xdr:row>701</xdr:row>
                <xdr:rowOff>9525</xdr:rowOff>
              </from>
              <to>
                <xdr:col>22</xdr:col>
                <xdr:colOff>0</xdr:colOff>
                <xdr:row>701</xdr:row>
                <xdr:rowOff>238125</xdr:rowOff>
              </to>
            </anchor>
          </controlPr>
        </control>
      </mc:Choice>
      <mc:Fallback>
        <control shapeId="11043" r:id="rId38" name="ComboBox17"/>
      </mc:Fallback>
    </mc:AlternateContent>
    <mc:AlternateContent xmlns:mc="http://schemas.openxmlformats.org/markup-compatibility/2006">
      <mc:Choice Requires="x14">
        <control shapeId="11044" r:id="rId40" name="ComboBox18">
          <controlPr defaultSize="0" autoLine="0" autoPict="0" linkedCell="S703" listFillRange="BASE!$G$314:$G$317" r:id="rId41">
            <anchor moveWithCells="1" sizeWithCells="1">
              <from>
                <xdr:col>18</xdr:col>
                <xdr:colOff>28575</xdr:colOff>
                <xdr:row>702</xdr:row>
                <xdr:rowOff>0</xdr:rowOff>
              </from>
              <to>
                <xdr:col>22</xdr:col>
                <xdr:colOff>0</xdr:colOff>
                <xdr:row>702</xdr:row>
                <xdr:rowOff>238125</xdr:rowOff>
              </to>
            </anchor>
          </controlPr>
        </control>
      </mc:Choice>
      <mc:Fallback>
        <control shapeId="11044" r:id="rId40" name="ComboBox18"/>
      </mc:Fallback>
    </mc:AlternateContent>
    <mc:AlternateContent xmlns:mc="http://schemas.openxmlformats.org/markup-compatibility/2006">
      <mc:Choice Requires="x14">
        <control shapeId="11045" r:id="rId42" name="ComboBox19">
          <controlPr defaultSize="0" autoLine="0" autoPict="0" linkedCell="S704" listFillRange="BASE!$G$314:$G$317" r:id="rId39">
            <anchor moveWithCells="1" sizeWithCells="1">
              <from>
                <xdr:col>18</xdr:col>
                <xdr:colOff>28575</xdr:colOff>
                <xdr:row>703</xdr:row>
                <xdr:rowOff>9525</xdr:rowOff>
              </from>
              <to>
                <xdr:col>22</xdr:col>
                <xdr:colOff>0</xdr:colOff>
                <xdr:row>703</xdr:row>
                <xdr:rowOff>238125</xdr:rowOff>
              </to>
            </anchor>
          </controlPr>
        </control>
      </mc:Choice>
      <mc:Fallback>
        <control shapeId="11045" r:id="rId42" name="ComboBox19"/>
      </mc:Fallback>
    </mc:AlternateContent>
    <mc:AlternateContent xmlns:mc="http://schemas.openxmlformats.org/markup-compatibility/2006">
      <mc:Choice Requires="x14">
        <control shapeId="11046" r:id="rId43" name="ComboBox20">
          <controlPr defaultSize="0" autoLine="0" linkedCell="S705" listFillRange="BASE!$G$314:$G$317" r:id="rId44">
            <anchor moveWithCells="1" sizeWithCells="1">
              <from>
                <xdr:col>18</xdr:col>
                <xdr:colOff>47625</xdr:colOff>
                <xdr:row>704</xdr:row>
                <xdr:rowOff>47625</xdr:rowOff>
              </from>
              <to>
                <xdr:col>21</xdr:col>
                <xdr:colOff>361950</xdr:colOff>
                <xdr:row>705</xdr:row>
                <xdr:rowOff>9525</xdr:rowOff>
              </to>
            </anchor>
          </controlPr>
        </control>
      </mc:Choice>
      <mc:Fallback>
        <control shapeId="11046" r:id="rId43" name="ComboBox20"/>
      </mc:Fallback>
    </mc:AlternateContent>
    <mc:AlternateContent xmlns:mc="http://schemas.openxmlformats.org/markup-compatibility/2006">
      <mc:Choice Requires="x14">
        <control shapeId="11047" r:id="rId45" name="ComboBox21">
          <controlPr defaultSize="0" autoLine="0" autoPict="0" linkedCell="S706" listFillRange="BASE!$G$314:$G$317" r:id="rId39">
            <anchor moveWithCells="1" sizeWithCells="1">
              <from>
                <xdr:col>18</xdr:col>
                <xdr:colOff>28575</xdr:colOff>
                <xdr:row>705</xdr:row>
                <xdr:rowOff>9525</xdr:rowOff>
              </from>
              <to>
                <xdr:col>22</xdr:col>
                <xdr:colOff>0</xdr:colOff>
                <xdr:row>705</xdr:row>
                <xdr:rowOff>228600</xdr:rowOff>
              </to>
            </anchor>
          </controlPr>
        </control>
      </mc:Choice>
      <mc:Fallback>
        <control shapeId="11047" r:id="rId45" name="ComboBox21"/>
      </mc:Fallback>
    </mc:AlternateContent>
    <mc:AlternateContent xmlns:mc="http://schemas.openxmlformats.org/markup-compatibility/2006">
      <mc:Choice Requires="x14">
        <control shapeId="11048" r:id="rId46" name="ComboBox22">
          <controlPr defaultSize="0" autoLine="0" autoPict="0" linkedCell="S707" listFillRange="BASE!$G$314:$G$317" r:id="rId41">
            <anchor moveWithCells="1" sizeWithCells="1">
              <from>
                <xdr:col>18</xdr:col>
                <xdr:colOff>28575</xdr:colOff>
                <xdr:row>706</xdr:row>
                <xdr:rowOff>28575</xdr:rowOff>
              </from>
              <to>
                <xdr:col>22</xdr:col>
                <xdr:colOff>0</xdr:colOff>
                <xdr:row>707</xdr:row>
                <xdr:rowOff>9525</xdr:rowOff>
              </to>
            </anchor>
          </controlPr>
        </control>
      </mc:Choice>
      <mc:Fallback>
        <control shapeId="11048" r:id="rId46" name="ComboBox22"/>
      </mc:Fallback>
    </mc:AlternateContent>
    <mc:AlternateContent xmlns:mc="http://schemas.openxmlformats.org/markup-compatibility/2006">
      <mc:Choice Requires="x14">
        <control shapeId="11050" r:id="rId47" name="ComboBox23">
          <controlPr defaultSize="0" autoLine="0" linkedCell="R712" listFillRange="BASE!$F$5:$F$11" r:id="rId48">
            <anchor moveWithCells="1" sizeWithCells="1">
              <from>
                <xdr:col>17</xdr:col>
                <xdr:colOff>19050</xdr:colOff>
                <xdr:row>711</xdr:row>
                <xdr:rowOff>28575</xdr:rowOff>
              </from>
              <to>
                <xdr:col>30</xdr:col>
                <xdr:colOff>285750</xdr:colOff>
                <xdr:row>711</xdr:row>
                <xdr:rowOff>333375</xdr:rowOff>
              </to>
            </anchor>
          </controlPr>
        </control>
      </mc:Choice>
      <mc:Fallback>
        <control shapeId="11050" r:id="rId47" name="ComboBox23"/>
      </mc:Fallback>
    </mc:AlternateContent>
    <mc:AlternateContent xmlns:mc="http://schemas.openxmlformats.org/markup-compatibility/2006">
      <mc:Choice Requires="x14">
        <control shapeId="11052" r:id="rId49" name="ComboBox24">
          <controlPr defaultSize="0" autoLine="0" linkedCell="R714" listFillRange="BASE!$F$316:$F$321" r:id="rId50">
            <anchor moveWithCells="1" sizeWithCells="1">
              <from>
                <xdr:col>16</xdr:col>
                <xdr:colOff>295275</xdr:colOff>
                <xdr:row>713</xdr:row>
                <xdr:rowOff>19050</xdr:rowOff>
              </from>
              <to>
                <xdr:col>30</xdr:col>
                <xdr:colOff>295275</xdr:colOff>
                <xdr:row>714</xdr:row>
                <xdr:rowOff>0</xdr:rowOff>
              </to>
            </anchor>
          </controlPr>
        </control>
      </mc:Choice>
      <mc:Fallback>
        <control shapeId="11052" r:id="rId49" name="ComboBox24"/>
      </mc:Fallback>
    </mc:AlternateContent>
    <mc:AlternateContent xmlns:mc="http://schemas.openxmlformats.org/markup-compatibility/2006">
      <mc:Choice Requires="x14">
        <control shapeId="11092" r:id="rId51" name="CommandButton3">
          <controlPr defaultSize="0" autoLine="0" r:id="rId52">
            <anchor moveWithCells="1" sizeWithCells="1">
              <from>
                <xdr:col>27</xdr:col>
                <xdr:colOff>180975</xdr:colOff>
                <xdr:row>3</xdr:row>
                <xdr:rowOff>323850</xdr:rowOff>
              </from>
              <to>
                <xdr:col>30</xdr:col>
                <xdr:colOff>180975</xdr:colOff>
                <xdr:row>5</xdr:row>
                <xdr:rowOff>0</xdr:rowOff>
              </to>
            </anchor>
          </controlPr>
        </control>
      </mc:Choice>
      <mc:Fallback>
        <control shapeId="11092" r:id="rId51" name="CommandButton3"/>
      </mc:Fallback>
    </mc:AlternateContent>
    <mc:AlternateContent xmlns:mc="http://schemas.openxmlformats.org/markup-compatibility/2006">
      <mc:Choice Requires="x14">
        <control shapeId="11093" r:id="rId53" name="CommandButton6">
          <controlPr defaultSize="0" autoLine="0" r:id="rId54">
            <anchor moveWithCells="1" sizeWithCells="1">
              <from>
                <xdr:col>47</xdr:col>
                <xdr:colOff>57150</xdr:colOff>
                <xdr:row>3</xdr:row>
                <xdr:rowOff>314325</xdr:rowOff>
              </from>
              <to>
                <xdr:col>50</xdr:col>
                <xdr:colOff>180975</xdr:colOff>
                <xdr:row>4</xdr:row>
                <xdr:rowOff>666750</xdr:rowOff>
              </to>
            </anchor>
          </controlPr>
        </control>
      </mc:Choice>
      <mc:Fallback>
        <control shapeId="11093" r:id="rId53" name="CommandButton6"/>
      </mc:Fallback>
    </mc:AlternateContent>
    <mc:AlternateContent xmlns:mc="http://schemas.openxmlformats.org/markup-compatibility/2006">
      <mc:Choice Requires="x14">
        <control shapeId="11094" r:id="rId55" name="CommandButton1">
          <controlPr defaultSize="0" autoLine="0" autoPict="0" r:id="rId56">
            <anchor moveWithCells="1" sizeWithCells="1">
              <from>
                <xdr:col>37</xdr:col>
                <xdr:colOff>66675</xdr:colOff>
                <xdr:row>3</xdr:row>
                <xdr:rowOff>323850</xdr:rowOff>
              </from>
              <to>
                <xdr:col>40</xdr:col>
                <xdr:colOff>171450</xdr:colOff>
                <xdr:row>5</xdr:row>
                <xdr:rowOff>9525</xdr:rowOff>
              </to>
            </anchor>
          </controlPr>
        </control>
      </mc:Choice>
      <mc:Fallback>
        <control shapeId="11094" r:id="rId55" name="CommandButton1"/>
      </mc:Fallback>
    </mc:AlternateContent>
    <mc:AlternateContent xmlns:mc="http://schemas.openxmlformats.org/markup-compatibility/2006">
      <mc:Choice Requires="x14">
        <control shapeId="10770" r:id="rId57" name="Button 530">
          <controlPr defaultSize="0" autoFill="0" autoPict="0" macro="[0]!Datos1">
            <anchor moveWithCells="1" sizeWithCells="1">
              <from>
                <xdr:col>7</xdr:col>
                <xdr:colOff>57150</xdr:colOff>
                <xdr:row>72</xdr:row>
                <xdr:rowOff>104775</xdr:rowOff>
              </from>
              <to>
                <xdr:col>15</xdr:col>
                <xdr:colOff>57150</xdr:colOff>
                <xdr:row>74</xdr:row>
                <xdr:rowOff>19050</xdr:rowOff>
              </to>
            </anchor>
          </controlPr>
        </control>
      </mc:Choice>
    </mc:AlternateContent>
    <mc:AlternateContent xmlns:mc="http://schemas.openxmlformats.org/markup-compatibility/2006">
      <mc:Choice Requires="x14">
        <control shapeId="10773" r:id="rId58" name="Button 533">
          <controlPr defaultSize="0" autoFill="0" autoPict="0" macro="[0]!CriteriosTecnicos_Almacenamiento">
            <anchor moveWithCells="1" sizeWithCells="1">
              <from>
                <xdr:col>49</xdr:col>
                <xdr:colOff>28575</xdr:colOff>
                <xdr:row>250</xdr:row>
                <xdr:rowOff>28575</xdr:rowOff>
              </from>
              <to>
                <xdr:col>52</xdr:col>
                <xdr:colOff>9525</xdr:colOff>
                <xdr:row>250</xdr:row>
                <xdr:rowOff>447675</xdr:rowOff>
              </to>
            </anchor>
          </controlPr>
        </control>
      </mc:Choice>
    </mc:AlternateContent>
    <mc:AlternateContent xmlns:mc="http://schemas.openxmlformats.org/markup-compatibility/2006">
      <mc:Choice Requires="x14">
        <control shapeId="10776" r:id="rId59" name="Button 536">
          <controlPr defaultSize="0" autoFill="0" autoPict="0" macro="[0]!EstudiosBasicos">
            <anchor moveWithCells="1" sizeWithCells="1">
              <from>
                <xdr:col>25</xdr:col>
                <xdr:colOff>47625</xdr:colOff>
                <xdr:row>304</xdr:row>
                <xdr:rowOff>85725</xdr:rowOff>
              </from>
              <to>
                <xdr:col>29</xdr:col>
                <xdr:colOff>266700</xdr:colOff>
                <xdr:row>308</xdr:row>
                <xdr:rowOff>114300</xdr:rowOff>
              </to>
            </anchor>
          </controlPr>
        </control>
      </mc:Choice>
    </mc:AlternateContent>
    <mc:AlternateContent xmlns:mc="http://schemas.openxmlformats.org/markup-compatibility/2006">
      <mc:Choice Requires="x14">
        <control shapeId="10777" r:id="rId60" name="Button 537">
          <controlPr defaultSize="0" autoFill="0" autoPict="0" macro="[0]!Ejecucion">
            <anchor moveWithCells="1" sizeWithCells="1">
              <from>
                <xdr:col>25</xdr:col>
                <xdr:colOff>66675</xdr:colOff>
                <xdr:row>314</xdr:row>
                <xdr:rowOff>57150</xdr:rowOff>
              </from>
              <to>
                <xdr:col>29</xdr:col>
                <xdr:colOff>285750</xdr:colOff>
                <xdr:row>318</xdr:row>
                <xdr:rowOff>219075</xdr:rowOff>
              </to>
            </anchor>
          </controlPr>
        </control>
      </mc:Choice>
    </mc:AlternateContent>
    <mc:AlternateContent xmlns:mc="http://schemas.openxmlformats.org/markup-compatibility/2006">
      <mc:Choice Requires="x14">
        <control shapeId="10778" r:id="rId61" name="Button 538">
          <controlPr defaultSize="0" autoFill="0" autoPict="0" macro="[0]!CriteriosTecnicos_Almacenamiento2">
            <anchor moveWithCells="1" sizeWithCells="1">
              <from>
                <xdr:col>49</xdr:col>
                <xdr:colOff>9525</xdr:colOff>
                <xdr:row>371</xdr:row>
                <xdr:rowOff>9525</xdr:rowOff>
              </from>
              <to>
                <xdr:col>52</xdr:col>
                <xdr:colOff>19050</xdr:colOff>
                <xdr:row>371</xdr:row>
                <xdr:rowOff>533400</xdr:rowOff>
              </to>
            </anchor>
          </controlPr>
        </control>
      </mc:Choice>
    </mc:AlternateContent>
    <mc:AlternateContent xmlns:mc="http://schemas.openxmlformats.org/markup-compatibility/2006">
      <mc:Choice Requires="x14">
        <control shapeId="10779" r:id="rId62" name="Button 539">
          <controlPr defaultSize="0" autoFill="0" autoPict="0" macro="[0]!DemandaOferta" altText="VER CÁLCULO DE LA OFERTA Y DEMANDA">
            <anchor moveWithCells="1" sizeWithCells="1">
              <from>
                <xdr:col>16</xdr:col>
                <xdr:colOff>209550</xdr:colOff>
                <xdr:row>327</xdr:row>
                <xdr:rowOff>190500</xdr:rowOff>
              </from>
              <to>
                <xdr:col>27</xdr:col>
                <xdr:colOff>28575</xdr:colOff>
                <xdr:row>329</xdr:row>
                <xdr:rowOff>76200</xdr:rowOff>
              </to>
            </anchor>
          </controlPr>
        </control>
      </mc:Choice>
    </mc:AlternateContent>
    <mc:AlternateContent xmlns:mc="http://schemas.openxmlformats.org/markup-compatibility/2006">
      <mc:Choice Requires="x14">
        <control shapeId="10780" r:id="rId63" name="Button 540">
          <controlPr defaultSize="0" autoFill="0" autoPict="0" macro="[0]!DemandaOferta2">
            <anchor moveWithCells="1" sizeWithCells="1">
              <from>
                <xdr:col>15</xdr:col>
                <xdr:colOff>123825</xdr:colOff>
                <xdr:row>342</xdr:row>
                <xdr:rowOff>57150</xdr:rowOff>
              </from>
              <to>
                <xdr:col>26</xdr:col>
                <xdr:colOff>257175</xdr:colOff>
                <xdr:row>343</xdr:row>
                <xdr:rowOff>190500</xdr:rowOff>
              </to>
            </anchor>
          </controlPr>
        </control>
      </mc:Choice>
    </mc:AlternateContent>
    <mc:AlternateContent xmlns:mc="http://schemas.openxmlformats.org/markup-compatibility/2006">
      <mc:Choice Requires="x14">
        <control shapeId="10781" r:id="rId64" name="Button 541">
          <controlPr defaultSize="0" autoFill="0" autoPict="0" macro="[0]!PlanteamientoTecnico">
            <anchor moveWithCells="1" sizeWithCells="1">
              <from>
                <xdr:col>18</xdr:col>
                <xdr:colOff>38100</xdr:colOff>
                <xdr:row>366</xdr:row>
                <xdr:rowOff>180975</xdr:rowOff>
              </from>
              <to>
                <xdr:col>29</xdr:col>
                <xdr:colOff>152400</xdr:colOff>
                <xdr:row>368</xdr:row>
                <xdr:rowOff>28575</xdr:rowOff>
              </to>
            </anchor>
          </controlPr>
        </control>
      </mc:Choice>
    </mc:AlternateContent>
    <mc:AlternateContent xmlns:mc="http://schemas.openxmlformats.org/markup-compatibility/2006">
      <mc:Choice Requires="x14">
        <control shapeId="10783" r:id="rId65" name="Button 543">
          <controlPr defaultSize="0" autoFill="0" autoPict="0" macro="[0]!Equipamiento">
            <anchor moveWithCells="1" sizeWithCells="1">
              <from>
                <xdr:col>16</xdr:col>
                <xdr:colOff>19050</xdr:colOff>
                <xdr:row>421</xdr:row>
                <xdr:rowOff>219075</xdr:rowOff>
              </from>
              <to>
                <xdr:col>23</xdr:col>
                <xdr:colOff>0</xdr:colOff>
                <xdr:row>422</xdr:row>
                <xdr:rowOff>742950</xdr:rowOff>
              </to>
            </anchor>
          </controlPr>
        </control>
      </mc:Choice>
    </mc:AlternateContent>
    <mc:AlternateContent xmlns:mc="http://schemas.openxmlformats.org/markup-compatibility/2006">
      <mc:Choice Requires="x14">
        <control shapeId="10784" r:id="rId66" name="Button 544">
          <controlPr defaultSize="0" autoFill="0" autoPict="0" macro="[0]!Infraestructura">
            <anchor moveWithCells="1" sizeWithCells="1">
              <from>
                <xdr:col>23</xdr:col>
                <xdr:colOff>28575</xdr:colOff>
                <xdr:row>422</xdr:row>
                <xdr:rowOff>0</xdr:rowOff>
              </from>
              <to>
                <xdr:col>29</xdr:col>
                <xdr:colOff>266700</xdr:colOff>
                <xdr:row>422</xdr:row>
                <xdr:rowOff>742950</xdr:rowOff>
              </to>
            </anchor>
          </controlPr>
        </control>
      </mc:Choice>
    </mc:AlternateContent>
    <mc:AlternateContent xmlns:mc="http://schemas.openxmlformats.org/markup-compatibility/2006">
      <mc:Choice Requires="x14">
        <control shapeId="10785" r:id="rId67" name="Button 545">
          <controlPr defaultSize="0" autoFill="0" autoPict="0" macro="[0]!ExpedienteTecnico">
            <anchor moveWithCells="1" sizeWithCells="1">
              <from>
                <xdr:col>30</xdr:col>
                <xdr:colOff>28575</xdr:colOff>
                <xdr:row>422</xdr:row>
                <xdr:rowOff>0</xdr:rowOff>
              </from>
              <to>
                <xdr:col>35</xdr:col>
                <xdr:colOff>266700</xdr:colOff>
                <xdr:row>422</xdr:row>
                <xdr:rowOff>742950</xdr:rowOff>
              </to>
            </anchor>
          </controlPr>
        </control>
      </mc:Choice>
    </mc:AlternateContent>
    <mc:AlternateContent xmlns:mc="http://schemas.openxmlformats.org/markup-compatibility/2006">
      <mc:Choice Requires="x14">
        <control shapeId="10786" r:id="rId68" name="Button 546">
          <controlPr defaultSize="0" autoFill="0" autoPict="0" macro="[0]!OYM">
            <anchor moveWithCells="1" sizeWithCells="1">
              <from>
                <xdr:col>36</xdr:col>
                <xdr:colOff>9525</xdr:colOff>
                <xdr:row>422</xdr:row>
                <xdr:rowOff>0</xdr:rowOff>
              </from>
              <to>
                <xdr:col>41</xdr:col>
                <xdr:colOff>257175</xdr:colOff>
                <xdr:row>422</xdr:row>
                <xdr:rowOff>742950</xdr:rowOff>
              </to>
            </anchor>
          </controlPr>
        </control>
      </mc:Choice>
    </mc:AlternateContent>
    <mc:AlternateContent xmlns:mc="http://schemas.openxmlformats.org/markup-compatibility/2006">
      <mc:Choice Requires="x14">
        <control shapeId="10787" r:id="rId69" name="Button 547">
          <controlPr defaultSize="0" autoFill="0" autoPict="0" macro="[0]!Revinv">
            <anchor moveWithCells="1" sizeWithCells="1">
              <from>
                <xdr:col>42</xdr:col>
                <xdr:colOff>19050</xdr:colOff>
                <xdr:row>422</xdr:row>
                <xdr:rowOff>0</xdr:rowOff>
              </from>
              <to>
                <xdr:col>47</xdr:col>
                <xdr:colOff>257175</xdr:colOff>
                <xdr:row>422</xdr:row>
                <xdr:rowOff>742950</xdr:rowOff>
              </to>
            </anchor>
          </controlPr>
        </control>
      </mc:Choice>
    </mc:AlternateContent>
    <mc:AlternateContent xmlns:mc="http://schemas.openxmlformats.org/markup-compatibility/2006">
      <mc:Choice Requires="x14">
        <control shapeId="10788" r:id="rId70" name="Button 548">
          <controlPr defaultSize="0" autoFill="0" autoPict="0" macro="[0]!OYM">
            <anchor moveWithCells="1" sizeWithCells="1">
              <from>
                <xdr:col>15</xdr:col>
                <xdr:colOff>276225</xdr:colOff>
                <xdr:row>635</xdr:row>
                <xdr:rowOff>66675</xdr:rowOff>
              </from>
              <to>
                <xdr:col>22</xdr:col>
                <xdr:colOff>209550</xdr:colOff>
                <xdr:row>637</xdr:row>
                <xdr:rowOff>66675</xdr:rowOff>
              </to>
            </anchor>
          </controlPr>
        </control>
      </mc:Choice>
    </mc:AlternateContent>
    <mc:AlternateContent xmlns:mc="http://schemas.openxmlformats.org/markup-compatibility/2006">
      <mc:Choice Requires="x14">
        <control shapeId="10789" r:id="rId71" name="Button 549">
          <controlPr defaultSize="0" autoFill="0" autoPict="0" macro="[0]!CalculoTarifa">
            <anchor moveWithCells="1" sizeWithCells="1">
              <from>
                <xdr:col>23</xdr:col>
                <xdr:colOff>9525</xdr:colOff>
                <xdr:row>675</xdr:row>
                <xdr:rowOff>190500</xdr:rowOff>
              </from>
              <to>
                <xdr:col>28</xdr:col>
                <xdr:colOff>0</xdr:colOff>
                <xdr:row>679</xdr:row>
                <xdr:rowOff>190500</xdr:rowOff>
              </to>
            </anchor>
          </controlPr>
        </control>
      </mc:Choice>
    </mc:AlternateContent>
    <mc:AlternateContent xmlns:mc="http://schemas.openxmlformats.org/markup-compatibility/2006">
      <mc:Choice Requires="x14">
        <control shapeId="10790" r:id="rId72" name="Button 550">
          <controlPr defaultSize="0" autoFill="0" autoPict="0" macro="[0]!CalculoTarifa2">
            <anchor moveWithCells="1" sizeWithCells="1">
              <from>
                <xdr:col>23</xdr:col>
                <xdr:colOff>247650</xdr:colOff>
                <xdr:row>694</xdr:row>
                <xdr:rowOff>95250</xdr:rowOff>
              </from>
              <to>
                <xdr:col>34</xdr:col>
                <xdr:colOff>66675</xdr:colOff>
                <xdr:row>696</xdr:row>
                <xdr:rowOff>104775</xdr:rowOff>
              </to>
            </anchor>
          </controlPr>
        </control>
      </mc:Choice>
    </mc:AlternateContent>
    <mc:AlternateContent xmlns:mc="http://schemas.openxmlformats.org/markup-compatibility/2006">
      <mc:Choice Requires="x14">
        <control shapeId="10793" r:id="rId73" name="Drop Down 553">
          <controlPr defaultSize="0" autoLine="0" autoPict="0">
            <anchor moveWithCells="1">
              <from>
                <xdr:col>1</xdr:col>
                <xdr:colOff>19050</xdr:colOff>
                <xdr:row>16</xdr:row>
                <xdr:rowOff>9525</xdr:rowOff>
              </from>
              <to>
                <xdr:col>26</xdr:col>
                <xdr:colOff>0</xdr:colOff>
                <xdr:row>17</xdr:row>
                <xdr:rowOff>9525</xdr:rowOff>
              </to>
            </anchor>
          </controlPr>
        </control>
      </mc:Choice>
    </mc:AlternateContent>
    <mc:AlternateContent xmlns:mc="http://schemas.openxmlformats.org/markup-compatibility/2006">
      <mc:Choice Requires="x14">
        <control shapeId="10804" r:id="rId74" name="Drop Down 564">
          <controlPr defaultSize="0" autoLine="0" autoPict="0" macro="[0]!DropDown564_Cambiar">
            <anchor moveWithCells="1">
              <from>
                <xdr:col>28</xdr:col>
                <xdr:colOff>9525</xdr:colOff>
                <xdr:row>33</xdr:row>
                <xdr:rowOff>0</xdr:rowOff>
              </from>
              <to>
                <xdr:col>32</xdr:col>
                <xdr:colOff>28575</xdr:colOff>
                <xdr:row>34</xdr:row>
                <xdr:rowOff>0</xdr:rowOff>
              </to>
            </anchor>
          </controlPr>
        </control>
      </mc:Choice>
    </mc:AlternateContent>
    <mc:AlternateContent xmlns:mc="http://schemas.openxmlformats.org/markup-compatibility/2006">
      <mc:Choice Requires="x14">
        <control shapeId="10806" r:id="rId75" name="Drop Down 566">
          <controlPr defaultSize="0" autoLine="0" autoPict="0">
            <anchor moveWithCells="1">
              <from>
                <xdr:col>6</xdr:col>
                <xdr:colOff>9525</xdr:colOff>
                <xdr:row>201</xdr:row>
                <xdr:rowOff>9525</xdr:rowOff>
              </from>
              <to>
                <xdr:col>14</xdr:col>
                <xdr:colOff>257175</xdr:colOff>
                <xdr:row>201</xdr:row>
                <xdr:rowOff>219075</xdr:rowOff>
              </to>
            </anchor>
          </controlPr>
        </control>
      </mc:Choice>
    </mc:AlternateContent>
    <mc:AlternateContent xmlns:mc="http://schemas.openxmlformats.org/markup-compatibility/2006">
      <mc:Choice Requires="x14">
        <control shapeId="10816" r:id="rId76" name="Button 576">
          <controlPr defaultSize="0" autoFill="0" autoPict="0" macro="[0]!CriteriosTecnicos_barrido">
            <anchor moveWithCells="1" sizeWithCells="1">
              <from>
                <xdr:col>49</xdr:col>
                <xdr:colOff>38100</xdr:colOff>
                <xdr:row>251</xdr:row>
                <xdr:rowOff>38100</xdr:rowOff>
              </from>
              <to>
                <xdr:col>52</xdr:col>
                <xdr:colOff>19050</xdr:colOff>
                <xdr:row>253</xdr:row>
                <xdr:rowOff>0</xdr:rowOff>
              </to>
            </anchor>
          </controlPr>
        </control>
      </mc:Choice>
    </mc:AlternateContent>
    <mc:AlternateContent xmlns:mc="http://schemas.openxmlformats.org/markup-compatibility/2006">
      <mc:Choice Requires="x14">
        <control shapeId="10817" r:id="rId77" name="Button 577">
          <controlPr defaultSize="0" autoFill="0" autoPict="0" macro="[0]!CriteriosTecnicos_Recoleccion">
            <anchor moveWithCells="1">
              <from>
                <xdr:col>49</xdr:col>
                <xdr:colOff>19050</xdr:colOff>
                <xdr:row>256</xdr:row>
                <xdr:rowOff>219075</xdr:rowOff>
              </from>
              <to>
                <xdr:col>52</xdr:col>
                <xdr:colOff>0</xdr:colOff>
                <xdr:row>257</xdr:row>
                <xdr:rowOff>180975</xdr:rowOff>
              </to>
            </anchor>
          </controlPr>
        </control>
      </mc:Choice>
    </mc:AlternateContent>
    <mc:AlternateContent xmlns:mc="http://schemas.openxmlformats.org/markup-compatibility/2006">
      <mc:Choice Requires="x14">
        <control shapeId="10818" r:id="rId78" name="Button 578">
          <controlPr defaultSize="0" autoFill="0" autoPict="0" macro="[0]!CriteriosTecnicos_Valorizacion">
            <anchor moveWithCells="1" sizeWithCells="1">
              <from>
                <xdr:col>49</xdr:col>
                <xdr:colOff>28575</xdr:colOff>
                <xdr:row>263</xdr:row>
                <xdr:rowOff>171450</xdr:rowOff>
              </from>
              <to>
                <xdr:col>52</xdr:col>
                <xdr:colOff>9525</xdr:colOff>
                <xdr:row>265</xdr:row>
                <xdr:rowOff>123825</xdr:rowOff>
              </to>
            </anchor>
          </controlPr>
        </control>
      </mc:Choice>
    </mc:AlternateContent>
    <mc:AlternateContent xmlns:mc="http://schemas.openxmlformats.org/markup-compatibility/2006">
      <mc:Choice Requires="x14">
        <control shapeId="10819" r:id="rId79" name="Button 579">
          <controlPr defaultSize="0" autoFill="0" autoPict="0" macro="[0]!CriteriosTecnicos_Disposicion_final">
            <anchor moveWithCells="1" sizeWithCells="1">
              <from>
                <xdr:col>49</xdr:col>
                <xdr:colOff>47625</xdr:colOff>
                <xdr:row>272</xdr:row>
                <xdr:rowOff>47625</xdr:rowOff>
              </from>
              <to>
                <xdr:col>52</xdr:col>
                <xdr:colOff>28575</xdr:colOff>
                <xdr:row>274</xdr:row>
                <xdr:rowOff>9525</xdr:rowOff>
              </to>
            </anchor>
          </controlPr>
        </control>
      </mc:Choice>
    </mc:AlternateContent>
    <mc:AlternateContent xmlns:mc="http://schemas.openxmlformats.org/markup-compatibility/2006">
      <mc:Choice Requires="x14">
        <control shapeId="10820" r:id="rId80" name="Button 580">
          <controlPr defaultSize="0" autoFill="0" autoPict="0" macro="[0]!CriteriosTecnicos_Gestion_municipal">
            <anchor moveWithCells="1" sizeWithCells="1">
              <from>
                <xdr:col>49</xdr:col>
                <xdr:colOff>19050</xdr:colOff>
                <xdr:row>278</xdr:row>
                <xdr:rowOff>190500</xdr:rowOff>
              </from>
              <to>
                <xdr:col>52</xdr:col>
                <xdr:colOff>0</xdr:colOff>
                <xdr:row>280</xdr:row>
                <xdr:rowOff>152400</xdr:rowOff>
              </to>
            </anchor>
          </controlPr>
        </control>
      </mc:Choice>
    </mc:AlternateContent>
    <mc:AlternateContent xmlns:mc="http://schemas.openxmlformats.org/markup-compatibility/2006">
      <mc:Choice Requires="x14">
        <control shapeId="10821" r:id="rId81" name="Button 581">
          <controlPr defaultSize="0" autoFill="0" autoPict="0" macro="[0]!CriteriosTecnicos_Educacion_cultura">
            <anchor moveWithCells="1">
              <from>
                <xdr:col>49</xdr:col>
                <xdr:colOff>28575</xdr:colOff>
                <xdr:row>288</xdr:row>
                <xdr:rowOff>123825</xdr:rowOff>
              </from>
              <to>
                <xdr:col>52</xdr:col>
                <xdr:colOff>9525</xdr:colOff>
                <xdr:row>289</xdr:row>
                <xdr:rowOff>85725</xdr:rowOff>
              </to>
            </anchor>
          </controlPr>
        </control>
      </mc:Choice>
    </mc:AlternateContent>
    <mc:AlternateContent xmlns:mc="http://schemas.openxmlformats.org/markup-compatibility/2006">
      <mc:Choice Requires="x14">
        <control shapeId="10823" r:id="rId82" name="Button 583">
          <controlPr defaultSize="0" print="0" autoFill="0" autoPict="0" macro="[0]!CriteriosTecnicos_barrido2">
            <anchor moveWithCells="1" sizeWithCells="1">
              <from>
                <xdr:col>49</xdr:col>
                <xdr:colOff>38100</xdr:colOff>
                <xdr:row>372</xdr:row>
                <xdr:rowOff>0</xdr:rowOff>
              </from>
              <to>
                <xdr:col>51</xdr:col>
                <xdr:colOff>276225</xdr:colOff>
                <xdr:row>372</xdr:row>
                <xdr:rowOff>0</xdr:rowOff>
              </to>
            </anchor>
          </controlPr>
        </control>
      </mc:Choice>
    </mc:AlternateContent>
    <mc:AlternateContent xmlns:mc="http://schemas.openxmlformats.org/markup-compatibility/2006">
      <mc:Choice Requires="x14">
        <control shapeId="10824" r:id="rId83" name="Button 584">
          <controlPr defaultSize="0" autoFill="0" autoPict="0" macro="[0]!CriteriosTecnicos_Recoleccion2">
            <anchor moveWithCells="1" sizeWithCells="1">
              <from>
                <xdr:col>49</xdr:col>
                <xdr:colOff>0</xdr:colOff>
                <xdr:row>378</xdr:row>
                <xdr:rowOff>38100</xdr:rowOff>
              </from>
              <to>
                <xdr:col>52</xdr:col>
                <xdr:colOff>9525</xdr:colOff>
                <xdr:row>379</xdr:row>
                <xdr:rowOff>19050</xdr:rowOff>
              </to>
            </anchor>
          </controlPr>
        </control>
      </mc:Choice>
    </mc:AlternateContent>
    <mc:AlternateContent xmlns:mc="http://schemas.openxmlformats.org/markup-compatibility/2006">
      <mc:Choice Requires="x14">
        <control shapeId="10825" r:id="rId84" name="Button 585">
          <controlPr defaultSize="0" autoFill="0" autoPict="0" macro="[0]!CriteriosTecnicos_Valorizacion2">
            <anchor moveWithCells="1" sizeWithCells="1">
              <from>
                <xdr:col>49</xdr:col>
                <xdr:colOff>19050</xdr:colOff>
                <xdr:row>386</xdr:row>
                <xdr:rowOff>219075</xdr:rowOff>
              </from>
              <to>
                <xdr:col>52</xdr:col>
                <xdr:colOff>19050</xdr:colOff>
                <xdr:row>387</xdr:row>
                <xdr:rowOff>47625</xdr:rowOff>
              </to>
            </anchor>
          </controlPr>
        </control>
      </mc:Choice>
    </mc:AlternateContent>
    <mc:AlternateContent xmlns:mc="http://schemas.openxmlformats.org/markup-compatibility/2006">
      <mc:Choice Requires="x14">
        <control shapeId="10826" r:id="rId85" name="Button 586">
          <controlPr defaultSize="0" autoFill="0" autoPict="0" macro="[0]!CriteriosTecnicos_Disposicion_final2">
            <anchor moveWithCells="1" sizeWithCells="1">
              <from>
                <xdr:col>48</xdr:col>
                <xdr:colOff>295275</xdr:colOff>
                <xdr:row>393</xdr:row>
                <xdr:rowOff>409575</xdr:rowOff>
              </from>
              <to>
                <xdr:col>52</xdr:col>
                <xdr:colOff>9525</xdr:colOff>
                <xdr:row>394</xdr:row>
                <xdr:rowOff>390525</xdr:rowOff>
              </to>
            </anchor>
          </controlPr>
        </control>
      </mc:Choice>
    </mc:AlternateContent>
    <mc:AlternateContent xmlns:mc="http://schemas.openxmlformats.org/markup-compatibility/2006">
      <mc:Choice Requires="x14">
        <control shapeId="10827" r:id="rId86" name="Button 587">
          <controlPr defaultSize="0" autoFill="0" autoPict="0" macro="[0]!CriteriosTecnicos_Gestion_municipal2">
            <anchor moveWithCells="1" sizeWithCells="1">
              <from>
                <xdr:col>49</xdr:col>
                <xdr:colOff>9525</xdr:colOff>
                <xdr:row>404</xdr:row>
                <xdr:rowOff>276225</xdr:rowOff>
              </from>
              <to>
                <xdr:col>52</xdr:col>
                <xdr:colOff>19050</xdr:colOff>
                <xdr:row>406</xdr:row>
                <xdr:rowOff>104775</xdr:rowOff>
              </to>
            </anchor>
          </controlPr>
        </control>
      </mc:Choice>
    </mc:AlternateContent>
    <mc:AlternateContent xmlns:mc="http://schemas.openxmlformats.org/markup-compatibility/2006">
      <mc:Choice Requires="x14">
        <control shapeId="10828" r:id="rId87" name="Button 588">
          <controlPr defaultSize="0" autoFill="0" autoPict="0" macro="[0]!CriteriosTecnicos_Educacion_cultura2">
            <anchor moveWithCells="1" sizeWithCells="1">
              <from>
                <xdr:col>49</xdr:col>
                <xdr:colOff>9525</xdr:colOff>
                <xdr:row>415</xdr:row>
                <xdr:rowOff>28575</xdr:rowOff>
              </from>
              <to>
                <xdr:col>52</xdr:col>
                <xdr:colOff>9525</xdr:colOff>
                <xdr:row>416</xdr:row>
                <xdr:rowOff>9525</xdr:rowOff>
              </to>
            </anchor>
          </controlPr>
        </control>
      </mc:Choice>
    </mc:AlternateContent>
    <mc:AlternateContent xmlns:mc="http://schemas.openxmlformats.org/markup-compatibility/2006">
      <mc:Choice Requires="x14">
        <control shapeId="10829" r:id="rId88" name="Check Box 589">
          <controlPr defaultSize="0" autoFill="0" autoLine="0" autoPict="0" macro="[0]!Casilla589_Haga_clic_en">
            <anchor moveWithCells="1">
              <from>
                <xdr:col>1</xdr:col>
                <xdr:colOff>19050</xdr:colOff>
                <xdr:row>170</xdr:row>
                <xdr:rowOff>152400</xdr:rowOff>
              </from>
              <to>
                <xdr:col>2</xdr:col>
                <xdr:colOff>19050</xdr:colOff>
                <xdr:row>172</xdr:row>
                <xdr:rowOff>28575</xdr:rowOff>
              </to>
            </anchor>
          </controlPr>
        </control>
      </mc:Choice>
    </mc:AlternateContent>
    <mc:AlternateContent xmlns:mc="http://schemas.openxmlformats.org/markup-compatibility/2006">
      <mc:Choice Requires="x14">
        <control shapeId="10830" r:id="rId89" name="Check Box 590">
          <controlPr defaultSize="0" autoFill="0" autoLine="0" autoPict="0" macro="[0]!Casilla590_Haga_clic_en">
            <anchor moveWithCells="1">
              <from>
                <xdr:col>20</xdr:col>
                <xdr:colOff>57150</xdr:colOff>
                <xdr:row>170</xdr:row>
                <xdr:rowOff>180975</xdr:rowOff>
              </from>
              <to>
                <xdr:col>21</xdr:col>
                <xdr:colOff>0</xdr:colOff>
                <xdr:row>172</xdr:row>
                <xdr:rowOff>57150</xdr:rowOff>
              </to>
            </anchor>
          </controlPr>
        </control>
      </mc:Choice>
    </mc:AlternateContent>
    <mc:AlternateContent xmlns:mc="http://schemas.openxmlformats.org/markup-compatibility/2006">
      <mc:Choice Requires="x14">
        <control shapeId="10831" r:id="rId90" name="Check Box 591">
          <controlPr defaultSize="0" autoFill="0" autoLine="0" autoPict="0" macro="[0]!Casilla591_Haga_clic_en">
            <anchor moveWithCells="1">
              <from>
                <xdr:col>1</xdr:col>
                <xdr:colOff>19050</xdr:colOff>
                <xdr:row>171</xdr:row>
                <xdr:rowOff>152400</xdr:rowOff>
              </from>
              <to>
                <xdr:col>2</xdr:col>
                <xdr:colOff>19050</xdr:colOff>
                <xdr:row>173</xdr:row>
                <xdr:rowOff>28575</xdr:rowOff>
              </to>
            </anchor>
          </controlPr>
        </control>
      </mc:Choice>
    </mc:AlternateContent>
    <mc:AlternateContent xmlns:mc="http://schemas.openxmlformats.org/markup-compatibility/2006">
      <mc:Choice Requires="x14">
        <control shapeId="10832" r:id="rId91" name="Check Box 592">
          <controlPr defaultSize="0" autoFill="0" autoLine="0" autoPict="0" macro="[0]!Casilla592_Haga_clic_en">
            <anchor moveWithCells="1">
              <from>
                <xdr:col>20</xdr:col>
                <xdr:colOff>57150</xdr:colOff>
                <xdr:row>171</xdr:row>
                <xdr:rowOff>209550</xdr:rowOff>
              </from>
              <to>
                <xdr:col>21</xdr:col>
                <xdr:colOff>0</xdr:colOff>
                <xdr:row>173</xdr:row>
                <xdr:rowOff>85725</xdr:rowOff>
              </to>
            </anchor>
          </controlPr>
        </control>
      </mc:Choice>
    </mc:AlternateContent>
    <mc:AlternateContent xmlns:mc="http://schemas.openxmlformats.org/markup-compatibility/2006">
      <mc:Choice Requires="x14">
        <control shapeId="10833" r:id="rId92" name="Check Box 593">
          <controlPr defaultSize="0" autoFill="0" autoLine="0" autoPict="0" macro="[0]!Casilla593_Haga_clic_en">
            <anchor moveWithCells="1">
              <from>
                <xdr:col>1</xdr:col>
                <xdr:colOff>19050</xdr:colOff>
                <xdr:row>172</xdr:row>
                <xdr:rowOff>209550</xdr:rowOff>
              </from>
              <to>
                <xdr:col>2</xdr:col>
                <xdr:colOff>19050</xdr:colOff>
                <xdr:row>174</xdr:row>
                <xdr:rowOff>66675</xdr:rowOff>
              </to>
            </anchor>
          </controlPr>
        </control>
      </mc:Choice>
    </mc:AlternateContent>
    <mc:AlternateContent xmlns:mc="http://schemas.openxmlformats.org/markup-compatibility/2006">
      <mc:Choice Requires="x14">
        <control shapeId="10834" r:id="rId93" name="Check Box 594">
          <controlPr defaultSize="0" autoFill="0" autoLine="0" autoPict="0" macro="[0]!Casilla594_595_596_Haga_clic_en">
            <anchor moveWithCells="1">
              <from>
                <xdr:col>20</xdr:col>
                <xdr:colOff>47625</xdr:colOff>
                <xdr:row>172</xdr:row>
                <xdr:rowOff>180975</xdr:rowOff>
              </from>
              <to>
                <xdr:col>20</xdr:col>
                <xdr:colOff>371475</xdr:colOff>
                <xdr:row>174</xdr:row>
                <xdr:rowOff>47625</xdr:rowOff>
              </to>
            </anchor>
          </controlPr>
        </control>
      </mc:Choice>
    </mc:AlternateContent>
    <mc:AlternateContent xmlns:mc="http://schemas.openxmlformats.org/markup-compatibility/2006">
      <mc:Choice Requires="x14">
        <control shapeId="10835" r:id="rId94" name="Check Box 595">
          <controlPr defaultSize="0" autoFill="0" autoLine="0" autoPict="0" macro="[0]!Casilla594_595_596_Haga_clic_en">
            <anchor moveWithCells="1">
              <from>
                <xdr:col>20</xdr:col>
                <xdr:colOff>47625</xdr:colOff>
                <xdr:row>173</xdr:row>
                <xdr:rowOff>180975</xdr:rowOff>
              </from>
              <to>
                <xdr:col>20</xdr:col>
                <xdr:colOff>371475</xdr:colOff>
                <xdr:row>175</xdr:row>
                <xdr:rowOff>47625</xdr:rowOff>
              </to>
            </anchor>
          </controlPr>
        </control>
      </mc:Choice>
    </mc:AlternateContent>
    <mc:AlternateContent xmlns:mc="http://schemas.openxmlformats.org/markup-compatibility/2006">
      <mc:Choice Requires="x14">
        <control shapeId="10836" r:id="rId95" name="Check Box 596">
          <controlPr defaultSize="0" autoFill="0" autoLine="0" autoPict="0" macro="[0]!Casilla594_595_596_Haga_clic_en">
            <anchor moveWithCells="1">
              <from>
                <xdr:col>20</xdr:col>
                <xdr:colOff>57150</xdr:colOff>
                <xdr:row>174</xdr:row>
                <xdr:rowOff>180975</xdr:rowOff>
              </from>
              <to>
                <xdr:col>21</xdr:col>
                <xdr:colOff>0</xdr:colOff>
                <xdr:row>176</xdr:row>
                <xdr:rowOff>57150</xdr:rowOff>
              </to>
            </anchor>
          </controlPr>
        </control>
      </mc:Choice>
    </mc:AlternateContent>
    <mc:AlternateContent xmlns:mc="http://schemas.openxmlformats.org/markup-compatibility/2006">
      <mc:Choice Requires="x14">
        <control shapeId="10837" r:id="rId96" name="Check Box 597">
          <controlPr defaultSize="0" autoFill="0" autoLine="0" autoPict="0" macro="[0]!Casilla597_Haga_clic_en">
            <anchor moveWithCells="1">
              <from>
                <xdr:col>1</xdr:col>
                <xdr:colOff>19050</xdr:colOff>
                <xdr:row>175</xdr:row>
                <xdr:rowOff>219075</xdr:rowOff>
              </from>
              <to>
                <xdr:col>2</xdr:col>
                <xdr:colOff>19050</xdr:colOff>
                <xdr:row>177</xdr:row>
                <xdr:rowOff>76200</xdr:rowOff>
              </to>
            </anchor>
          </controlPr>
        </control>
      </mc:Choice>
    </mc:AlternateContent>
    <mc:AlternateContent xmlns:mc="http://schemas.openxmlformats.org/markup-compatibility/2006">
      <mc:Choice Requires="x14">
        <control shapeId="10838" r:id="rId97" name="Check Box 598">
          <controlPr defaultSize="0" autoFill="0" autoLine="0" autoPict="0" macro="[0]!Casilla598_599_600_601_Haga_clic_en">
            <anchor moveWithCells="1">
              <from>
                <xdr:col>20</xdr:col>
                <xdr:colOff>47625</xdr:colOff>
                <xdr:row>175</xdr:row>
                <xdr:rowOff>180975</xdr:rowOff>
              </from>
              <to>
                <xdr:col>20</xdr:col>
                <xdr:colOff>371475</xdr:colOff>
                <xdr:row>177</xdr:row>
                <xdr:rowOff>57150</xdr:rowOff>
              </to>
            </anchor>
          </controlPr>
        </control>
      </mc:Choice>
    </mc:AlternateContent>
    <mc:AlternateContent xmlns:mc="http://schemas.openxmlformats.org/markup-compatibility/2006">
      <mc:Choice Requires="x14">
        <control shapeId="10839" r:id="rId98" name="Check Box 599">
          <controlPr defaultSize="0" autoFill="0" autoLine="0" autoPict="0" macro="[0]!Casilla598_599_600_601_Haga_clic_en">
            <anchor moveWithCells="1">
              <from>
                <xdr:col>20</xdr:col>
                <xdr:colOff>57150</xdr:colOff>
                <xdr:row>176</xdr:row>
                <xdr:rowOff>190500</xdr:rowOff>
              </from>
              <to>
                <xdr:col>21</xdr:col>
                <xdr:colOff>0</xdr:colOff>
                <xdr:row>178</xdr:row>
                <xdr:rowOff>57150</xdr:rowOff>
              </to>
            </anchor>
          </controlPr>
        </control>
      </mc:Choice>
    </mc:AlternateContent>
    <mc:AlternateContent xmlns:mc="http://schemas.openxmlformats.org/markup-compatibility/2006">
      <mc:Choice Requires="x14">
        <control shapeId="10840" r:id="rId99" name="Check Box 600">
          <controlPr defaultSize="0" autoFill="0" autoLine="0" autoPict="0" macro="[0]!Casilla598_599_600_601_Haga_clic_en">
            <anchor moveWithCells="1">
              <from>
                <xdr:col>20</xdr:col>
                <xdr:colOff>47625</xdr:colOff>
                <xdr:row>177</xdr:row>
                <xdr:rowOff>190500</xdr:rowOff>
              </from>
              <to>
                <xdr:col>20</xdr:col>
                <xdr:colOff>371475</xdr:colOff>
                <xdr:row>179</xdr:row>
                <xdr:rowOff>66675</xdr:rowOff>
              </to>
            </anchor>
          </controlPr>
        </control>
      </mc:Choice>
    </mc:AlternateContent>
    <mc:AlternateContent xmlns:mc="http://schemas.openxmlformats.org/markup-compatibility/2006">
      <mc:Choice Requires="x14">
        <control shapeId="10841" r:id="rId100" name="Check Box 601">
          <controlPr defaultSize="0" autoFill="0" autoLine="0" autoPict="0" macro="[0]!Casilla598_599_600_601_Haga_clic_en">
            <anchor moveWithCells="1">
              <from>
                <xdr:col>20</xdr:col>
                <xdr:colOff>47625</xdr:colOff>
                <xdr:row>178</xdr:row>
                <xdr:rowOff>180975</xdr:rowOff>
              </from>
              <to>
                <xdr:col>20</xdr:col>
                <xdr:colOff>371475</xdr:colOff>
                <xdr:row>180</xdr:row>
                <xdr:rowOff>47625</xdr:rowOff>
              </to>
            </anchor>
          </controlPr>
        </control>
      </mc:Choice>
    </mc:AlternateContent>
    <mc:AlternateContent xmlns:mc="http://schemas.openxmlformats.org/markup-compatibility/2006">
      <mc:Choice Requires="x14">
        <control shapeId="10842" r:id="rId101" name="Check Box 602">
          <controlPr defaultSize="0" autoFill="0" autoLine="0" autoPict="0" macro="[0]!FICHA_Casilla602_Haga_clic_en">
            <anchor moveWithCells="1">
              <from>
                <xdr:col>1</xdr:col>
                <xdr:colOff>19050</xdr:colOff>
                <xdr:row>180</xdr:row>
                <xdr:rowOff>9525</xdr:rowOff>
              </from>
              <to>
                <xdr:col>2</xdr:col>
                <xdr:colOff>19050</xdr:colOff>
                <xdr:row>181</xdr:row>
                <xdr:rowOff>85725</xdr:rowOff>
              </to>
            </anchor>
          </controlPr>
        </control>
      </mc:Choice>
    </mc:AlternateContent>
    <mc:AlternateContent xmlns:mc="http://schemas.openxmlformats.org/markup-compatibility/2006">
      <mc:Choice Requires="x14">
        <control shapeId="10843" r:id="rId102" name="Check Box 603">
          <controlPr defaultSize="0" autoFill="0" autoLine="0" autoPict="0" macro="[0]!Casilla603_604_Haga_clic_en">
            <anchor moveWithCells="1">
              <from>
                <xdr:col>20</xdr:col>
                <xdr:colOff>47625</xdr:colOff>
                <xdr:row>179</xdr:row>
                <xdr:rowOff>171450</xdr:rowOff>
              </from>
              <to>
                <xdr:col>20</xdr:col>
                <xdr:colOff>371475</xdr:colOff>
                <xdr:row>181</xdr:row>
                <xdr:rowOff>38100</xdr:rowOff>
              </to>
            </anchor>
          </controlPr>
        </control>
      </mc:Choice>
    </mc:AlternateContent>
    <mc:AlternateContent xmlns:mc="http://schemas.openxmlformats.org/markup-compatibility/2006">
      <mc:Choice Requires="x14">
        <control shapeId="10844" r:id="rId103" name="Check Box 604">
          <controlPr defaultSize="0" autoFill="0" autoLine="0" autoPict="0" macro="[0]!Casilla603_604_Haga_clic_en">
            <anchor moveWithCells="1">
              <from>
                <xdr:col>20</xdr:col>
                <xdr:colOff>47625</xdr:colOff>
                <xdr:row>180</xdr:row>
                <xdr:rowOff>161925</xdr:rowOff>
              </from>
              <to>
                <xdr:col>20</xdr:col>
                <xdr:colOff>371475</xdr:colOff>
                <xdr:row>182</xdr:row>
                <xdr:rowOff>19050</xdr:rowOff>
              </to>
            </anchor>
          </controlPr>
        </control>
      </mc:Choice>
    </mc:AlternateContent>
    <mc:AlternateContent xmlns:mc="http://schemas.openxmlformats.org/markup-compatibility/2006">
      <mc:Choice Requires="x14">
        <control shapeId="10845" r:id="rId104" name="Check Box 605">
          <controlPr defaultSize="0" autoFill="0" autoLine="0" autoPict="0" macro="[0]!Casilla605_Haga_clic_en">
            <anchor moveWithCells="1">
              <from>
                <xdr:col>1</xdr:col>
                <xdr:colOff>19050</xdr:colOff>
                <xdr:row>182</xdr:row>
                <xdr:rowOff>9525</xdr:rowOff>
              </from>
              <to>
                <xdr:col>2</xdr:col>
                <xdr:colOff>19050</xdr:colOff>
                <xdr:row>183</xdr:row>
                <xdr:rowOff>95250</xdr:rowOff>
              </to>
            </anchor>
          </controlPr>
        </control>
      </mc:Choice>
    </mc:AlternateContent>
    <mc:AlternateContent xmlns:mc="http://schemas.openxmlformats.org/markup-compatibility/2006">
      <mc:Choice Requires="x14">
        <control shapeId="10846" r:id="rId105" name="Check Box 606">
          <controlPr defaultSize="0" autoFill="0" autoLine="0" autoPict="0" macro="[0]!Casilla606_607_Haga_clic_en">
            <anchor moveWithCells="1">
              <from>
                <xdr:col>20</xdr:col>
                <xdr:colOff>47625</xdr:colOff>
                <xdr:row>181</xdr:row>
                <xdr:rowOff>200025</xdr:rowOff>
              </from>
              <to>
                <xdr:col>20</xdr:col>
                <xdr:colOff>371475</xdr:colOff>
                <xdr:row>183</xdr:row>
                <xdr:rowOff>76200</xdr:rowOff>
              </to>
            </anchor>
          </controlPr>
        </control>
      </mc:Choice>
    </mc:AlternateContent>
    <mc:AlternateContent xmlns:mc="http://schemas.openxmlformats.org/markup-compatibility/2006">
      <mc:Choice Requires="x14">
        <control shapeId="10847" r:id="rId106" name="Check Box 607">
          <controlPr defaultSize="0" autoFill="0" autoLine="0" autoPict="0" macro="[0]!Casilla606_607_Haga_clic_en">
            <anchor moveWithCells="1">
              <from>
                <xdr:col>20</xdr:col>
                <xdr:colOff>57150</xdr:colOff>
                <xdr:row>182</xdr:row>
                <xdr:rowOff>171450</xdr:rowOff>
              </from>
              <to>
                <xdr:col>21</xdr:col>
                <xdr:colOff>0</xdr:colOff>
                <xdr:row>184</xdr:row>
                <xdr:rowOff>47625</xdr:rowOff>
              </to>
            </anchor>
          </controlPr>
        </control>
      </mc:Choice>
    </mc:AlternateContent>
    <mc:AlternateContent xmlns:mc="http://schemas.openxmlformats.org/markup-compatibility/2006">
      <mc:Choice Requires="x14">
        <control shapeId="10848" r:id="rId107" name="Check Box 608">
          <controlPr defaultSize="0" autoFill="0" autoLine="0" autoPict="0" macro="[0]!Casilla608_Haga_clic_en">
            <anchor moveWithCells="1">
              <from>
                <xdr:col>1</xdr:col>
                <xdr:colOff>19050</xdr:colOff>
                <xdr:row>184</xdr:row>
                <xdr:rowOff>0</xdr:rowOff>
              </from>
              <to>
                <xdr:col>2</xdr:col>
                <xdr:colOff>19050</xdr:colOff>
                <xdr:row>185</xdr:row>
                <xdr:rowOff>95250</xdr:rowOff>
              </to>
            </anchor>
          </controlPr>
        </control>
      </mc:Choice>
    </mc:AlternateContent>
    <mc:AlternateContent xmlns:mc="http://schemas.openxmlformats.org/markup-compatibility/2006">
      <mc:Choice Requires="x14">
        <control shapeId="10849" r:id="rId108" name="Check Box 609">
          <controlPr defaultSize="0" autoFill="0" autoLine="0" autoPict="0" macro="[0]!Casilla609_610_Haga_clic_en">
            <anchor moveWithCells="1">
              <from>
                <xdr:col>20</xdr:col>
                <xdr:colOff>57150</xdr:colOff>
                <xdr:row>183</xdr:row>
                <xdr:rowOff>180975</xdr:rowOff>
              </from>
              <to>
                <xdr:col>21</xdr:col>
                <xdr:colOff>0</xdr:colOff>
                <xdr:row>185</xdr:row>
                <xdr:rowOff>47625</xdr:rowOff>
              </to>
            </anchor>
          </controlPr>
        </control>
      </mc:Choice>
    </mc:AlternateContent>
    <mc:AlternateContent xmlns:mc="http://schemas.openxmlformats.org/markup-compatibility/2006">
      <mc:Choice Requires="x14">
        <control shapeId="10850" r:id="rId109" name="Check Box 610">
          <controlPr defaultSize="0" autoFill="0" autoLine="0" autoPict="0" macro="[0]!Casilla609_610_Haga_clic_en">
            <anchor moveWithCells="1">
              <from>
                <xdr:col>20</xdr:col>
                <xdr:colOff>57150</xdr:colOff>
                <xdr:row>184</xdr:row>
                <xdr:rowOff>180975</xdr:rowOff>
              </from>
              <to>
                <xdr:col>21</xdr:col>
                <xdr:colOff>0</xdr:colOff>
                <xdr:row>186</xdr:row>
                <xdr:rowOff>57150</xdr:rowOff>
              </to>
            </anchor>
          </controlPr>
        </control>
      </mc:Choice>
    </mc:AlternateContent>
    <mc:AlternateContent xmlns:mc="http://schemas.openxmlformats.org/markup-compatibility/2006">
      <mc:Choice Requires="x14">
        <control shapeId="10851" r:id="rId110" name="Check Box 611">
          <controlPr defaultSize="0" autoFill="0" autoLine="0" autoPict="0" macro="[0]!Casilla611_613_615_617_Haga_clic_en">
            <anchor moveWithCells="1">
              <from>
                <xdr:col>1</xdr:col>
                <xdr:colOff>19050</xdr:colOff>
                <xdr:row>188</xdr:row>
                <xdr:rowOff>190500</xdr:rowOff>
              </from>
              <to>
                <xdr:col>2</xdr:col>
                <xdr:colOff>19050</xdr:colOff>
                <xdr:row>190</xdr:row>
                <xdr:rowOff>57150</xdr:rowOff>
              </to>
            </anchor>
          </controlPr>
        </control>
      </mc:Choice>
    </mc:AlternateContent>
    <mc:AlternateContent xmlns:mc="http://schemas.openxmlformats.org/markup-compatibility/2006">
      <mc:Choice Requires="x14">
        <control shapeId="10852" r:id="rId111" name="Check Box 612">
          <controlPr defaultSize="0" autoFill="0" autoLine="0" autoPict="0" macro="[0]!Casilla612_614_616_618_Haga_clic_en">
            <anchor moveWithCells="1">
              <from>
                <xdr:col>20</xdr:col>
                <xdr:colOff>47625</xdr:colOff>
                <xdr:row>188</xdr:row>
                <xdr:rowOff>190500</xdr:rowOff>
              </from>
              <to>
                <xdr:col>20</xdr:col>
                <xdr:colOff>361950</xdr:colOff>
                <xdr:row>190</xdr:row>
                <xdr:rowOff>66675</xdr:rowOff>
              </to>
            </anchor>
          </controlPr>
        </control>
      </mc:Choice>
    </mc:AlternateContent>
    <mc:AlternateContent xmlns:mc="http://schemas.openxmlformats.org/markup-compatibility/2006">
      <mc:Choice Requires="x14">
        <control shapeId="10853" r:id="rId112" name="Check Box 613">
          <controlPr defaultSize="0" autoFill="0" autoLine="0" autoPict="0" macro="[0]!Casilla611_613_615_617_Haga_clic_en">
            <anchor moveWithCells="1">
              <from>
                <xdr:col>1</xdr:col>
                <xdr:colOff>19050</xdr:colOff>
                <xdr:row>189</xdr:row>
                <xdr:rowOff>180975</xdr:rowOff>
              </from>
              <to>
                <xdr:col>2</xdr:col>
                <xdr:colOff>19050</xdr:colOff>
                <xdr:row>191</xdr:row>
                <xdr:rowOff>38100</xdr:rowOff>
              </to>
            </anchor>
          </controlPr>
        </control>
      </mc:Choice>
    </mc:AlternateContent>
    <mc:AlternateContent xmlns:mc="http://schemas.openxmlformats.org/markup-compatibility/2006">
      <mc:Choice Requires="x14">
        <control shapeId="10854" r:id="rId113" name="Check Box 614">
          <controlPr defaultSize="0" autoFill="0" autoLine="0" autoPict="0" macro="[0]!Casilla612_614_616_618_Haga_clic_en">
            <anchor moveWithCells="1">
              <from>
                <xdr:col>20</xdr:col>
                <xdr:colOff>28575</xdr:colOff>
                <xdr:row>190</xdr:row>
                <xdr:rowOff>180975</xdr:rowOff>
              </from>
              <to>
                <xdr:col>20</xdr:col>
                <xdr:colOff>342900</xdr:colOff>
                <xdr:row>192</xdr:row>
                <xdr:rowOff>47625</xdr:rowOff>
              </to>
            </anchor>
          </controlPr>
        </control>
      </mc:Choice>
    </mc:AlternateContent>
    <mc:AlternateContent xmlns:mc="http://schemas.openxmlformats.org/markup-compatibility/2006">
      <mc:Choice Requires="x14">
        <control shapeId="10855" r:id="rId114" name="Check Box 615">
          <controlPr defaultSize="0" autoFill="0" autoLine="0" autoPict="0" macro="[0]!Casilla611_613_615_617_Haga_clic_en">
            <anchor moveWithCells="1">
              <from>
                <xdr:col>1</xdr:col>
                <xdr:colOff>19050</xdr:colOff>
                <xdr:row>190</xdr:row>
                <xdr:rowOff>190500</xdr:rowOff>
              </from>
              <to>
                <xdr:col>2</xdr:col>
                <xdr:colOff>19050</xdr:colOff>
                <xdr:row>192</xdr:row>
                <xdr:rowOff>38100</xdr:rowOff>
              </to>
            </anchor>
          </controlPr>
        </control>
      </mc:Choice>
    </mc:AlternateContent>
    <mc:AlternateContent xmlns:mc="http://schemas.openxmlformats.org/markup-compatibility/2006">
      <mc:Choice Requires="x14">
        <control shapeId="10857" r:id="rId115" name="Check Box 617">
          <controlPr defaultSize="0" autoFill="0" autoLine="0" autoPict="0" macro="[0]!Casilla611_613_615_617_Haga_clic_en">
            <anchor moveWithCells="1">
              <from>
                <xdr:col>1</xdr:col>
                <xdr:colOff>19050</xdr:colOff>
                <xdr:row>191</xdr:row>
                <xdr:rowOff>190500</xdr:rowOff>
              </from>
              <to>
                <xdr:col>2</xdr:col>
                <xdr:colOff>19050</xdr:colOff>
                <xdr:row>193</xdr:row>
                <xdr:rowOff>47625</xdr:rowOff>
              </to>
            </anchor>
          </controlPr>
        </control>
      </mc:Choice>
    </mc:AlternateContent>
    <mc:AlternateContent xmlns:mc="http://schemas.openxmlformats.org/markup-compatibility/2006">
      <mc:Choice Requires="x14">
        <control shapeId="10859" r:id="rId116" name="Check Box 619">
          <controlPr defaultSize="0" autoFill="0" autoLine="0" autoPict="0" macro="[0]!Casilla619_Haga_clic_en">
            <anchor moveWithCells="1">
              <from>
                <xdr:col>1</xdr:col>
                <xdr:colOff>28575</xdr:colOff>
                <xdr:row>229</xdr:row>
                <xdr:rowOff>200025</xdr:rowOff>
              </from>
              <to>
                <xdr:col>2</xdr:col>
                <xdr:colOff>28575</xdr:colOff>
                <xdr:row>231</xdr:row>
                <xdr:rowOff>76200</xdr:rowOff>
              </to>
            </anchor>
          </controlPr>
        </control>
      </mc:Choice>
    </mc:AlternateContent>
    <mc:AlternateContent xmlns:mc="http://schemas.openxmlformats.org/markup-compatibility/2006">
      <mc:Choice Requires="x14">
        <control shapeId="10860" r:id="rId117" name="Check Box 620">
          <controlPr defaultSize="0" autoFill="0" autoLine="0" autoPict="0">
            <anchor moveWithCells="1">
              <from>
                <xdr:col>20</xdr:col>
                <xdr:colOff>47625</xdr:colOff>
                <xdr:row>229</xdr:row>
                <xdr:rowOff>190500</xdr:rowOff>
              </from>
              <to>
                <xdr:col>20</xdr:col>
                <xdr:colOff>361950</xdr:colOff>
                <xdr:row>231</xdr:row>
                <xdr:rowOff>66675</xdr:rowOff>
              </to>
            </anchor>
          </controlPr>
        </control>
      </mc:Choice>
    </mc:AlternateContent>
    <mc:AlternateContent xmlns:mc="http://schemas.openxmlformats.org/markup-compatibility/2006">
      <mc:Choice Requires="x14">
        <control shapeId="10861" r:id="rId118" name="Check Box 621">
          <controlPr defaultSize="0" autoFill="0" autoLine="0" autoPict="0" macro="[0]!Casilla621_Haga_clic_en">
            <anchor moveWithCells="1">
              <from>
                <xdr:col>1</xdr:col>
                <xdr:colOff>28575</xdr:colOff>
                <xdr:row>230</xdr:row>
                <xdr:rowOff>190500</xdr:rowOff>
              </from>
              <to>
                <xdr:col>2</xdr:col>
                <xdr:colOff>28575</xdr:colOff>
                <xdr:row>232</xdr:row>
                <xdr:rowOff>57150</xdr:rowOff>
              </to>
            </anchor>
          </controlPr>
        </control>
      </mc:Choice>
    </mc:AlternateContent>
    <mc:AlternateContent xmlns:mc="http://schemas.openxmlformats.org/markup-compatibility/2006">
      <mc:Choice Requires="x14">
        <control shapeId="10862" r:id="rId119" name="Check Box 622">
          <controlPr defaultSize="0" autoFill="0" autoLine="0" autoPict="0">
            <anchor moveWithCells="1">
              <from>
                <xdr:col>20</xdr:col>
                <xdr:colOff>47625</xdr:colOff>
                <xdr:row>230</xdr:row>
                <xdr:rowOff>152400</xdr:rowOff>
              </from>
              <to>
                <xdr:col>20</xdr:col>
                <xdr:colOff>361950</xdr:colOff>
                <xdr:row>232</xdr:row>
                <xdr:rowOff>28575</xdr:rowOff>
              </to>
            </anchor>
          </controlPr>
        </control>
      </mc:Choice>
    </mc:AlternateContent>
    <mc:AlternateContent xmlns:mc="http://schemas.openxmlformats.org/markup-compatibility/2006">
      <mc:Choice Requires="x14">
        <control shapeId="10863" r:id="rId120" name="Check Box 623">
          <controlPr defaultSize="0" autoFill="0" autoLine="0" autoPict="0" macro="[0]!Casilla623_Haga_clic_en">
            <anchor moveWithCells="1">
              <from>
                <xdr:col>1</xdr:col>
                <xdr:colOff>9525</xdr:colOff>
                <xdr:row>232</xdr:row>
                <xdr:rowOff>57150</xdr:rowOff>
              </from>
              <to>
                <xdr:col>2</xdr:col>
                <xdr:colOff>9525</xdr:colOff>
                <xdr:row>233</xdr:row>
                <xdr:rowOff>161925</xdr:rowOff>
              </to>
            </anchor>
          </controlPr>
        </control>
      </mc:Choice>
    </mc:AlternateContent>
    <mc:AlternateContent xmlns:mc="http://schemas.openxmlformats.org/markup-compatibility/2006">
      <mc:Choice Requires="x14">
        <control shapeId="10864" r:id="rId121" name="Check Box 624">
          <controlPr defaultSize="0" autoFill="0" autoLine="0" autoPict="0">
            <anchor moveWithCells="1">
              <from>
                <xdr:col>20</xdr:col>
                <xdr:colOff>47625</xdr:colOff>
                <xdr:row>231</xdr:row>
                <xdr:rowOff>161925</xdr:rowOff>
              </from>
              <to>
                <xdr:col>20</xdr:col>
                <xdr:colOff>361950</xdr:colOff>
                <xdr:row>233</xdr:row>
                <xdr:rowOff>28575</xdr:rowOff>
              </to>
            </anchor>
          </controlPr>
        </control>
      </mc:Choice>
    </mc:AlternateContent>
    <mc:AlternateContent xmlns:mc="http://schemas.openxmlformats.org/markup-compatibility/2006">
      <mc:Choice Requires="x14">
        <control shapeId="10865" r:id="rId122" name="Check Box 625">
          <controlPr defaultSize="0" autoFill="0" autoLine="0" autoPict="0">
            <anchor moveWithCells="1">
              <from>
                <xdr:col>20</xdr:col>
                <xdr:colOff>47625</xdr:colOff>
                <xdr:row>232</xdr:row>
                <xdr:rowOff>161925</xdr:rowOff>
              </from>
              <to>
                <xdr:col>20</xdr:col>
                <xdr:colOff>361950</xdr:colOff>
                <xdr:row>234</xdr:row>
                <xdr:rowOff>28575</xdr:rowOff>
              </to>
            </anchor>
          </controlPr>
        </control>
      </mc:Choice>
    </mc:AlternateContent>
    <mc:AlternateContent xmlns:mc="http://schemas.openxmlformats.org/markup-compatibility/2006">
      <mc:Choice Requires="x14">
        <control shapeId="10866" r:id="rId123" name="Check Box 626">
          <controlPr defaultSize="0" autoFill="0" autoLine="0" autoPict="0">
            <anchor moveWithCells="1">
              <from>
                <xdr:col>20</xdr:col>
                <xdr:colOff>47625</xdr:colOff>
                <xdr:row>233</xdr:row>
                <xdr:rowOff>161925</xdr:rowOff>
              </from>
              <to>
                <xdr:col>20</xdr:col>
                <xdr:colOff>361950</xdr:colOff>
                <xdr:row>235</xdr:row>
                <xdr:rowOff>38100</xdr:rowOff>
              </to>
            </anchor>
          </controlPr>
        </control>
      </mc:Choice>
    </mc:AlternateContent>
    <mc:AlternateContent xmlns:mc="http://schemas.openxmlformats.org/markup-compatibility/2006">
      <mc:Choice Requires="x14">
        <control shapeId="10867" r:id="rId124" name="Check Box 627">
          <controlPr defaultSize="0" autoFill="0" autoLine="0" autoPict="0" macro="[0]!Casilla627_Haga_clic_en">
            <anchor moveWithCells="1">
              <from>
                <xdr:col>1</xdr:col>
                <xdr:colOff>9525</xdr:colOff>
                <xdr:row>235</xdr:row>
                <xdr:rowOff>66675</xdr:rowOff>
              </from>
              <to>
                <xdr:col>2</xdr:col>
                <xdr:colOff>9525</xdr:colOff>
                <xdr:row>236</xdr:row>
                <xdr:rowOff>171450</xdr:rowOff>
              </to>
            </anchor>
          </controlPr>
        </control>
      </mc:Choice>
    </mc:AlternateContent>
    <mc:AlternateContent xmlns:mc="http://schemas.openxmlformats.org/markup-compatibility/2006">
      <mc:Choice Requires="x14">
        <control shapeId="10868" r:id="rId125" name="Check Box 628">
          <controlPr defaultSize="0" autoFill="0" autoLine="0" autoPict="0">
            <anchor moveWithCells="1">
              <from>
                <xdr:col>20</xdr:col>
                <xdr:colOff>47625</xdr:colOff>
                <xdr:row>234</xdr:row>
                <xdr:rowOff>161925</xdr:rowOff>
              </from>
              <to>
                <xdr:col>20</xdr:col>
                <xdr:colOff>361950</xdr:colOff>
                <xdr:row>236</xdr:row>
                <xdr:rowOff>38100</xdr:rowOff>
              </to>
            </anchor>
          </controlPr>
        </control>
      </mc:Choice>
    </mc:AlternateContent>
    <mc:AlternateContent xmlns:mc="http://schemas.openxmlformats.org/markup-compatibility/2006">
      <mc:Choice Requires="x14">
        <control shapeId="10869" r:id="rId126" name="Check Box 629">
          <controlPr defaultSize="0" autoFill="0" autoLine="0" autoPict="0">
            <anchor moveWithCells="1">
              <from>
                <xdr:col>20</xdr:col>
                <xdr:colOff>47625</xdr:colOff>
                <xdr:row>235</xdr:row>
                <xdr:rowOff>171450</xdr:rowOff>
              </from>
              <to>
                <xdr:col>20</xdr:col>
                <xdr:colOff>361950</xdr:colOff>
                <xdr:row>237</xdr:row>
                <xdr:rowOff>38100</xdr:rowOff>
              </to>
            </anchor>
          </controlPr>
        </control>
      </mc:Choice>
    </mc:AlternateContent>
    <mc:AlternateContent xmlns:mc="http://schemas.openxmlformats.org/markup-compatibility/2006">
      <mc:Choice Requires="x14">
        <control shapeId="10870" r:id="rId127" name="Check Box 630">
          <controlPr defaultSize="0" autoFill="0" autoLine="0" autoPict="0">
            <anchor moveWithCells="1">
              <from>
                <xdr:col>20</xdr:col>
                <xdr:colOff>47625</xdr:colOff>
                <xdr:row>236</xdr:row>
                <xdr:rowOff>171450</xdr:rowOff>
              </from>
              <to>
                <xdr:col>20</xdr:col>
                <xdr:colOff>361950</xdr:colOff>
                <xdr:row>238</xdr:row>
                <xdr:rowOff>47625</xdr:rowOff>
              </to>
            </anchor>
          </controlPr>
        </control>
      </mc:Choice>
    </mc:AlternateContent>
    <mc:AlternateContent xmlns:mc="http://schemas.openxmlformats.org/markup-compatibility/2006">
      <mc:Choice Requires="x14">
        <control shapeId="10871" r:id="rId128" name="Check Box 631">
          <controlPr defaultSize="0" autoFill="0" autoLine="0" autoPict="0">
            <anchor moveWithCells="1">
              <from>
                <xdr:col>20</xdr:col>
                <xdr:colOff>47625</xdr:colOff>
                <xdr:row>237</xdr:row>
                <xdr:rowOff>171450</xdr:rowOff>
              </from>
              <to>
                <xdr:col>20</xdr:col>
                <xdr:colOff>361950</xdr:colOff>
                <xdr:row>239</xdr:row>
                <xdr:rowOff>47625</xdr:rowOff>
              </to>
            </anchor>
          </controlPr>
        </control>
      </mc:Choice>
    </mc:AlternateContent>
    <mc:AlternateContent xmlns:mc="http://schemas.openxmlformats.org/markup-compatibility/2006">
      <mc:Choice Requires="x14">
        <control shapeId="10872" r:id="rId129" name="Check Box 632">
          <controlPr defaultSize="0" autoFill="0" autoLine="0" autoPict="0" macro="[0]!Casilla632_Haga_clic_en">
            <anchor moveWithCells="1">
              <from>
                <xdr:col>1</xdr:col>
                <xdr:colOff>9525</xdr:colOff>
                <xdr:row>239</xdr:row>
                <xdr:rowOff>76200</xdr:rowOff>
              </from>
              <to>
                <xdr:col>2</xdr:col>
                <xdr:colOff>9525</xdr:colOff>
                <xdr:row>240</xdr:row>
                <xdr:rowOff>180975</xdr:rowOff>
              </to>
            </anchor>
          </controlPr>
        </control>
      </mc:Choice>
    </mc:AlternateContent>
    <mc:AlternateContent xmlns:mc="http://schemas.openxmlformats.org/markup-compatibility/2006">
      <mc:Choice Requires="x14">
        <control shapeId="10873" r:id="rId130" name="Check Box 633">
          <controlPr defaultSize="0" autoFill="0" autoLine="0" autoPict="0">
            <anchor moveWithCells="1">
              <from>
                <xdr:col>20</xdr:col>
                <xdr:colOff>47625</xdr:colOff>
                <xdr:row>238</xdr:row>
                <xdr:rowOff>180975</xdr:rowOff>
              </from>
              <to>
                <xdr:col>20</xdr:col>
                <xdr:colOff>361950</xdr:colOff>
                <xdr:row>240</xdr:row>
                <xdr:rowOff>47625</xdr:rowOff>
              </to>
            </anchor>
          </controlPr>
        </control>
      </mc:Choice>
    </mc:AlternateContent>
    <mc:AlternateContent xmlns:mc="http://schemas.openxmlformats.org/markup-compatibility/2006">
      <mc:Choice Requires="x14">
        <control shapeId="10874" r:id="rId131" name="Check Box 634">
          <controlPr defaultSize="0" autoFill="0" autoLine="0" autoPict="0">
            <anchor moveWithCells="1">
              <from>
                <xdr:col>20</xdr:col>
                <xdr:colOff>47625</xdr:colOff>
                <xdr:row>239</xdr:row>
                <xdr:rowOff>180975</xdr:rowOff>
              </from>
              <to>
                <xdr:col>20</xdr:col>
                <xdr:colOff>361950</xdr:colOff>
                <xdr:row>241</xdr:row>
                <xdr:rowOff>47625</xdr:rowOff>
              </to>
            </anchor>
          </controlPr>
        </control>
      </mc:Choice>
    </mc:AlternateContent>
    <mc:AlternateContent xmlns:mc="http://schemas.openxmlformats.org/markup-compatibility/2006">
      <mc:Choice Requires="x14">
        <control shapeId="10875" r:id="rId132" name="Check Box 635">
          <controlPr defaultSize="0" autoFill="0" autoLine="0" autoPict="0" macro="[0]!Casilla635_Haga_clic_en">
            <anchor moveWithCells="1">
              <from>
                <xdr:col>1</xdr:col>
                <xdr:colOff>9525</xdr:colOff>
                <xdr:row>241</xdr:row>
                <xdr:rowOff>76200</xdr:rowOff>
              </from>
              <to>
                <xdr:col>2</xdr:col>
                <xdr:colOff>9525</xdr:colOff>
                <xdr:row>242</xdr:row>
                <xdr:rowOff>190500</xdr:rowOff>
              </to>
            </anchor>
          </controlPr>
        </control>
      </mc:Choice>
    </mc:AlternateContent>
    <mc:AlternateContent xmlns:mc="http://schemas.openxmlformats.org/markup-compatibility/2006">
      <mc:Choice Requires="x14">
        <control shapeId="10876" r:id="rId133" name="Check Box 636">
          <controlPr defaultSize="0" autoFill="0" autoLine="0" autoPict="0">
            <anchor moveWithCells="1">
              <from>
                <xdr:col>20</xdr:col>
                <xdr:colOff>47625</xdr:colOff>
                <xdr:row>240</xdr:row>
                <xdr:rowOff>180975</xdr:rowOff>
              </from>
              <to>
                <xdr:col>20</xdr:col>
                <xdr:colOff>361950</xdr:colOff>
                <xdr:row>242</xdr:row>
                <xdr:rowOff>57150</xdr:rowOff>
              </to>
            </anchor>
          </controlPr>
        </control>
      </mc:Choice>
    </mc:AlternateContent>
    <mc:AlternateContent xmlns:mc="http://schemas.openxmlformats.org/markup-compatibility/2006">
      <mc:Choice Requires="x14">
        <control shapeId="10877" r:id="rId134" name="Check Box 637">
          <controlPr defaultSize="0" autoFill="0" autoLine="0" autoPict="0">
            <anchor moveWithCells="1">
              <from>
                <xdr:col>20</xdr:col>
                <xdr:colOff>47625</xdr:colOff>
                <xdr:row>241</xdr:row>
                <xdr:rowOff>180975</xdr:rowOff>
              </from>
              <to>
                <xdr:col>20</xdr:col>
                <xdr:colOff>361950</xdr:colOff>
                <xdr:row>243</xdr:row>
                <xdr:rowOff>57150</xdr:rowOff>
              </to>
            </anchor>
          </controlPr>
        </control>
      </mc:Choice>
    </mc:AlternateContent>
    <mc:AlternateContent xmlns:mc="http://schemas.openxmlformats.org/markup-compatibility/2006">
      <mc:Choice Requires="x14">
        <control shapeId="10878" r:id="rId135" name="Check Box 638">
          <controlPr defaultSize="0" autoFill="0" autoLine="0" autoPict="0" macro="[0]!Casilla638_Haga_clic_en">
            <anchor moveWithCells="1">
              <from>
                <xdr:col>1</xdr:col>
                <xdr:colOff>9525</xdr:colOff>
                <xdr:row>243</xdr:row>
                <xdr:rowOff>85725</xdr:rowOff>
              </from>
              <to>
                <xdr:col>2</xdr:col>
                <xdr:colOff>9525</xdr:colOff>
                <xdr:row>244</xdr:row>
                <xdr:rowOff>180975</xdr:rowOff>
              </to>
            </anchor>
          </controlPr>
        </control>
      </mc:Choice>
    </mc:AlternateContent>
    <mc:AlternateContent xmlns:mc="http://schemas.openxmlformats.org/markup-compatibility/2006">
      <mc:Choice Requires="x14">
        <control shapeId="10879" r:id="rId136" name="Check Box 639">
          <controlPr defaultSize="0" autoFill="0" autoLine="0" autoPict="0">
            <anchor moveWithCells="1">
              <from>
                <xdr:col>20</xdr:col>
                <xdr:colOff>47625</xdr:colOff>
                <xdr:row>242</xdr:row>
                <xdr:rowOff>190500</xdr:rowOff>
              </from>
              <to>
                <xdr:col>20</xdr:col>
                <xdr:colOff>361950</xdr:colOff>
                <xdr:row>244</xdr:row>
                <xdr:rowOff>57150</xdr:rowOff>
              </to>
            </anchor>
          </controlPr>
        </control>
      </mc:Choice>
    </mc:AlternateContent>
    <mc:AlternateContent xmlns:mc="http://schemas.openxmlformats.org/markup-compatibility/2006">
      <mc:Choice Requires="x14">
        <control shapeId="10880" r:id="rId137" name="Check Box 640">
          <controlPr defaultSize="0" autoFill="0" autoLine="0" autoPict="0">
            <anchor moveWithCells="1">
              <from>
                <xdr:col>20</xdr:col>
                <xdr:colOff>47625</xdr:colOff>
                <xdr:row>243</xdr:row>
                <xdr:rowOff>180975</xdr:rowOff>
              </from>
              <to>
                <xdr:col>20</xdr:col>
                <xdr:colOff>361950</xdr:colOff>
                <xdr:row>245</xdr:row>
                <xdr:rowOff>57150</xdr:rowOff>
              </to>
            </anchor>
          </controlPr>
        </control>
      </mc:Choice>
    </mc:AlternateContent>
    <mc:AlternateContent xmlns:mc="http://schemas.openxmlformats.org/markup-compatibility/2006">
      <mc:Choice Requires="x14">
        <control shapeId="10881" r:id="rId138" name="Check Box 641">
          <controlPr defaultSize="0" autoFill="0" autoLine="0" autoPict="0" macro="[0]!Casilla641_Haga_clic_en">
            <anchor moveWithCells="1">
              <from>
                <xdr:col>27</xdr:col>
                <xdr:colOff>76200</xdr:colOff>
                <xdr:row>250</xdr:row>
                <xdr:rowOff>76200</xdr:rowOff>
              </from>
              <to>
                <xdr:col>28</xdr:col>
                <xdr:colOff>19050</xdr:colOff>
                <xdr:row>251</xdr:row>
                <xdr:rowOff>9525</xdr:rowOff>
              </to>
            </anchor>
          </controlPr>
        </control>
      </mc:Choice>
    </mc:AlternateContent>
    <mc:AlternateContent xmlns:mc="http://schemas.openxmlformats.org/markup-compatibility/2006">
      <mc:Choice Requires="x14">
        <control shapeId="10882" r:id="rId139" name="Check Box 642">
          <controlPr defaultSize="0" autoFill="0" autoLine="0" autoPict="0" macro="[0]!Casilla642_643_644_645_Haga_clic_en">
            <anchor moveWithCells="1">
              <from>
                <xdr:col>27</xdr:col>
                <xdr:colOff>85725</xdr:colOff>
                <xdr:row>250</xdr:row>
                <xdr:rowOff>400050</xdr:rowOff>
              </from>
              <to>
                <xdr:col>28</xdr:col>
                <xdr:colOff>28575</xdr:colOff>
                <xdr:row>252</xdr:row>
                <xdr:rowOff>104775</xdr:rowOff>
              </to>
            </anchor>
          </controlPr>
        </control>
      </mc:Choice>
    </mc:AlternateContent>
    <mc:AlternateContent xmlns:mc="http://schemas.openxmlformats.org/markup-compatibility/2006">
      <mc:Choice Requires="x14">
        <control shapeId="10883" r:id="rId140" name="Check Box 643">
          <controlPr defaultSize="0" autoFill="0" autoLine="0" autoPict="0" macro="[0]!Casilla642_643_644_645_Haga_clic_en">
            <anchor moveWithCells="1">
              <from>
                <xdr:col>27</xdr:col>
                <xdr:colOff>85725</xdr:colOff>
                <xdr:row>251</xdr:row>
                <xdr:rowOff>161925</xdr:rowOff>
              </from>
              <to>
                <xdr:col>28</xdr:col>
                <xdr:colOff>28575</xdr:colOff>
                <xdr:row>253</xdr:row>
                <xdr:rowOff>28575</xdr:rowOff>
              </to>
            </anchor>
          </controlPr>
        </control>
      </mc:Choice>
    </mc:AlternateContent>
    <mc:AlternateContent xmlns:mc="http://schemas.openxmlformats.org/markup-compatibility/2006">
      <mc:Choice Requires="x14">
        <control shapeId="10884" r:id="rId141" name="Check Box 644">
          <controlPr defaultSize="0" autoFill="0" autoLine="0" autoPict="0" macro="[0]!Casilla642_643_644_645_Haga_clic_en">
            <anchor moveWithCells="1">
              <from>
                <xdr:col>27</xdr:col>
                <xdr:colOff>85725</xdr:colOff>
                <xdr:row>252</xdr:row>
                <xdr:rowOff>161925</xdr:rowOff>
              </from>
              <to>
                <xdr:col>28</xdr:col>
                <xdr:colOff>28575</xdr:colOff>
                <xdr:row>254</xdr:row>
                <xdr:rowOff>28575</xdr:rowOff>
              </to>
            </anchor>
          </controlPr>
        </control>
      </mc:Choice>
    </mc:AlternateContent>
    <mc:AlternateContent xmlns:mc="http://schemas.openxmlformats.org/markup-compatibility/2006">
      <mc:Choice Requires="x14">
        <control shapeId="10886" r:id="rId142" name="Check Box 646">
          <controlPr defaultSize="0" autoFill="0" autoLine="0" autoPict="0" macro="[0]!Casilla646_647_648_649_650_651_Haga_clic_en">
            <anchor moveWithCells="1">
              <from>
                <xdr:col>27</xdr:col>
                <xdr:colOff>85725</xdr:colOff>
                <xdr:row>253</xdr:row>
                <xdr:rowOff>152400</xdr:rowOff>
              </from>
              <to>
                <xdr:col>28</xdr:col>
                <xdr:colOff>28575</xdr:colOff>
                <xdr:row>255</xdr:row>
                <xdr:rowOff>28575</xdr:rowOff>
              </to>
            </anchor>
          </controlPr>
        </control>
      </mc:Choice>
    </mc:AlternateContent>
    <mc:AlternateContent xmlns:mc="http://schemas.openxmlformats.org/markup-compatibility/2006">
      <mc:Choice Requires="x14">
        <control shapeId="10887" r:id="rId143" name="Check Box 647">
          <controlPr defaultSize="0" autoFill="0" autoLine="0" autoPict="0" macro="[0]!Casilla646_647_648_649_650_651_Haga_clic_en">
            <anchor moveWithCells="1">
              <from>
                <xdr:col>27</xdr:col>
                <xdr:colOff>85725</xdr:colOff>
                <xdr:row>254</xdr:row>
                <xdr:rowOff>161925</xdr:rowOff>
              </from>
              <to>
                <xdr:col>28</xdr:col>
                <xdr:colOff>28575</xdr:colOff>
                <xdr:row>256</xdr:row>
                <xdr:rowOff>28575</xdr:rowOff>
              </to>
            </anchor>
          </controlPr>
        </control>
      </mc:Choice>
    </mc:AlternateContent>
    <mc:AlternateContent xmlns:mc="http://schemas.openxmlformats.org/markup-compatibility/2006">
      <mc:Choice Requires="x14">
        <control shapeId="10888" r:id="rId144" name="Check Box 648">
          <controlPr defaultSize="0" autoFill="0" autoLine="0" autoPict="0" macro="[0]!Casilla646_647_648_649_650_651_Haga_clic_en">
            <anchor moveWithCells="1">
              <from>
                <xdr:col>27</xdr:col>
                <xdr:colOff>85725</xdr:colOff>
                <xdr:row>255</xdr:row>
                <xdr:rowOff>209550</xdr:rowOff>
              </from>
              <to>
                <xdr:col>28</xdr:col>
                <xdr:colOff>28575</xdr:colOff>
                <xdr:row>256</xdr:row>
                <xdr:rowOff>304800</xdr:rowOff>
              </to>
            </anchor>
          </controlPr>
        </control>
      </mc:Choice>
    </mc:AlternateContent>
    <mc:AlternateContent xmlns:mc="http://schemas.openxmlformats.org/markup-compatibility/2006">
      <mc:Choice Requires="x14">
        <control shapeId="10889" r:id="rId145" name="Check Box 649">
          <controlPr defaultSize="0" autoFill="0" autoLine="0" autoPict="0" macro="[0]!Casilla646_647_648_649_650_651_Haga_clic_en">
            <anchor moveWithCells="1">
              <from>
                <xdr:col>27</xdr:col>
                <xdr:colOff>85725</xdr:colOff>
                <xdr:row>257</xdr:row>
                <xdr:rowOff>180975</xdr:rowOff>
              </from>
              <to>
                <xdr:col>28</xdr:col>
                <xdr:colOff>28575</xdr:colOff>
                <xdr:row>258</xdr:row>
                <xdr:rowOff>47625</xdr:rowOff>
              </to>
            </anchor>
          </controlPr>
        </control>
      </mc:Choice>
    </mc:AlternateContent>
    <mc:AlternateContent xmlns:mc="http://schemas.openxmlformats.org/markup-compatibility/2006">
      <mc:Choice Requires="x14">
        <control shapeId="10890" r:id="rId146" name="Check Box 650">
          <controlPr defaultSize="0" autoFill="0" autoLine="0" autoPict="0" macro="[0]!Casilla646_647_648_649_650_651_Haga_clic_en">
            <anchor moveWithCells="1">
              <from>
                <xdr:col>27</xdr:col>
                <xdr:colOff>85725</xdr:colOff>
                <xdr:row>258</xdr:row>
                <xdr:rowOff>19050</xdr:rowOff>
              </from>
              <to>
                <xdr:col>27</xdr:col>
                <xdr:colOff>333375</xdr:colOff>
                <xdr:row>258</xdr:row>
                <xdr:rowOff>276225</xdr:rowOff>
              </to>
            </anchor>
          </controlPr>
        </control>
      </mc:Choice>
    </mc:AlternateContent>
    <mc:AlternateContent xmlns:mc="http://schemas.openxmlformats.org/markup-compatibility/2006">
      <mc:Choice Requires="x14">
        <control shapeId="10891" r:id="rId147" name="Check Box 651">
          <controlPr defaultSize="0" autoFill="0" autoLine="0" autoPict="0" macro="[0]!Casilla646_647_648_649_650_651_Haga_clic_en">
            <anchor moveWithCells="1">
              <from>
                <xdr:col>27</xdr:col>
                <xdr:colOff>66675</xdr:colOff>
                <xdr:row>259</xdr:row>
                <xdr:rowOff>0</xdr:rowOff>
              </from>
              <to>
                <xdr:col>27</xdr:col>
                <xdr:colOff>295275</xdr:colOff>
                <xdr:row>259</xdr:row>
                <xdr:rowOff>247650</xdr:rowOff>
              </to>
            </anchor>
          </controlPr>
        </control>
      </mc:Choice>
    </mc:AlternateContent>
    <mc:AlternateContent xmlns:mc="http://schemas.openxmlformats.org/markup-compatibility/2006">
      <mc:Choice Requires="x14">
        <control shapeId="10892" r:id="rId148" name="Check Box 652">
          <controlPr defaultSize="0" autoFill="0" autoLine="0" autoPict="0" macro="[0]!Casilla652___661_Haga_clic_en">
            <anchor moveWithCells="1">
              <from>
                <xdr:col>27</xdr:col>
                <xdr:colOff>66675</xdr:colOff>
                <xdr:row>259</xdr:row>
                <xdr:rowOff>428625</xdr:rowOff>
              </from>
              <to>
                <xdr:col>27</xdr:col>
                <xdr:colOff>333375</xdr:colOff>
                <xdr:row>261</xdr:row>
                <xdr:rowOff>38100</xdr:rowOff>
              </to>
            </anchor>
          </controlPr>
        </control>
      </mc:Choice>
    </mc:AlternateContent>
    <mc:AlternateContent xmlns:mc="http://schemas.openxmlformats.org/markup-compatibility/2006">
      <mc:Choice Requires="x14">
        <control shapeId="10893" r:id="rId149" name="Check Box 653">
          <controlPr defaultSize="0" autoFill="0" autoLine="0" autoPict="0" macro="[0]!Casilla652___661_Haga_clic_en">
            <anchor moveWithCells="1">
              <from>
                <xdr:col>27</xdr:col>
                <xdr:colOff>66675</xdr:colOff>
                <xdr:row>260</xdr:row>
                <xdr:rowOff>180975</xdr:rowOff>
              </from>
              <to>
                <xdr:col>27</xdr:col>
                <xdr:colOff>333375</xdr:colOff>
                <xdr:row>262</xdr:row>
                <xdr:rowOff>9525</xdr:rowOff>
              </to>
            </anchor>
          </controlPr>
        </control>
      </mc:Choice>
    </mc:AlternateContent>
    <mc:AlternateContent xmlns:mc="http://schemas.openxmlformats.org/markup-compatibility/2006">
      <mc:Choice Requires="x14">
        <control shapeId="10894" r:id="rId150" name="Check Box 654">
          <controlPr defaultSize="0" autoFill="0" autoLine="0" autoPict="0" macro="[0]!Casilla652___661_Haga_clic_en">
            <anchor moveWithCells="1">
              <from>
                <xdr:col>27</xdr:col>
                <xdr:colOff>66675</xdr:colOff>
                <xdr:row>261</xdr:row>
                <xdr:rowOff>200025</xdr:rowOff>
              </from>
              <to>
                <xdr:col>27</xdr:col>
                <xdr:colOff>285750</xdr:colOff>
                <xdr:row>263</xdr:row>
                <xdr:rowOff>9525</xdr:rowOff>
              </to>
            </anchor>
          </controlPr>
        </control>
      </mc:Choice>
    </mc:AlternateContent>
    <mc:AlternateContent xmlns:mc="http://schemas.openxmlformats.org/markup-compatibility/2006">
      <mc:Choice Requires="x14">
        <control shapeId="10895" r:id="rId151" name="Check Box 655">
          <controlPr defaultSize="0" autoFill="0" autoLine="0" autoPict="0" macro="[0]!Casilla652___661_Haga_clic_en">
            <anchor moveWithCells="1">
              <from>
                <xdr:col>27</xdr:col>
                <xdr:colOff>66675</xdr:colOff>
                <xdr:row>262</xdr:row>
                <xdr:rowOff>190500</xdr:rowOff>
              </from>
              <to>
                <xdr:col>27</xdr:col>
                <xdr:colOff>323850</xdr:colOff>
                <xdr:row>264</xdr:row>
                <xdr:rowOff>0</xdr:rowOff>
              </to>
            </anchor>
          </controlPr>
        </control>
      </mc:Choice>
    </mc:AlternateContent>
    <mc:AlternateContent xmlns:mc="http://schemas.openxmlformats.org/markup-compatibility/2006">
      <mc:Choice Requires="x14">
        <control shapeId="10896" r:id="rId152" name="Check Box 656">
          <controlPr defaultSize="0" autoFill="0" autoLine="0" autoPict="0" macro="[0]!Casilla652___661_Haga_clic_en">
            <anchor moveWithCells="1">
              <from>
                <xdr:col>27</xdr:col>
                <xdr:colOff>66675</xdr:colOff>
                <xdr:row>263</xdr:row>
                <xdr:rowOff>219075</xdr:rowOff>
              </from>
              <to>
                <xdr:col>27</xdr:col>
                <xdr:colOff>304800</xdr:colOff>
                <xdr:row>265</xdr:row>
                <xdr:rowOff>9525</xdr:rowOff>
              </to>
            </anchor>
          </controlPr>
        </control>
      </mc:Choice>
    </mc:AlternateContent>
    <mc:AlternateContent xmlns:mc="http://schemas.openxmlformats.org/markup-compatibility/2006">
      <mc:Choice Requires="x14">
        <control shapeId="10897" r:id="rId153" name="Check Box 657">
          <controlPr defaultSize="0" autoFill="0" autoLine="0" autoPict="0" macro="[0]!Casilla652___661_Haga_clic_en">
            <anchor moveWithCells="1">
              <from>
                <xdr:col>27</xdr:col>
                <xdr:colOff>66675</xdr:colOff>
                <xdr:row>264</xdr:row>
                <xdr:rowOff>219075</xdr:rowOff>
              </from>
              <to>
                <xdr:col>27</xdr:col>
                <xdr:colOff>333375</xdr:colOff>
                <xdr:row>266</xdr:row>
                <xdr:rowOff>76200</xdr:rowOff>
              </to>
            </anchor>
          </controlPr>
        </control>
      </mc:Choice>
    </mc:AlternateContent>
    <mc:AlternateContent xmlns:mc="http://schemas.openxmlformats.org/markup-compatibility/2006">
      <mc:Choice Requires="x14">
        <control shapeId="10898" r:id="rId154" name="Check Box 658">
          <controlPr defaultSize="0" autoFill="0" autoLine="0" autoPict="0" macro="[0]!Casilla652___661_Haga_clic_en">
            <anchor moveWithCells="1">
              <from>
                <xdr:col>27</xdr:col>
                <xdr:colOff>66675</xdr:colOff>
                <xdr:row>265</xdr:row>
                <xdr:rowOff>219075</xdr:rowOff>
              </from>
              <to>
                <xdr:col>27</xdr:col>
                <xdr:colOff>295275</xdr:colOff>
                <xdr:row>267</xdr:row>
                <xdr:rowOff>28575</xdr:rowOff>
              </to>
            </anchor>
          </controlPr>
        </control>
      </mc:Choice>
    </mc:AlternateContent>
    <mc:AlternateContent xmlns:mc="http://schemas.openxmlformats.org/markup-compatibility/2006">
      <mc:Choice Requires="x14">
        <control shapeId="10899" r:id="rId155" name="Check Box 659">
          <controlPr defaultSize="0" autoFill="0" autoLine="0" autoPict="0" macro="[0]!Casilla652___661_Haga_clic_en">
            <anchor moveWithCells="1">
              <from>
                <xdr:col>27</xdr:col>
                <xdr:colOff>66675</xdr:colOff>
                <xdr:row>266</xdr:row>
                <xdr:rowOff>209550</xdr:rowOff>
              </from>
              <to>
                <xdr:col>27</xdr:col>
                <xdr:colOff>314325</xdr:colOff>
                <xdr:row>268</xdr:row>
                <xdr:rowOff>47625</xdr:rowOff>
              </to>
            </anchor>
          </controlPr>
        </control>
      </mc:Choice>
    </mc:AlternateContent>
    <mc:AlternateContent xmlns:mc="http://schemas.openxmlformats.org/markup-compatibility/2006">
      <mc:Choice Requires="x14">
        <control shapeId="10900" r:id="rId156" name="Check Box 660">
          <controlPr defaultSize="0" autoFill="0" autoLine="0" autoPict="0" macro="[0]!Casilla652___661_Haga_clic_en">
            <anchor moveWithCells="1">
              <from>
                <xdr:col>27</xdr:col>
                <xdr:colOff>66675</xdr:colOff>
                <xdr:row>267</xdr:row>
                <xdr:rowOff>219075</xdr:rowOff>
              </from>
              <to>
                <xdr:col>27</xdr:col>
                <xdr:colOff>304800</xdr:colOff>
                <xdr:row>269</xdr:row>
                <xdr:rowOff>38100</xdr:rowOff>
              </to>
            </anchor>
          </controlPr>
        </control>
      </mc:Choice>
    </mc:AlternateContent>
    <mc:AlternateContent xmlns:mc="http://schemas.openxmlformats.org/markup-compatibility/2006">
      <mc:Choice Requires="x14">
        <control shapeId="10901" r:id="rId157" name="Check Box 661">
          <controlPr defaultSize="0" autoFill="0" autoLine="0" autoPict="0" macro="[0]!Casilla652___661_Haga_clic_en">
            <anchor moveWithCells="1">
              <from>
                <xdr:col>27</xdr:col>
                <xdr:colOff>66675</xdr:colOff>
                <xdr:row>269</xdr:row>
                <xdr:rowOff>0</xdr:rowOff>
              </from>
              <to>
                <xdr:col>27</xdr:col>
                <xdr:colOff>333375</xdr:colOff>
                <xdr:row>270</xdr:row>
                <xdr:rowOff>57150</xdr:rowOff>
              </to>
            </anchor>
          </controlPr>
        </control>
      </mc:Choice>
    </mc:AlternateContent>
    <mc:AlternateContent xmlns:mc="http://schemas.openxmlformats.org/markup-compatibility/2006">
      <mc:Choice Requires="x14">
        <control shapeId="10902" r:id="rId158" name="Check Box 662">
          <controlPr defaultSize="0" autoFill="0" autoLine="0" autoPict="0" macro="[0]!Casilla662___667_Haga_clic_en">
            <anchor moveWithCells="1">
              <from>
                <xdr:col>27</xdr:col>
                <xdr:colOff>57150</xdr:colOff>
                <xdr:row>269</xdr:row>
                <xdr:rowOff>190500</xdr:rowOff>
              </from>
              <to>
                <xdr:col>28</xdr:col>
                <xdr:colOff>19050</xdr:colOff>
                <xdr:row>271</xdr:row>
                <xdr:rowOff>76200</xdr:rowOff>
              </to>
            </anchor>
          </controlPr>
        </control>
      </mc:Choice>
    </mc:AlternateContent>
    <mc:AlternateContent xmlns:mc="http://schemas.openxmlformats.org/markup-compatibility/2006">
      <mc:Choice Requires="x14">
        <control shapeId="10903" r:id="rId159" name="Check Box 663">
          <controlPr defaultSize="0" autoFill="0" autoLine="0" autoPict="0" macro="[0]!Casilla662___667_Haga_clic_en">
            <anchor moveWithCells="1">
              <from>
                <xdr:col>27</xdr:col>
                <xdr:colOff>57150</xdr:colOff>
                <xdr:row>270</xdr:row>
                <xdr:rowOff>190500</xdr:rowOff>
              </from>
              <to>
                <xdr:col>28</xdr:col>
                <xdr:colOff>19050</xdr:colOff>
                <xdr:row>272</xdr:row>
                <xdr:rowOff>66675</xdr:rowOff>
              </to>
            </anchor>
          </controlPr>
        </control>
      </mc:Choice>
    </mc:AlternateContent>
    <mc:AlternateContent xmlns:mc="http://schemas.openxmlformats.org/markup-compatibility/2006">
      <mc:Choice Requires="x14">
        <control shapeId="10904" r:id="rId160" name="Check Box 664">
          <controlPr defaultSize="0" autoFill="0" autoLine="0" autoPict="0" macro="[0]!Casilla662___667_Haga_clic_en">
            <anchor moveWithCells="1">
              <from>
                <xdr:col>27</xdr:col>
                <xdr:colOff>57150</xdr:colOff>
                <xdr:row>271</xdr:row>
                <xdr:rowOff>200025</xdr:rowOff>
              </from>
              <to>
                <xdr:col>28</xdr:col>
                <xdr:colOff>19050</xdr:colOff>
                <xdr:row>273</xdr:row>
                <xdr:rowOff>66675</xdr:rowOff>
              </to>
            </anchor>
          </controlPr>
        </control>
      </mc:Choice>
    </mc:AlternateContent>
    <mc:AlternateContent xmlns:mc="http://schemas.openxmlformats.org/markup-compatibility/2006">
      <mc:Choice Requires="x14">
        <control shapeId="10905" r:id="rId161" name="Check Box 665">
          <controlPr defaultSize="0" autoFill="0" autoLine="0" autoPict="0" macro="[0]!Casilla662___667_Haga_clic_en">
            <anchor moveWithCells="1">
              <from>
                <xdr:col>27</xdr:col>
                <xdr:colOff>57150</xdr:colOff>
                <xdr:row>272</xdr:row>
                <xdr:rowOff>200025</xdr:rowOff>
              </from>
              <to>
                <xdr:col>28</xdr:col>
                <xdr:colOff>19050</xdr:colOff>
                <xdr:row>274</xdr:row>
                <xdr:rowOff>66675</xdr:rowOff>
              </to>
            </anchor>
          </controlPr>
        </control>
      </mc:Choice>
    </mc:AlternateContent>
    <mc:AlternateContent xmlns:mc="http://schemas.openxmlformats.org/markup-compatibility/2006">
      <mc:Choice Requires="x14">
        <control shapeId="10906" r:id="rId162" name="Check Box 666">
          <controlPr defaultSize="0" autoFill="0" autoLine="0" autoPict="0" macro="[0]!Casilla662___667_Haga_clic_en">
            <anchor moveWithCells="1">
              <from>
                <xdr:col>27</xdr:col>
                <xdr:colOff>57150</xdr:colOff>
                <xdr:row>273</xdr:row>
                <xdr:rowOff>200025</xdr:rowOff>
              </from>
              <to>
                <xdr:col>28</xdr:col>
                <xdr:colOff>19050</xdr:colOff>
                <xdr:row>275</xdr:row>
                <xdr:rowOff>76200</xdr:rowOff>
              </to>
            </anchor>
          </controlPr>
        </control>
      </mc:Choice>
    </mc:AlternateContent>
    <mc:AlternateContent xmlns:mc="http://schemas.openxmlformats.org/markup-compatibility/2006">
      <mc:Choice Requires="x14">
        <control shapeId="10907" r:id="rId163" name="Check Box 667">
          <controlPr defaultSize="0" autoFill="0" autoLine="0" autoPict="0" macro="[0]!Casilla662___667_Haga_clic_en">
            <anchor moveWithCells="1">
              <from>
                <xdr:col>27</xdr:col>
                <xdr:colOff>57150</xdr:colOff>
                <xdr:row>274</xdr:row>
                <xdr:rowOff>209550</xdr:rowOff>
              </from>
              <to>
                <xdr:col>28</xdr:col>
                <xdr:colOff>19050</xdr:colOff>
                <xdr:row>276</xdr:row>
                <xdr:rowOff>76200</xdr:rowOff>
              </to>
            </anchor>
          </controlPr>
        </control>
      </mc:Choice>
    </mc:AlternateContent>
    <mc:AlternateContent xmlns:mc="http://schemas.openxmlformats.org/markup-compatibility/2006">
      <mc:Choice Requires="x14">
        <control shapeId="10908" r:id="rId164" name="Check Box 668">
          <controlPr defaultSize="0" autoFill="0" autoLine="0" autoPict="0" macro="[0]!Casilla668___677_Haga_clic_en">
            <anchor moveWithCells="1">
              <from>
                <xdr:col>27</xdr:col>
                <xdr:colOff>57150</xdr:colOff>
                <xdr:row>275</xdr:row>
                <xdr:rowOff>190500</xdr:rowOff>
              </from>
              <to>
                <xdr:col>28</xdr:col>
                <xdr:colOff>0</xdr:colOff>
                <xdr:row>277</xdr:row>
                <xdr:rowOff>57150</xdr:rowOff>
              </to>
            </anchor>
          </controlPr>
        </control>
      </mc:Choice>
    </mc:AlternateContent>
    <mc:AlternateContent xmlns:mc="http://schemas.openxmlformats.org/markup-compatibility/2006">
      <mc:Choice Requires="x14">
        <control shapeId="10909" r:id="rId165" name="Check Box 669">
          <controlPr defaultSize="0" autoFill="0" autoLine="0" autoPict="0" macro="[0]!Casilla668___677_Haga_clic_en">
            <anchor moveWithCells="1">
              <from>
                <xdr:col>27</xdr:col>
                <xdr:colOff>57150</xdr:colOff>
                <xdr:row>276</xdr:row>
                <xdr:rowOff>190500</xdr:rowOff>
              </from>
              <to>
                <xdr:col>28</xdr:col>
                <xdr:colOff>0</xdr:colOff>
                <xdr:row>277</xdr:row>
                <xdr:rowOff>285750</xdr:rowOff>
              </to>
            </anchor>
          </controlPr>
        </control>
      </mc:Choice>
    </mc:AlternateContent>
    <mc:AlternateContent xmlns:mc="http://schemas.openxmlformats.org/markup-compatibility/2006">
      <mc:Choice Requires="x14">
        <control shapeId="10910" r:id="rId166" name="Check Box 670">
          <controlPr defaultSize="0" autoFill="0" autoLine="0" autoPict="0" macro="[0]!Casilla668___677_Haga_clic_en">
            <anchor moveWithCells="1">
              <from>
                <xdr:col>27</xdr:col>
                <xdr:colOff>57150</xdr:colOff>
                <xdr:row>277</xdr:row>
                <xdr:rowOff>428625</xdr:rowOff>
              </from>
              <to>
                <xdr:col>28</xdr:col>
                <xdr:colOff>0</xdr:colOff>
                <xdr:row>279</xdr:row>
                <xdr:rowOff>66675</xdr:rowOff>
              </to>
            </anchor>
          </controlPr>
        </control>
      </mc:Choice>
    </mc:AlternateContent>
    <mc:AlternateContent xmlns:mc="http://schemas.openxmlformats.org/markup-compatibility/2006">
      <mc:Choice Requires="x14">
        <control shapeId="10911" r:id="rId167" name="Check Box 671">
          <controlPr defaultSize="0" autoFill="0" autoLine="0" autoPict="0" macro="[0]!Casilla668___677_Haga_clic_en">
            <anchor moveWithCells="1">
              <from>
                <xdr:col>27</xdr:col>
                <xdr:colOff>57150</xdr:colOff>
                <xdr:row>278</xdr:row>
                <xdr:rowOff>200025</xdr:rowOff>
              </from>
              <to>
                <xdr:col>28</xdr:col>
                <xdr:colOff>0</xdr:colOff>
                <xdr:row>280</xdr:row>
                <xdr:rowOff>66675</xdr:rowOff>
              </to>
            </anchor>
          </controlPr>
        </control>
      </mc:Choice>
    </mc:AlternateContent>
    <mc:AlternateContent xmlns:mc="http://schemas.openxmlformats.org/markup-compatibility/2006">
      <mc:Choice Requires="x14">
        <control shapeId="10912" r:id="rId168" name="Check Box 672">
          <controlPr defaultSize="0" autoFill="0" autoLine="0" autoPict="0" macro="[0]!Casilla668___677_Haga_clic_en">
            <anchor moveWithCells="1">
              <from>
                <xdr:col>27</xdr:col>
                <xdr:colOff>57150</xdr:colOff>
                <xdr:row>279</xdr:row>
                <xdr:rowOff>200025</xdr:rowOff>
              </from>
              <to>
                <xdr:col>28</xdr:col>
                <xdr:colOff>0</xdr:colOff>
                <xdr:row>281</xdr:row>
                <xdr:rowOff>76200</xdr:rowOff>
              </to>
            </anchor>
          </controlPr>
        </control>
      </mc:Choice>
    </mc:AlternateContent>
    <mc:AlternateContent xmlns:mc="http://schemas.openxmlformats.org/markup-compatibility/2006">
      <mc:Choice Requires="x14">
        <control shapeId="10913" r:id="rId169" name="Check Box 673">
          <controlPr defaultSize="0" autoFill="0" autoLine="0" autoPict="0" macro="[0]!Casilla668___677_Haga_clic_en">
            <anchor moveWithCells="1">
              <from>
                <xdr:col>27</xdr:col>
                <xdr:colOff>57150</xdr:colOff>
                <xdr:row>280</xdr:row>
                <xdr:rowOff>209550</xdr:rowOff>
              </from>
              <to>
                <xdr:col>28</xdr:col>
                <xdr:colOff>0</xdr:colOff>
                <xdr:row>282</xdr:row>
                <xdr:rowOff>76200</xdr:rowOff>
              </to>
            </anchor>
          </controlPr>
        </control>
      </mc:Choice>
    </mc:AlternateContent>
    <mc:AlternateContent xmlns:mc="http://schemas.openxmlformats.org/markup-compatibility/2006">
      <mc:Choice Requires="x14">
        <control shapeId="10914" r:id="rId170" name="Check Box 674">
          <controlPr defaultSize="0" autoFill="0" autoLine="0" autoPict="0" macro="[0]!Casilla668___677_Haga_clic_en">
            <anchor moveWithCells="1">
              <from>
                <xdr:col>27</xdr:col>
                <xdr:colOff>57150</xdr:colOff>
                <xdr:row>281</xdr:row>
                <xdr:rowOff>209550</xdr:rowOff>
              </from>
              <to>
                <xdr:col>28</xdr:col>
                <xdr:colOff>0</xdr:colOff>
                <xdr:row>283</xdr:row>
                <xdr:rowOff>76200</xdr:rowOff>
              </to>
            </anchor>
          </controlPr>
        </control>
      </mc:Choice>
    </mc:AlternateContent>
    <mc:AlternateContent xmlns:mc="http://schemas.openxmlformats.org/markup-compatibility/2006">
      <mc:Choice Requires="x14">
        <control shapeId="10915" r:id="rId171" name="Check Box 675">
          <controlPr defaultSize="0" autoFill="0" autoLine="0" autoPict="0" macro="[0]!Casilla668___677_Haga_clic_en">
            <anchor moveWithCells="1">
              <from>
                <xdr:col>27</xdr:col>
                <xdr:colOff>57150</xdr:colOff>
                <xdr:row>282</xdr:row>
                <xdr:rowOff>209550</xdr:rowOff>
              </from>
              <to>
                <xdr:col>28</xdr:col>
                <xdr:colOff>0</xdr:colOff>
                <xdr:row>284</xdr:row>
                <xdr:rowOff>76200</xdr:rowOff>
              </to>
            </anchor>
          </controlPr>
        </control>
      </mc:Choice>
    </mc:AlternateContent>
    <mc:AlternateContent xmlns:mc="http://schemas.openxmlformats.org/markup-compatibility/2006">
      <mc:Choice Requires="x14">
        <control shapeId="10916" r:id="rId172" name="Check Box 676">
          <controlPr defaultSize="0" autoFill="0" autoLine="0" autoPict="0" macro="[0]!Casilla668___677_Haga_clic_en">
            <anchor moveWithCells="1">
              <from>
                <xdr:col>27</xdr:col>
                <xdr:colOff>47625</xdr:colOff>
                <xdr:row>283</xdr:row>
                <xdr:rowOff>190500</xdr:rowOff>
              </from>
              <to>
                <xdr:col>27</xdr:col>
                <xdr:colOff>361950</xdr:colOff>
                <xdr:row>285</xdr:row>
                <xdr:rowOff>66675</xdr:rowOff>
              </to>
            </anchor>
          </controlPr>
        </control>
      </mc:Choice>
    </mc:AlternateContent>
    <mc:AlternateContent xmlns:mc="http://schemas.openxmlformats.org/markup-compatibility/2006">
      <mc:Choice Requires="x14">
        <control shapeId="10917" r:id="rId173" name="Check Box 677">
          <controlPr defaultSize="0" autoFill="0" autoLine="0" autoPict="0" macro="[0]!Casilla668___677_Haga_clic_en">
            <anchor moveWithCells="1">
              <from>
                <xdr:col>27</xdr:col>
                <xdr:colOff>38100</xdr:colOff>
                <xdr:row>284</xdr:row>
                <xdr:rowOff>200025</xdr:rowOff>
              </from>
              <to>
                <xdr:col>27</xdr:col>
                <xdr:colOff>352425</xdr:colOff>
                <xdr:row>286</xdr:row>
                <xdr:rowOff>66675</xdr:rowOff>
              </to>
            </anchor>
          </controlPr>
        </control>
      </mc:Choice>
    </mc:AlternateContent>
    <mc:AlternateContent xmlns:mc="http://schemas.openxmlformats.org/markup-compatibility/2006">
      <mc:Choice Requires="x14">
        <control shapeId="10918" r:id="rId174" name="Check Box 678">
          <controlPr defaultSize="0" autoFill="0" autoLine="0" autoPict="0" macro="[0]!Casilla678___682_Haga_clic_en">
            <anchor moveWithCells="1">
              <from>
                <xdr:col>27</xdr:col>
                <xdr:colOff>47625</xdr:colOff>
                <xdr:row>285</xdr:row>
                <xdr:rowOff>200025</xdr:rowOff>
              </from>
              <to>
                <xdr:col>27</xdr:col>
                <xdr:colOff>361950</xdr:colOff>
                <xdr:row>287</xdr:row>
                <xdr:rowOff>66675</xdr:rowOff>
              </to>
            </anchor>
          </controlPr>
        </control>
      </mc:Choice>
    </mc:AlternateContent>
    <mc:AlternateContent xmlns:mc="http://schemas.openxmlformats.org/markup-compatibility/2006">
      <mc:Choice Requires="x14">
        <control shapeId="10919" r:id="rId175" name="Check Box 679">
          <controlPr defaultSize="0" autoFill="0" autoLine="0" autoPict="0" macro="[0]!Casilla678___682_Haga_clic_en">
            <anchor moveWithCells="1">
              <from>
                <xdr:col>27</xdr:col>
                <xdr:colOff>47625</xdr:colOff>
                <xdr:row>286</xdr:row>
                <xdr:rowOff>200025</xdr:rowOff>
              </from>
              <to>
                <xdr:col>27</xdr:col>
                <xdr:colOff>361950</xdr:colOff>
                <xdr:row>288</xdr:row>
                <xdr:rowOff>76200</xdr:rowOff>
              </to>
            </anchor>
          </controlPr>
        </control>
      </mc:Choice>
    </mc:AlternateContent>
    <mc:AlternateContent xmlns:mc="http://schemas.openxmlformats.org/markup-compatibility/2006">
      <mc:Choice Requires="x14">
        <control shapeId="10920" r:id="rId176" name="Check Box 680">
          <controlPr defaultSize="0" autoFill="0" autoLine="0" autoPict="0" macro="[0]!Casilla678___682_Haga_clic_en">
            <anchor moveWithCells="1">
              <from>
                <xdr:col>27</xdr:col>
                <xdr:colOff>47625</xdr:colOff>
                <xdr:row>287</xdr:row>
                <xdr:rowOff>209550</xdr:rowOff>
              </from>
              <to>
                <xdr:col>27</xdr:col>
                <xdr:colOff>361950</xdr:colOff>
                <xdr:row>288</xdr:row>
                <xdr:rowOff>304800</xdr:rowOff>
              </to>
            </anchor>
          </controlPr>
        </control>
      </mc:Choice>
    </mc:AlternateContent>
    <mc:AlternateContent xmlns:mc="http://schemas.openxmlformats.org/markup-compatibility/2006">
      <mc:Choice Requires="x14">
        <control shapeId="10921" r:id="rId177" name="Check Box 681">
          <controlPr defaultSize="0" autoFill="0" autoLine="0" autoPict="0" macro="[0]!Casilla678___682_Haga_clic_en">
            <anchor moveWithCells="1">
              <from>
                <xdr:col>27</xdr:col>
                <xdr:colOff>47625</xdr:colOff>
                <xdr:row>288</xdr:row>
                <xdr:rowOff>438150</xdr:rowOff>
              </from>
              <to>
                <xdr:col>27</xdr:col>
                <xdr:colOff>361950</xdr:colOff>
                <xdr:row>289</xdr:row>
                <xdr:rowOff>304800</xdr:rowOff>
              </to>
            </anchor>
          </controlPr>
        </control>
      </mc:Choice>
    </mc:AlternateContent>
    <mc:AlternateContent xmlns:mc="http://schemas.openxmlformats.org/markup-compatibility/2006">
      <mc:Choice Requires="x14">
        <control shapeId="10922" r:id="rId178" name="Check Box 682">
          <controlPr defaultSize="0" autoFill="0" autoLine="0" autoPict="0" macro="[0]!Casilla678___682_Haga_clic_en">
            <anchor moveWithCells="1">
              <from>
                <xdr:col>27</xdr:col>
                <xdr:colOff>47625</xdr:colOff>
                <xdr:row>289</xdr:row>
                <xdr:rowOff>447675</xdr:rowOff>
              </from>
              <to>
                <xdr:col>27</xdr:col>
                <xdr:colOff>285750</xdr:colOff>
                <xdr:row>291</xdr:row>
                <xdr:rowOff>9525</xdr:rowOff>
              </to>
            </anchor>
          </controlPr>
        </control>
      </mc:Choice>
    </mc:AlternateContent>
    <mc:AlternateContent xmlns:mc="http://schemas.openxmlformats.org/markup-compatibility/2006">
      <mc:Choice Requires="x14">
        <control shapeId="10925" r:id="rId179" name="Drop Down 685">
          <controlPr defaultSize="0" autoLine="0" autoPict="0" macro="[0]!DropDown685_Cambiar">
            <anchor moveWithCells="1">
              <from>
                <xdr:col>28</xdr:col>
                <xdr:colOff>9525</xdr:colOff>
                <xdr:row>28</xdr:row>
                <xdr:rowOff>9525</xdr:rowOff>
              </from>
              <to>
                <xdr:col>32</xdr:col>
                <xdr:colOff>28575</xdr:colOff>
                <xdr:row>29</xdr:row>
                <xdr:rowOff>9525</xdr:rowOff>
              </to>
            </anchor>
          </controlPr>
        </control>
      </mc:Choice>
    </mc:AlternateContent>
    <mc:AlternateContent xmlns:mc="http://schemas.openxmlformats.org/markup-compatibility/2006">
      <mc:Choice Requires="x14">
        <control shapeId="10928" r:id="rId180" name="Drop Down 688">
          <controlPr defaultSize="0" autoLine="0" autoPict="0">
            <anchor moveWithCells="1">
              <from>
                <xdr:col>39</xdr:col>
                <xdr:colOff>9525</xdr:colOff>
                <xdr:row>50</xdr:row>
                <xdr:rowOff>9525</xdr:rowOff>
              </from>
              <to>
                <xdr:col>40</xdr:col>
                <xdr:colOff>295275</xdr:colOff>
                <xdr:row>51</xdr:row>
                <xdr:rowOff>9525</xdr:rowOff>
              </to>
            </anchor>
          </controlPr>
        </control>
      </mc:Choice>
    </mc:AlternateContent>
    <mc:AlternateContent xmlns:mc="http://schemas.openxmlformats.org/markup-compatibility/2006">
      <mc:Choice Requires="x14">
        <control shapeId="10929" r:id="rId181" name="Drop Down 689">
          <controlPr defaultSize="0" autoLine="0" autoPict="0">
            <anchor moveWithCells="1">
              <from>
                <xdr:col>41</xdr:col>
                <xdr:colOff>9525</xdr:colOff>
                <xdr:row>50</xdr:row>
                <xdr:rowOff>19050</xdr:rowOff>
              </from>
              <to>
                <xdr:col>42</xdr:col>
                <xdr:colOff>276225</xdr:colOff>
                <xdr:row>51</xdr:row>
                <xdr:rowOff>19050</xdr:rowOff>
              </to>
            </anchor>
          </controlPr>
        </control>
      </mc:Choice>
    </mc:AlternateContent>
    <mc:AlternateContent xmlns:mc="http://schemas.openxmlformats.org/markup-compatibility/2006">
      <mc:Choice Requires="x14">
        <control shapeId="10930" r:id="rId182" name="Drop Down 690">
          <controlPr defaultSize="0" autoLine="0" autoPict="0">
            <anchor moveWithCells="1">
              <from>
                <xdr:col>42</xdr:col>
                <xdr:colOff>285750</xdr:colOff>
                <xdr:row>50</xdr:row>
                <xdr:rowOff>19050</xdr:rowOff>
              </from>
              <to>
                <xdr:col>45</xdr:col>
                <xdr:colOff>276225</xdr:colOff>
                <xdr:row>51</xdr:row>
                <xdr:rowOff>19050</xdr:rowOff>
              </to>
            </anchor>
          </controlPr>
        </control>
      </mc:Choice>
    </mc:AlternateContent>
    <mc:AlternateContent xmlns:mc="http://schemas.openxmlformats.org/markup-compatibility/2006">
      <mc:Choice Requires="x14">
        <control shapeId="11053" r:id="rId183" name="Check Box 813">
          <controlPr defaultSize="0" autoFill="0" autoLine="0" autoPict="0">
            <anchor moveWithCells="1">
              <from>
                <xdr:col>20</xdr:col>
                <xdr:colOff>19050</xdr:colOff>
                <xdr:row>295</xdr:row>
                <xdr:rowOff>171450</xdr:rowOff>
              </from>
              <to>
                <xdr:col>20</xdr:col>
                <xdr:colOff>342900</xdr:colOff>
                <xdr:row>296</xdr:row>
                <xdr:rowOff>257175</xdr:rowOff>
              </to>
            </anchor>
          </controlPr>
        </control>
      </mc:Choice>
    </mc:AlternateContent>
    <mc:AlternateContent xmlns:mc="http://schemas.openxmlformats.org/markup-compatibility/2006">
      <mc:Choice Requires="x14">
        <control shapeId="11054" r:id="rId184" name="Check Box 814">
          <controlPr defaultSize="0" autoFill="0" autoLine="0" autoPict="0">
            <anchor moveWithCells="1">
              <from>
                <xdr:col>20</xdr:col>
                <xdr:colOff>19050</xdr:colOff>
                <xdr:row>296</xdr:row>
                <xdr:rowOff>409575</xdr:rowOff>
              </from>
              <to>
                <xdr:col>20</xdr:col>
                <xdr:colOff>342900</xdr:colOff>
                <xdr:row>297</xdr:row>
                <xdr:rowOff>276225</xdr:rowOff>
              </to>
            </anchor>
          </controlPr>
        </control>
      </mc:Choice>
    </mc:AlternateContent>
    <mc:AlternateContent xmlns:mc="http://schemas.openxmlformats.org/markup-compatibility/2006">
      <mc:Choice Requires="x14">
        <control shapeId="11055" r:id="rId185" name="Check Box 815">
          <controlPr defaultSize="0" autoFill="0" autoLine="0" autoPict="0">
            <anchor moveWithCells="1">
              <from>
                <xdr:col>20</xdr:col>
                <xdr:colOff>19050</xdr:colOff>
                <xdr:row>297</xdr:row>
                <xdr:rowOff>419100</xdr:rowOff>
              </from>
              <to>
                <xdr:col>20</xdr:col>
                <xdr:colOff>342900</xdr:colOff>
                <xdr:row>298</xdr:row>
                <xdr:rowOff>295275</xdr:rowOff>
              </to>
            </anchor>
          </controlPr>
        </control>
      </mc:Choice>
    </mc:AlternateContent>
    <mc:AlternateContent xmlns:mc="http://schemas.openxmlformats.org/markup-compatibility/2006">
      <mc:Choice Requires="x14">
        <control shapeId="11056" r:id="rId186" name="Check Box 816">
          <controlPr defaultSize="0" autoFill="0" autoLine="0" autoPict="0">
            <anchor moveWithCells="1">
              <from>
                <xdr:col>20</xdr:col>
                <xdr:colOff>19050</xdr:colOff>
                <xdr:row>298</xdr:row>
                <xdr:rowOff>419100</xdr:rowOff>
              </from>
              <to>
                <xdr:col>20</xdr:col>
                <xdr:colOff>342900</xdr:colOff>
                <xdr:row>299</xdr:row>
                <xdr:rowOff>295275</xdr:rowOff>
              </to>
            </anchor>
          </controlPr>
        </control>
      </mc:Choice>
    </mc:AlternateContent>
    <mc:AlternateContent xmlns:mc="http://schemas.openxmlformats.org/markup-compatibility/2006">
      <mc:Choice Requires="x14">
        <control shapeId="11058" r:id="rId187" name="Check Box 818">
          <controlPr defaultSize="0" autoFill="0" autoLine="0" autoPict="0">
            <anchor moveWithCells="1">
              <from>
                <xdr:col>20</xdr:col>
                <xdr:colOff>19050</xdr:colOff>
                <xdr:row>299</xdr:row>
                <xdr:rowOff>409575</xdr:rowOff>
              </from>
              <to>
                <xdr:col>20</xdr:col>
                <xdr:colOff>342900</xdr:colOff>
                <xdr:row>301</xdr:row>
                <xdr:rowOff>38100</xdr:rowOff>
              </to>
            </anchor>
          </controlPr>
        </control>
      </mc:Choice>
    </mc:AlternateContent>
    <mc:AlternateContent xmlns:mc="http://schemas.openxmlformats.org/markup-compatibility/2006">
      <mc:Choice Requires="x14">
        <control shapeId="11059" r:id="rId188" name="Drop Down 819">
          <controlPr defaultSize="0" autoLine="0" autoPict="0">
            <anchor moveWithCells="1">
              <from>
                <xdr:col>39</xdr:col>
                <xdr:colOff>9525</xdr:colOff>
                <xdr:row>52</xdr:row>
                <xdr:rowOff>19050</xdr:rowOff>
              </from>
              <to>
                <xdr:col>40</xdr:col>
                <xdr:colOff>295275</xdr:colOff>
                <xdr:row>53</xdr:row>
                <xdr:rowOff>19050</xdr:rowOff>
              </to>
            </anchor>
          </controlPr>
        </control>
      </mc:Choice>
    </mc:AlternateContent>
    <mc:AlternateContent xmlns:mc="http://schemas.openxmlformats.org/markup-compatibility/2006">
      <mc:Choice Requires="x14">
        <control shapeId="11060" r:id="rId189" name="Drop Down 820">
          <controlPr defaultSize="0" autoLine="0" autoPict="0">
            <anchor moveWithCells="1">
              <from>
                <xdr:col>41</xdr:col>
                <xdr:colOff>0</xdr:colOff>
                <xdr:row>52</xdr:row>
                <xdr:rowOff>9525</xdr:rowOff>
              </from>
              <to>
                <xdr:col>42</xdr:col>
                <xdr:colOff>276225</xdr:colOff>
                <xdr:row>53</xdr:row>
                <xdr:rowOff>19050</xdr:rowOff>
              </to>
            </anchor>
          </controlPr>
        </control>
      </mc:Choice>
    </mc:AlternateContent>
    <mc:AlternateContent xmlns:mc="http://schemas.openxmlformats.org/markup-compatibility/2006">
      <mc:Choice Requires="x14">
        <control shapeId="11061" r:id="rId190" name="Drop Down 821">
          <controlPr defaultSize="0" autoLine="0" autoPict="0">
            <anchor moveWithCells="1">
              <from>
                <xdr:col>42</xdr:col>
                <xdr:colOff>285750</xdr:colOff>
                <xdr:row>52</xdr:row>
                <xdr:rowOff>28575</xdr:rowOff>
              </from>
              <to>
                <xdr:col>45</xdr:col>
                <xdr:colOff>285750</xdr:colOff>
                <xdr:row>53</xdr:row>
                <xdr:rowOff>28575</xdr:rowOff>
              </to>
            </anchor>
          </controlPr>
        </control>
      </mc:Choice>
    </mc:AlternateContent>
    <mc:AlternateContent xmlns:mc="http://schemas.openxmlformats.org/markup-compatibility/2006">
      <mc:Choice Requires="x14">
        <control shapeId="11063" r:id="rId191" name="Drop Down 823">
          <controlPr defaultSize="0" autoLine="0" autoPict="0">
            <anchor moveWithCells="1">
              <from>
                <xdr:col>13</xdr:col>
                <xdr:colOff>371475</xdr:colOff>
                <xdr:row>70</xdr:row>
                <xdr:rowOff>19050</xdr:rowOff>
              </from>
              <to>
                <xdr:col>51</xdr:col>
                <xdr:colOff>209550</xdr:colOff>
                <xdr:row>71</xdr:row>
                <xdr:rowOff>9525</xdr:rowOff>
              </to>
            </anchor>
          </controlPr>
        </control>
      </mc:Choice>
    </mc:AlternateContent>
    <mc:AlternateContent xmlns:mc="http://schemas.openxmlformats.org/markup-compatibility/2006">
      <mc:Choice Requires="x14">
        <control shapeId="11064" r:id="rId192" name="Drop Down 824">
          <controlPr defaultSize="0" autoLine="0" autoPict="0">
            <anchor moveWithCells="1">
              <from>
                <xdr:col>6</xdr:col>
                <xdr:colOff>9525</xdr:colOff>
                <xdr:row>202</xdr:row>
                <xdr:rowOff>9525</xdr:rowOff>
              </from>
              <to>
                <xdr:col>14</xdr:col>
                <xdr:colOff>257175</xdr:colOff>
                <xdr:row>202</xdr:row>
                <xdr:rowOff>219075</xdr:rowOff>
              </to>
            </anchor>
          </controlPr>
        </control>
      </mc:Choice>
    </mc:AlternateContent>
    <mc:AlternateContent xmlns:mc="http://schemas.openxmlformats.org/markup-compatibility/2006">
      <mc:Choice Requires="x14">
        <control shapeId="11065" r:id="rId193" name="Drop Down 825">
          <controlPr defaultSize="0" autoLine="0" autoPict="0">
            <anchor moveWithCells="1">
              <from>
                <xdr:col>6</xdr:col>
                <xdr:colOff>9525</xdr:colOff>
                <xdr:row>203</xdr:row>
                <xdr:rowOff>9525</xdr:rowOff>
              </from>
              <to>
                <xdr:col>14</xdr:col>
                <xdr:colOff>257175</xdr:colOff>
                <xdr:row>203</xdr:row>
                <xdr:rowOff>219075</xdr:rowOff>
              </to>
            </anchor>
          </controlPr>
        </control>
      </mc:Choice>
    </mc:AlternateContent>
    <mc:AlternateContent xmlns:mc="http://schemas.openxmlformats.org/markup-compatibility/2006">
      <mc:Choice Requires="x14">
        <control shapeId="11066" r:id="rId194" name="Drop Down 826">
          <controlPr defaultSize="0" autoLine="0" autoPict="0">
            <anchor moveWithCells="1">
              <from>
                <xdr:col>6</xdr:col>
                <xdr:colOff>9525</xdr:colOff>
                <xdr:row>204</xdr:row>
                <xdr:rowOff>19050</xdr:rowOff>
              </from>
              <to>
                <xdr:col>14</xdr:col>
                <xdr:colOff>257175</xdr:colOff>
                <xdr:row>205</xdr:row>
                <xdr:rowOff>0</xdr:rowOff>
              </to>
            </anchor>
          </controlPr>
        </control>
      </mc:Choice>
    </mc:AlternateContent>
    <mc:AlternateContent xmlns:mc="http://schemas.openxmlformats.org/markup-compatibility/2006">
      <mc:Choice Requires="x14">
        <control shapeId="11067" r:id="rId195" name="Drop Down 827">
          <controlPr defaultSize="0" autoLine="0" autoPict="0">
            <anchor moveWithCells="1">
              <from>
                <xdr:col>6</xdr:col>
                <xdr:colOff>9525</xdr:colOff>
                <xdr:row>205</xdr:row>
                <xdr:rowOff>19050</xdr:rowOff>
              </from>
              <to>
                <xdr:col>14</xdr:col>
                <xdr:colOff>257175</xdr:colOff>
                <xdr:row>206</xdr:row>
                <xdr:rowOff>0</xdr:rowOff>
              </to>
            </anchor>
          </controlPr>
        </control>
      </mc:Choice>
    </mc:AlternateContent>
    <mc:AlternateContent xmlns:mc="http://schemas.openxmlformats.org/markup-compatibility/2006">
      <mc:Choice Requires="x14">
        <control shapeId="11068" r:id="rId196" name="Drop Down 828">
          <controlPr defaultSize="0" autoLine="0" autoPict="0">
            <anchor moveWithCells="1">
              <from>
                <xdr:col>6</xdr:col>
                <xdr:colOff>9525</xdr:colOff>
                <xdr:row>206</xdr:row>
                <xdr:rowOff>19050</xdr:rowOff>
              </from>
              <to>
                <xdr:col>14</xdr:col>
                <xdr:colOff>257175</xdr:colOff>
                <xdr:row>207</xdr:row>
                <xdr:rowOff>0</xdr:rowOff>
              </to>
            </anchor>
          </controlPr>
        </control>
      </mc:Choice>
    </mc:AlternateContent>
    <mc:AlternateContent xmlns:mc="http://schemas.openxmlformats.org/markup-compatibility/2006">
      <mc:Choice Requires="x14">
        <control shapeId="11069" r:id="rId197" name="Check Box 829">
          <controlPr defaultSize="0" autoFill="0" autoLine="0" autoPict="0">
            <anchor moveWithCells="1">
              <from>
                <xdr:col>24</xdr:col>
                <xdr:colOff>28575</xdr:colOff>
                <xdr:row>303</xdr:row>
                <xdr:rowOff>200025</xdr:rowOff>
              </from>
              <to>
                <xdr:col>25</xdr:col>
                <xdr:colOff>47625</xdr:colOff>
                <xdr:row>305</xdr:row>
                <xdr:rowOff>19050</xdr:rowOff>
              </to>
            </anchor>
          </controlPr>
        </control>
      </mc:Choice>
    </mc:AlternateContent>
    <mc:AlternateContent xmlns:mc="http://schemas.openxmlformats.org/markup-compatibility/2006">
      <mc:Choice Requires="x14">
        <control shapeId="11070" r:id="rId198" name="Check Box 830">
          <controlPr defaultSize="0" autoFill="0" autoLine="0" autoPict="0">
            <anchor moveWithCells="1">
              <from>
                <xdr:col>24</xdr:col>
                <xdr:colOff>28575</xdr:colOff>
                <xdr:row>304</xdr:row>
                <xdr:rowOff>200025</xdr:rowOff>
              </from>
              <to>
                <xdr:col>25</xdr:col>
                <xdr:colOff>47625</xdr:colOff>
                <xdr:row>306</xdr:row>
                <xdr:rowOff>19050</xdr:rowOff>
              </to>
            </anchor>
          </controlPr>
        </control>
      </mc:Choice>
    </mc:AlternateContent>
    <mc:AlternateContent xmlns:mc="http://schemas.openxmlformats.org/markup-compatibility/2006">
      <mc:Choice Requires="x14">
        <control shapeId="11071" r:id="rId199" name="Check Box 831">
          <controlPr defaultSize="0" autoFill="0" autoLine="0" autoPict="0">
            <anchor moveWithCells="1">
              <from>
                <xdr:col>24</xdr:col>
                <xdr:colOff>28575</xdr:colOff>
                <xdr:row>305</xdr:row>
                <xdr:rowOff>200025</xdr:rowOff>
              </from>
              <to>
                <xdr:col>25</xdr:col>
                <xdr:colOff>47625</xdr:colOff>
                <xdr:row>307</xdr:row>
                <xdr:rowOff>28575</xdr:rowOff>
              </to>
            </anchor>
          </controlPr>
        </control>
      </mc:Choice>
    </mc:AlternateContent>
    <mc:AlternateContent xmlns:mc="http://schemas.openxmlformats.org/markup-compatibility/2006">
      <mc:Choice Requires="x14">
        <control shapeId="11072" r:id="rId200" name="Check Box 832">
          <controlPr defaultSize="0" autoFill="0" autoLine="0" autoPict="0">
            <anchor moveWithCells="1">
              <from>
                <xdr:col>24</xdr:col>
                <xdr:colOff>28575</xdr:colOff>
                <xdr:row>306</xdr:row>
                <xdr:rowOff>209550</xdr:rowOff>
              </from>
              <to>
                <xdr:col>25</xdr:col>
                <xdr:colOff>47625</xdr:colOff>
                <xdr:row>308</xdr:row>
                <xdr:rowOff>28575</xdr:rowOff>
              </to>
            </anchor>
          </controlPr>
        </control>
      </mc:Choice>
    </mc:AlternateContent>
    <mc:AlternateContent xmlns:mc="http://schemas.openxmlformats.org/markup-compatibility/2006">
      <mc:Choice Requires="x14">
        <control shapeId="11073" r:id="rId201" name="Check Box 833">
          <controlPr defaultSize="0" autoFill="0" autoLine="0" autoPict="0">
            <anchor moveWithCells="1">
              <from>
                <xdr:col>24</xdr:col>
                <xdr:colOff>28575</xdr:colOff>
                <xdr:row>307</xdr:row>
                <xdr:rowOff>209550</xdr:rowOff>
              </from>
              <to>
                <xdr:col>25</xdr:col>
                <xdr:colOff>47625</xdr:colOff>
                <xdr:row>309</xdr:row>
                <xdr:rowOff>28575</xdr:rowOff>
              </to>
            </anchor>
          </controlPr>
        </control>
      </mc:Choice>
    </mc:AlternateContent>
    <mc:AlternateContent xmlns:mc="http://schemas.openxmlformats.org/markup-compatibility/2006">
      <mc:Choice Requires="x14">
        <control shapeId="11074" r:id="rId202" name="Check Box 834">
          <controlPr defaultSize="0" autoFill="0" autoLine="0" autoPict="0">
            <anchor moveWithCells="1">
              <from>
                <xdr:col>24</xdr:col>
                <xdr:colOff>28575</xdr:colOff>
                <xdr:row>311</xdr:row>
                <xdr:rowOff>219075</xdr:rowOff>
              </from>
              <to>
                <xdr:col>25</xdr:col>
                <xdr:colOff>47625</xdr:colOff>
                <xdr:row>313</xdr:row>
                <xdr:rowOff>38100</xdr:rowOff>
              </to>
            </anchor>
          </controlPr>
        </control>
      </mc:Choice>
    </mc:AlternateContent>
    <mc:AlternateContent xmlns:mc="http://schemas.openxmlformats.org/markup-compatibility/2006">
      <mc:Choice Requires="x14">
        <control shapeId="11075" r:id="rId203" name="Check Box 835">
          <controlPr defaultSize="0" autoFill="0" autoLine="0" autoPict="0">
            <anchor moveWithCells="1">
              <from>
                <xdr:col>24</xdr:col>
                <xdr:colOff>28575</xdr:colOff>
                <xdr:row>312</xdr:row>
                <xdr:rowOff>219075</xdr:rowOff>
              </from>
              <to>
                <xdr:col>25</xdr:col>
                <xdr:colOff>47625</xdr:colOff>
                <xdr:row>314</xdr:row>
                <xdr:rowOff>47625</xdr:rowOff>
              </to>
            </anchor>
          </controlPr>
        </control>
      </mc:Choice>
    </mc:AlternateContent>
    <mc:AlternateContent xmlns:mc="http://schemas.openxmlformats.org/markup-compatibility/2006">
      <mc:Choice Requires="x14">
        <control shapeId="11076" r:id="rId204" name="Check Box 836">
          <controlPr defaultSize="0" autoFill="0" autoLine="0" autoPict="0">
            <anchor moveWithCells="1">
              <from>
                <xdr:col>24</xdr:col>
                <xdr:colOff>28575</xdr:colOff>
                <xdr:row>314</xdr:row>
                <xdr:rowOff>0</xdr:rowOff>
              </from>
              <to>
                <xdr:col>25</xdr:col>
                <xdr:colOff>47625</xdr:colOff>
                <xdr:row>315</xdr:row>
                <xdr:rowOff>38100</xdr:rowOff>
              </to>
            </anchor>
          </controlPr>
        </control>
      </mc:Choice>
    </mc:AlternateContent>
    <mc:AlternateContent xmlns:mc="http://schemas.openxmlformats.org/markup-compatibility/2006">
      <mc:Choice Requires="x14">
        <control shapeId="11077" r:id="rId205" name="Check Box 837">
          <controlPr defaultSize="0" autoFill="0" autoLine="0" autoPict="0">
            <anchor moveWithCells="1">
              <from>
                <xdr:col>24</xdr:col>
                <xdr:colOff>28575</xdr:colOff>
                <xdr:row>315</xdr:row>
                <xdr:rowOff>0</xdr:rowOff>
              </from>
              <to>
                <xdr:col>25</xdr:col>
                <xdr:colOff>47625</xdr:colOff>
                <xdr:row>316</xdr:row>
                <xdr:rowOff>47625</xdr:rowOff>
              </to>
            </anchor>
          </controlPr>
        </control>
      </mc:Choice>
    </mc:AlternateContent>
    <mc:AlternateContent xmlns:mc="http://schemas.openxmlformats.org/markup-compatibility/2006">
      <mc:Choice Requires="x14">
        <control shapeId="11078" r:id="rId206" name="Check Box 838">
          <controlPr defaultSize="0" autoFill="0" autoLine="0" autoPict="0">
            <anchor moveWithCells="1">
              <from>
                <xdr:col>24</xdr:col>
                <xdr:colOff>28575</xdr:colOff>
                <xdr:row>316</xdr:row>
                <xdr:rowOff>0</xdr:rowOff>
              </from>
              <to>
                <xdr:col>25</xdr:col>
                <xdr:colOff>47625</xdr:colOff>
                <xdr:row>317</xdr:row>
                <xdr:rowOff>47625</xdr:rowOff>
              </to>
            </anchor>
          </controlPr>
        </control>
      </mc:Choice>
    </mc:AlternateContent>
    <mc:AlternateContent xmlns:mc="http://schemas.openxmlformats.org/markup-compatibility/2006">
      <mc:Choice Requires="x14">
        <control shapeId="11079" r:id="rId207" name="Check Box 839">
          <controlPr defaultSize="0" autoFill="0" autoLine="0" autoPict="0">
            <anchor moveWithCells="1">
              <from>
                <xdr:col>24</xdr:col>
                <xdr:colOff>28575</xdr:colOff>
                <xdr:row>317</xdr:row>
                <xdr:rowOff>0</xdr:rowOff>
              </from>
              <to>
                <xdr:col>25</xdr:col>
                <xdr:colOff>47625</xdr:colOff>
                <xdr:row>318</xdr:row>
                <xdr:rowOff>57150</xdr:rowOff>
              </to>
            </anchor>
          </controlPr>
        </control>
      </mc:Choice>
    </mc:AlternateContent>
    <mc:AlternateContent xmlns:mc="http://schemas.openxmlformats.org/markup-compatibility/2006">
      <mc:Choice Requires="x14">
        <control shapeId="11080" r:id="rId208" name="Check Box 840">
          <controlPr defaultSize="0" autoFill="0" autoLine="0" autoPict="0">
            <anchor moveWithCells="1">
              <from>
                <xdr:col>24</xdr:col>
                <xdr:colOff>28575</xdr:colOff>
                <xdr:row>318</xdr:row>
                <xdr:rowOff>0</xdr:rowOff>
              </from>
              <to>
                <xdr:col>25</xdr:col>
                <xdr:colOff>47625</xdr:colOff>
                <xdr:row>318</xdr:row>
                <xdr:rowOff>285750</xdr:rowOff>
              </to>
            </anchor>
          </controlPr>
        </control>
      </mc:Choice>
    </mc:AlternateContent>
    <mc:AlternateContent xmlns:mc="http://schemas.openxmlformats.org/markup-compatibility/2006">
      <mc:Choice Requires="x14">
        <control shapeId="11081" r:id="rId209" name="Check Box 841">
          <controlPr defaultSize="0" autoFill="0" autoLine="0" autoPict="0">
            <anchor moveWithCells="1">
              <from>
                <xdr:col>24</xdr:col>
                <xdr:colOff>28575</xdr:colOff>
                <xdr:row>319</xdr:row>
                <xdr:rowOff>0</xdr:rowOff>
              </from>
              <to>
                <xdr:col>25</xdr:col>
                <xdr:colOff>47625</xdr:colOff>
                <xdr:row>319</xdr:row>
                <xdr:rowOff>285750</xdr:rowOff>
              </to>
            </anchor>
          </controlPr>
        </control>
      </mc:Choice>
    </mc:AlternateContent>
    <mc:AlternateContent xmlns:mc="http://schemas.openxmlformats.org/markup-compatibility/2006">
      <mc:Choice Requires="x14">
        <control shapeId="11082" r:id="rId210" name="Drop Down 842">
          <controlPr defaultSize="0" autoLine="0" autoPict="0">
            <anchor moveWithCells="1">
              <from>
                <xdr:col>15</xdr:col>
                <xdr:colOff>19050</xdr:colOff>
                <xdr:row>201</xdr:row>
                <xdr:rowOff>9525</xdr:rowOff>
              </from>
              <to>
                <xdr:col>25</xdr:col>
                <xdr:colOff>190500</xdr:colOff>
                <xdr:row>201</xdr:row>
                <xdr:rowOff>219075</xdr:rowOff>
              </to>
            </anchor>
          </controlPr>
        </control>
      </mc:Choice>
    </mc:AlternateContent>
    <mc:AlternateContent xmlns:mc="http://schemas.openxmlformats.org/markup-compatibility/2006">
      <mc:Choice Requires="x14">
        <control shapeId="11083" r:id="rId211" name="Drop Down 843">
          <controlPr defaultSize="0" autoLine="0" autoPict="0">
            <anchor moveWithCells="1">
              <from>
                <xdr:col>15</xdr:col>
                <xdr:colOff>9525</xdr:colOff>
                <xdr:row>202</xdr:row>
                <xdr:rowOff>9525</xdr:rowOff>
              </from>
              <to>
                <xdr:col>25</xdr:col>
                <xdr:colOff>190500</xdr:colOff>
                <xdr:row>202</xdr:row>
                <xdr:rowOff>219075</xdr:rowOff>
              </to>
            </anchor>
          </controlPr>
        </control>
      </mc:Choice>
    </mc:AlternateContent>
    <mc:AlternateContent xmlns:mc="http://schemas.openxmlformats.org/markup-compatibility/2006">
      <mc:Choice Requires="x14">
        <control shapeId="11084" r:id="rId212" name="Drop Down 844">
          <controlPr defaultSize="0" autoLine="0" autoPict="0">
            <anchor moveWithCells="1">
              <from>
                <xdr:col>15</xdr:col>
                <xdr:colOff>9525</xdr:colOff>
                <xdr:row>203</xdr:row>
                <xdr:rowOff>9525</xdr:rowOff>
              </from>
              <to>
                <xdr:col>25</xdr:col>
                <xdr:colOff>190500</xdr:colOff>
                <xdr:row>203</xdr:row>
                <xdr:rowOff>219075</xdr:rowOff>
              </to>
            </anchor>
          </controlPr>
        </control>
      </mc:Choice>
    </mc:AlternateContent>
    <mc:AlternateContent xmlns:mc="http://schemas.openxmlformats.org/markup-compatibility/2006">
      <mc:Choice Requires="x14">
        <control shapeId="11085" r:id="rId213" name="Drop Down 845">
          <controlPr defaultSize="0" autoLine="0" autoPict="0">
            <anchor moveWithCells="1">
              <from>
                <xdr:col>15</xdr:col>
                <xdr:colOff>9525</xdr:colOff>
                <xdr:row>204</xdr:row>
                <xdr:rowOff>19050</xdr:rowOff>
              </from>
              <to>
                <xdr:col>25</xdr:col>
                <xdr:colOff>190500</xdr:colOff>
                <xdr:row>205</xdr:row>
                <xdr:rowOff>0</xdr:rowOff>
              </to>
            </anchor>
          </controlPr>
        </control>
      </mc:Choice>
    </mc:AlternateContent>
    <mc:AlternateContent xmlns:mc="http://schemas.openxmlformats.org/markup-compatibility/2006">
      <mc:Choice Requires="x14">
        <control shapeId="11086" r:id="rId214" name="Drop Down 846">
          <controlPr defaultSize="0" autoLine="0" autoPict="0">
            <anchor moveWithCells="1">
              <from>
                <xdr:col>15</xdr:col>
                <xdr:colOff>9525</xdr:colOff>
                <xdr:row>205</xdr:row>
                <xdr:rowOff>19050</xdr:rowOff>
              </from>
              <to>
                <xdr:col>25</xdr:col>
                <xdr:colOff>190500</xdr:colOff>
                <xdr:row>206</xdr:row>
                <xdr:rowOff>0</xdr:rowOff>
              </to>
            </anchor>
          </controlPr>
        </control>
      </mc:Choice>
    </mc:AlternateContent>
    <mc:AlternateContent xmlns:mc="http://schemas.openxmlformats.org/markup-compatibility/2006">
      <mc:Choice Requires="x14">
        <control shapeId="11087" r:id="rId215" name="Drop Down 847">
          <controlPr defaultSize="0" autoLine="0" autoPict="0">
            <anchor moveWithCells="1">
              <from>
                <xdr:col>15</xdr:col>
                <xdr:colOff>9525</xdr:colOff>
                <xdr:row>206</xdr:row>
                <xdr:rowOff>19050</xdr:rowOff>
              </from>
              <to>
                <xdr:col>25</xdr:col>
                <xdr:colOff>190500</xdr:colOff>
                <xdr:row>207</xdr:row>
                <xdr:rowOff>0</xdr:rowOff>
              </to>
            </anchor>
          </controlPr>
        </control>
      </mc:Choice>
    </mc:AlternateContent>
    <mc:AlternateContent xmlns:mc="http://schemas.openxmlformats.org/markup-compatibility/2006">
      <mc:Choice Requires="x14">
        <control shapeId="11095" r:id="rId216" name="Button 855">
          <controlPr defaultSize="0" autoFill="0" autoPict="0" macro="[0]!IrInicio">
            <anchor moveWithCells="1" sizeWithCells="1">
              <from>
                <xdr:col>47</xdr:col>
                <xdr:colOff>95250</xdr:colOff>
                <xdr:row>813</xdr:row>
                <xdr:rowOff>28575</xdr:rowOff>
              </from>
              <to>
                <xdr:col>52</xdr:col>
                <xdr:colOff>466725</xdr:colOff>
                <xdr:row>815</xdr:row>
                <xdr:rowOff>114300</xdr:rowOff>
              </to>
            </anchor>
          </controlPr>
        </control>
      </mc:Choice>
    </mc:AlternateContent>
    <mc:AlternateContent xmlns:mc="http://schemas.openxmlformats.org/markup-compatibility/2006">
      <mc:Choice Requires="x14">
        <control shapeId="11097" r:id="rId217" name="Button 857">
          <controlPr defaultSize="0" autoFill="0" autoPict="0" macro="[0]!PoblacionRRSS">
            <anchor moveWithCells="1" sizeWithCells="1">
              <from>
                <xdr:col>35</xdr:col>
                <xdr:colOff>57150</xdr:colOff>
                <xdr:row>358</xdr:row>
                <xdr:rowOff>114300</xdr:rowOff>
              </from>
              <to>
                <xdr:col>41</xdr:col>
                <xdr:colOff>228600</xdr:colOff>
                <xdr:row>359</xdr:row>
                <xdr:rowOff>190500</xdr:rowOff>
              </to>
            </anchor>
          </controlPr>
        </control>
      </mc:Choice>
    </mc:AlternateContent>
    <mc:AlternateContent xmlns:mc="http://schemas.openxmlformats.org/markup-compatibility/2006">
      <mc:Choice Requires="x14">
        <control shapeId="11098" r:id="rId218" name="Button 858">
          <controlPr defaultSize="0" autoFill="0" autoPict="0" macro="[0]!COSTOSALTERNATIVA">
            <anchor moveWithCells="1" sizeWithCells="1">
              <from>
                <xdr:col>13</xdr:col>
                <xdr:colOff>104775</xdr:colOff>
                <xdr:row>659</xdr:row>
                <xdr:rowOff>38100</xdr:rowOff>
              </from>
              <to>
                <xdr:col>20</xdr:col>
                <xdr:colOff>9525</xdr:colOff>
                <xdr:row>661</xdr:row>
                <xdr:rowOff>28575</xdr:rowOff>
              </to>
            </anchor>
          </controlPr>
        </control>
      </mc:Choice>
    </mc:AlternateContent>
    <mc:AlternateContent xmlns:mc="http://schemas.openxmlformats.org/markup-compatibility/2006">
      <mc:Choice Requires="x14">
        <control shapeId="11104" r:id="rId219" name="Button 864">
          <controlPr defaultSize="0" autoFill="0" autoPict="0" macro="[0]!CriteriosTecnicos_barrido">
            <anchor moveWithCells="1" sizeWithCells="1">
              <from>
                <xdr:col>49</xdr:col>
                <xdr:colOff>28575</xdr:colOff>
                <xdr:row>372</xdr:row>
                <xdr:rowOff>209550</xdr:rowOff>
              </from>
              <to>
                <xdr:col>52</xdr:col>
                <xdr:colOff>9525</xdr:colOff>
                <xdr:row>373</xdr:row>
                <xdr:rowOff>276225</xdr:rowOff>
              </to>
            </anchor>
          </controlPr>
        </control>
      </mc:Choice>
    </mc:AlternateContent>
  </controls>
  <extLst>
    <ext xmlns:x14="http://schemas.microsoft.com/office/spreadsheetml/2009/9/main" uri="{CCE6A557-97BC-4b89-ADB6-D9C93CAAB3DF}">
      <x14:dataValidations xmlns:xm="http://schemas.microsoft.com/office/excel/2006/main" disablePrompts="1" count="45">
        <x14:dataValidation type="list" allowBlank="1" showInputMessage="1" showErrorMessage="1" xr:uid="{00000000-0002-0000-0000-000000000000}">
          <x14:formula1>
            <xm:f>BASE!$G$115:$G$122</xm:f>
          </x14:formula1>
          <xm:sqref>AK372:AW372</xm:sqref>
        </x14:dataValidation>
        <x14:dataValidation type="list" allowBlank="1" showInputMessage="1" showErrorMessage="1" xr:uid="{00000000-0002-0000-0000-000001000000}">
          <x14:formula1>
            <xm:f>BASE!$G$123:$G$127</xm:f>
          </x14:formula1>
          <xm:sqref>AK373:AW373</xm:sqref>
        </x14:dataValidation>
        <x14:dataValidation type="list" allowBlank="1" showInputMessage="1" showErrorMessage="1" xr:uid="{00000000-0002-0000-0000-000002000000}">
          <x14:formula1>
            <xm:f>BASE!$G$128:$G$130</xm:f>
          </x14:formula1>
          <xm:sqref>AK374:AW374</xm:sqref>
        </x14:dataValidation>
        <x14:dataValidation type="list" allowBlank="1" showInputMessage="1" showErrorMessage="1" xr:uid="{00000000-0002-0000-0000-000003000000}">
          <x14:formula1>
            <xm:f>BASE!$G$131:$G$132</xm:f>
          </x14:formula1>
          <xm:sqref>AK375:AW375</xm:sqref>
        </x14:dataValidation>
        <x14:dataValidation type="list" allowBlank="1" showInputMessage="1" showErrorMessage="1" xr:uid="{00000000-0002-0000-0000-000004000000}">
          <x14:formula1>
            <xm:f>BASE!$G$133:$G$134</xm:f>
          </x14:formula1>
          <xm:sqref>AK376:AW376</xm:sqref>
        </x14:dataValidation>
        <x14:dataValidation type="list" allowBlank="1" showInputMessage="1" showErrorMessage="1" xr:uid="{00000000-0002-0000-0000-000005000000}">
          <x14:formula1>
            <xm:f>BASE!$G$135:$G$136</xm:f>
          </x14:formula1>
          <xm:sqref>AK377:AW377</xm:sqref>
        </x14:dataValidation>
        <x14:dataValidation type="list" allowBlank="1" showInputMessage="1" showErrorMessage="1" xr:uid="{00000000-0002-0000-0000-000006000000}">
          <x14:formula1>
            <xm:f>BASE!$G$137:$G$155</xm:f>
          </x14:formula1>
          <xm:sqref>AK378:AW378</xm:sqref>
        </x14:dataValidation>
        <x14:dataValidation type="list" allowBlank="1" showInputMessage="1" showErrorMessage="1" xr:uid="{00000000-0002-0000-0000-000007000000}">
          <x14:formula1>
            <xm:f>BASE!$G$167:$G$201</xm:f>
          </x14:formula1>
          <xm:sqref>AK379:AW379</xm:sqref>
        </x14:dataValidation>
        <x14:dataValidation type="list" allowBlank="1" showInputMessage="1" showErrorMessage="1" xr:uid="{00000000-0002-0000-0000-000008000000}">
          <x14:formula1>
            <xm:f>BASE!$G$156:$G$160</xm:f>
          </x14:formula1>
          <xm:sqref>AK380:AW380</xm:sqref>
        </x14:dataValidation>
        <x14:dataValidation type="list" allowBlank="1" showInputMessage="1" showErrorMessage="1" xr:uid="{00000000-0002-0000-0000-000009000000}">
          <x14:formula1>
            <xm:f>BASE!$G$202:$G$203</xm:f>
          </x14:formula1>
          <xm:sqref>AK381:AW381</xm:sqref>
        </x14:dataValidation>
        <x14:dataValidation type="list" allowBlank="1" showInputMessage="1" showErrorMessage="1" xr:uid="{00000000-0002-0000-0000-00000A000000}">
          <x14:formula1>
            <xm:f>BASE!$G$204:$G$207</xm:f>
          </x14:formula1>
          <xm:sqref>AK382:AW382</xm:sqref>
        </x14:dataValidation>
        <x14:dataValidation type="list" allowBlank="1" showInputMessage="1" showErrorMessage="1" xr:uid="{00000000-0002-0000-0000-00000B000000}">
          <x14:formula1>
            <xm:f>BASE!$G$208:$G$211</xm:f>
          </x14:formula1>
          <xm:sqref>AK383:AW383</xm:sqref>
        </x14:dataValidation>
        <x14:dataValidation type="list" allowBlank="1" showInputMessage="1" showErrorMessage="1" xr:uid="{00000000-0002-0000-0000-00000C000000}">
          <x14:formula1>
            <xm:f>BASE!$G$214:$G$215</xm:f>
          </x14:formula1>
          <xm:sqref>AK385:AW385</xm:sqref>
        </x14:dataValidation>
        <x14:dataValidation type="list" allowBlank="1" showInputMessage="1" showErrorMessage="1" xr:uid="{00000000-0002-0000-0000-00000D000000}">
          <x14:formula1>
            <xm:f>BASE!$G$230:$G$234</xm:f>
          </x14:formula1>
          <xm:sqref>AK390:AW390</xm:sqref>
        </x14:dataValidation>
        <x14:dataValidation type="list" allowBlank="1" showInputMessage="1" showErrorMessage="1" xr:uid="{00000000-0002-0000-0000-00000E000000}">
          <x14:formula1>
            <xm:f>BASE!$G$212:$G$213</xm:f>
          </x14:formula1>
          <xm:sqref>AK384:AW384</xm:sqref>
        </x14:dataValidation>
        <x14:dataValidation type="list" allowBlank="1" showInputMessage="1" showErrorMessage="1" xr:uid="{00000000-0002-0000-0000-00000F000000}">
          <x14:formula1>
            <xm:f>BASE!$G$216:$G$217</xm:f>
          </x14:formula1>
          <xm:sqref>AK386:AW386</xm:sqref>
        </x14:dataValidation>
        <x14:dataValidation type="list" allowBlank="1" showInputMessage="1" showErrorMessage="1" xr:uid="{00000000-0002-0000-0000-000010000000}">
          <x14:formula1>
            <xm:f>BASE!$G$218:$G$220</xm:f>
          </x14:formula1>
          <xm:sqref>AK387:AW387</xm:sqref>
        </x14:dataValidation>
        <x14:dataValidation type="list" allowBlank="1" showInputMessage="1" showErrorMessage="1" xr:uid="{00000000-0002-0000-0000-000011000000}">
          <x14:formula1>
            <xm:f>BASE!$G$221:$G$227</xm:f>
          </x14:formula1>
          <xm:sqref>AK388:AW388</xm:sqref>
        </x14:dataValidation>
        <x14:dataValidation type="list" allowBlank="1" showInputMessage="1" showErrorMessage="1" xr:uid="{00000000-0002-0000-0000-000012000000}">
          <x14:formula1>
            <xm:f>BASE!$G$228:$G$229</xm:f>
          </x14:formula1>
          <xm:sqref>AK389:AW389</xm:sqref>
        </x14:dataValidation>
        <x14:dataValidation type="list" allowBlank="1" showInputMessage="1" showErrorMessage="1" xr:uid="{00000000-0002-0000-0000-000013000000}">
          <x14:formula1>
            <xm:f>BASE!$G$235:$G$236</xm:f>
          </x14:formula1>
          <xm:sqref>AK391:AW391</xm:sqref>
        </x14:dataValidation>
        <x14:dataValidation type="list" allowBlank="1" showInputMessage="1" showErrorMessage="1" xr:uid="{00000000-0002-0000-0000-000014000000}">
          <x14:formula1>
            <xm:f>BASE!$G$237:$G$239</xm:f>
          </x14:formula1>
          <xm:sqref>AK392:AW392</xm:sqref>
        </x14:dataValidation>
        <x14:dataValidation type="list" allowBlank="1" showInputMessage="1" showErrorMessage="1" xr:uid="{00000000-0002-0000-0000-000015000000}">
          <x14:formula1>
            <xm:f>BASE!$G$240:$G$243</xm:f>
          </x14:formula1>
          <xm:sqref>AK393:AW393</xm:sqref>
        </x14:dataValidation>
        <x14:dataValidation type="list" allowBlank="1" showInputMessage="1" showErrorMessage="1" xr:uid="{00000000-0002-0000-0000-000016000000}">
          <x14:formula1>
            <xm:f>BASE!$G$244:$G$248</xm:f>
          </x14:formula1>
          <xm:sqref>AK394:AW394</xm:sqref>
        </x14:dataValidation>
        <x14:dataValidation type="list" allowBlank="1" showInputMessage="1" showErrorMessage="1" xr:uid="{00000000-0002-0000-0000-000017000000}">
          <x14:formula1>
            <xm:f>BASE!$G$249:$G$253</xm:f>
          </x14:formula1>
          <xm:sqref>AK395:AW395</xm:sqref>
        </x14:dataValidation>
        <x14:dataValidation type="list" allowBlank="1" showInputMessage="1" showErrorMessage="1" xr:uid="{00000000-0002-0000-0000-000018000000}">
          <x14:formula1>
            <xm:f>BASE!$G$254:$G$255</xm:f>
          </x14:formula1>
          <xm:sqref>AK396:AW396</xm:sqref>
        </x14:dataValidation>
        <x14:dataValidation type="list" allowBlank="1" showInputMessage="1" showErrorMessage="1" xr:uid="{00000000-0002-0000-0000-000019000000}">
          <x14:formula1>
            <xm:f>BASE!$G$256:$G$257</xm:f>
          </x14:formula1>
          <xm:sqref>AK397:AW397</xm:sqref>
        </x14:dataValidation>
        <x14:dataValidation type="list" allowBlank="1" showInputMessage="1" showErrorMessage="1" xr:uid="{00000000-0002-0000-0000-00001A000000}">
          <x14:formula1>
            <xm:f>BASE!$G$258:$G$266</xm:f>
          </x14:formula1>
          <xm:sqref>AK398:AW398</xm:sqref>
        </x14:dataValidation>
        <x14:dataValidation type="list" allowBlank="1" showInputMessage="1" showErrorMessage="1" xr:uid="{00000000-0002-0000-0000-00001B000000}">
          <x14:formula1>
            <xm:f>BASE!$G$267:$G$268</xm:f>
          </x14:formula1>
          <xm:sqref>AK399:AW399</xm:sqref>
        </x14:dataValidation>
        <x14:dataValidation type="list" allowBlank="1" showInputMessage="1" showErrorMessage="1" xr:uid="{00000000-0002-0000-0000-00001C000000}">
          <x14:formula1>
            <xm:f>BASE!$G$269:$G$270</xm:f>
          </x14:formula1>
          <xm:sqref>AK400:AW400</xm:sqref>
        </x14:dataValidation>
        <x14:dataValidation type="list" allowBlank="1" showInputMessage="1" showErrorMessage="1" xr:uid="{00000000-0002-0000-0000-00001D000000}">
          <x14:formula1>
            <xm:f>BASE!$G$271:$G$272</xm:f>
          </x14:formula1>
          <xm:sqref>AK401:AW401</xm:sqref>
        </x14:dataValidation>
        <x14:dataValidation type="list" allowBlank="1" showInputMessage="1" showErrorMessage="1" xr:uid="{00000000-0002-0000-0000-00001E000000}">
          <x14:formula1>
            <xm:f>BASE!$G$273:$G$274</xm:f>
          </x14:formula1>
          <xm:sqref>AK402:AW402</xm:sqref>
        </x14:dataValidation>
        <x14:dataValidation type="list" allowBlank="1" showInputMessage="1" showErrorMessage="1" xr:uid="{00000000-0002-0000-0000-00001F000000}">
          <x14:formula1>
            <xm:f>BASE!$G$275:$G$276</xm:f>
          </x14:formula1>
          <xm:sqref>AK403:AW403</xm:sqref>
        </x14:dataValidation>
        <x14:dataValidation type="list" allowBlank="1" showInputMessage="1" showErrorMessage="1" xr:uid="{00000000-0002-0000-0000-000020000000}">
          <x14:formula1>
            <xm:f>BASE!$G$277:$G$278</xm:f>
          </x14:formula1>
          <xm:sqref>AK404:AW404</xm:sqref>
        </x14:dataValidation>
        <x14:dataValidation type="list" allowBlank="1" showInputMessage="1" showErrorMessage="1" xr:uid="{00000000-0002-0000-0000-000021000000}">
          <x14:formula1>
            <xm:f>BASE!$G$279:$G$280</xm:f>
          </x14:formula1>
          <xm:sqref>AK405:AW405</xm:sqref>
        </x14:dataValidation>
        <x14:dataValidation type="list" allowBlank="1" showInputMessage="1" showErrorMessage="1" xr:uid="{00000000-0002-0000-0000-000022000000}">
          <x14:formula1>
            <xm:f>BASE!$G$281:$G$282</xm:f>
          </x14:formula1>
          <xm:sqref>AK407:AW407</xm:sqref>
        </x14:dataValidation>
        <x14:dataValidation type="list" allowBlank="1" showInputMessage="1" showErrorMessage="1" xr:uid="{00000000-0002-0000-0000-000023000000}">
          <x14:formula1>
            <xm:f>BASE!$G$283:$G$284</xm:f>
          </x14:formula1>
          <xm:sqref>AK408:AW408</xm:sqref>
        </x14:dataValidation>
        <x14:dataValidation type="list" allowBlank="1" showInputMessage="1" showErrorMessage="1" xr:uid="{00000000-0002-0000-0000-000024000000}">
          <x14:formula1>
            <xm:f>BASE!$G$285:$G$287</xm:f>
          </x14:formula1>
          <xm:sqref>AK409:AW409</xm:sqref>
        </x14:dataValidation>
        <x14:dataValidation type="list" allowBlank="1" showInputMessage="1" showErrorMessage="1" xr:uid="{00000000-0002-0000-0000-000025000000}">
          <x14:formula1>
            <xm:f>BASE!$G$288:$G$289</xm:f>
          </x14:formula1>
          <xm:sqref>AK410:AW410</xm:sqref>
        </x14:dataValidation>
        <x14:dataValidation type="list" allowBlank="1" showInputMessage="1" showErrorMessage="1" xr:uid="{00000000-0002-0000-0000-000026000000}">
          <x14:formula1>
            <xm:f>BASE!$G$290:$G$291</xm:f>
          </x14:formula1>
          <xm:sqref>AK411:AW411</xm:sqref>
        </x14:dataValidation>
        <x14:dataValidation type="list" allowBlank="1" showInputMessage="1" showErrorMessage="1" xr:uid="{00000000-0002-0000-0000-000027000000}">
          <x14:formula1>
            <xm:f>BASE!$G$292:$G$293</xm:f>
          </x14:formula1>
          <xm:sqref>AK413:AW413</xm:sqref>
        </x14:dataValidation>
        <x14:dataValidation type="list" allowBlank="1" showInputMessage="1" showErrorMessage="1" xr:uid="{00000000-0002-0000-0000-000028000000}">
          <x14:formula1>
            <xm:f>BASE!$G$294:$G$295</xm:f>
          </x14:formula1>
          <xm:sqref>AK414:AW414</xm:sqref>
        </x14:dataValidation>
        <x14:dataValidation type="list" allowBlank="1" showInputMessage="1" showErrorMessage="1" xr:uid="{00000000-0002-0000-0000-000029000000}">
          <x14:formula1>
            <xm:f>BASE!$G$296:$G$297</xm:f>
          </x14:formula1>
          <xm:sqref>AK416:AW416</xm:sqref>
        </x14:dataValidation>
        <x14:dataValidation type="list" allowBlank="1" showInputMessage="1" showErrorMessage="1" xr:uid="{00000000-0002-0000-0000-00002A000000}">
          <x14:formula1>
            <xm:f>BASE!$G$298:$G$299</xm:f>
          </x14:formula1>
          <xm:sqref>AK417:AW417</xm:sqref>
        </x14:dataValidation>
        <x14:dataValidation type="list" allowBlank="1" showInputMessage="1" showErrorMessage="1" xr:uid="{00000000-0002-0000-0000-00002B000000}">
          <x14:formula1>
            <xm:f>BASE!$G$300:$G$301</xm:f>
          </x14:formula1>
          <xm:sqref>AK418:AW418</xm:sqref>
        </x14:dataValidation>
        <x14:dataValidation type="list" allowBlank="1" showInputMessage="1" showErrorMessage="1" xr:uid="{00000000-0002-0000-0000-00002C000000}">
          <x14:formula1>
            <xm:f>BASE!$F$35:$F$37</xm:f>
          </x14:formula1>
          <xm:sqref>AC252:AW252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dimension ref="A1:AW417"/>
  <sheetViews>
    <sheetView topLeftCell="A7" zoomScale="85" zoomScaleNormal="85" zoomScaleSheetLayoutView="100" workbookViewId="0">
      <selection activeCell="D16" sqref="D16"/>
    </sheetView>
  </sheetViews>
  <sheetFormatPr baseColWidth="10" defaultColWidth="11.42578125" defaultRowHeight="15"/>
  <cols>
    <col min="1" max="1" width="15.42578125" style="15" customWidth="1"/>
    <col min="2" max="2" width="45.140625" style="15" customWidth="1"/>
    <col min="3" max="3" width="11.42578125" style="15" customWidth="1"/>
    <col min="4" max="4" width="56.5703125" style="15" customWidth="1"/>
    <col min="5" max="5" width="17.5703125" style="15" customWidth="1"/>
    <col min="6" max="6" width="56.42578125" style="17" customWidth="1"/>
    <col min="7" max="7" width="78.85546875" style="15" customWidth="1"/>
    <col min="8" max="8" width="15.5703125" style="15" customWidth="1"/>
    <col min="9" max="9" width="6.42578125" style="229" customWidth="1"/>
    <col min="10" max="10" width="11.42578125" style="229"/>
    <col min="11" max="11" width="11.42578125" style="15"/>
    <col min="12" max="12" width="11.42578125" style="229"/>
    <col min="13" max="14" width="11.42578125" style="404"/>
    <col min="15" max="16384" width="11.42578125" style="15"/>
  </cols>
  <sheetData>
    <row r="1" spans="1:11" ht="21">
      <c r="A1" s="1674"/>
      <c r="B1" s="1674"/>
      <c r="C1" s="1674"/>
      <c r="D1" s="1674"/>
      <c r="E1" s="1674"/>
      <c r="F1" s="1674"/>
      <c r="G1" s="1674"/>
      <c r="H1" s="1674"/>
      <c r="I1" s="1674"/>
      <c r="J1" s="1674"/>
      <c r="K1" s="1674"/>
    </row>
    <row r="2" spans="1:11" ht="21">
      <c r="A2" s="1674"/>
      <c r="B2" s="1674"/>
      <c r="C2" s="1674"/>
      <c r="D2" s="1674"/>
      <c r="E2" s="1674"/>
      <c r="F2" s="1674"/>
      <c r="G2" s="1674"/>
      <c r="H2" s="1674"/>
      <c r="I2" s="1674"/>
      <c r="J2" s="1674"/>
      <c r="K2" s="1674"/>
    </row>
    <row r="3" spans="1:11" ht="21">
      <c r="A3" s="1674"/>
      <c r="B3" s="1674"/>
      <c r="C3" s="1674"/>
      <c r="D3" s="1674"/>
      <c r="E3" s="1674"/>
      <c r="F3" s="1674"/>
      <c r="G3" s="1674"/>
      <c r="H3" s="1674"/>
      <c r="I3" s="1674"/>
      <c r="J3" s="1674"/>
      <c r="K3" s="1674"/>
    </row>
    <row r="4" spans="1:11" ht="21">
      <c r="A4" s="1674"/>
      <c r="B4" s="1674"/>
      <c r="C4" s="1674"/>
      <c r="D4" s="1674"/>
      <c r="E4" s="1674"/>
      <c r="F4" s="1674"/>
      <c r="G4" s="1674"/>
      <c r="H4" s="1674"/>
      <c r="I4" s="1674"/>
      <c r="J4" s="1674"/>
      <c r="K4" s="1674"/>
    </row>
    <row r="6" spans="1:11" ht="15" customHeight="1">
      <c r="A6" s="221"/>
      <c r="B6" s="536" t="s">
        <v>627</v>
      </c>
      <c r="C6" s="537" t="s">
        <v>595</v>
      </c>
      <c r="D6" s="221"/>
      <c r="E6" s="538"/>
      <c r="F6" s="539" t="s">
        <v>756</v>
      </c>
      <c r="G6" s="221"/>
      <c r="H6" s="370"/>
      <c r="I6" s="229">
        <v>1</v>
      </c>
      <c r="J6" s="229">
        <v>1</v>
      </c>
      <c r="K6" s="229">
        <v>2018</v>
      </c>
    </row>
    <row r="7" spans="1:11" ht="12" customHeight="1">
      <c r="A7" s="221" t="s">
        <v>762</v>
      </c>
      <c r="B7" s="536" t="s">
        <v>414</v>
      </c>
      <c r="C7" s="537" t="s">
        <v>425</v>
      </c>
      <c r="D7" s="536" t="s">
        <v>653</v>
      </c>
      <c r="E7" s="538" t="s">
        <v>752</v>
      </c>
      <c r="F7" s="539" t="s">
        <v>757</v>
      </c>
      <c r="G7" s="536" t="s">
        <v>488</v>
      </c>
      <c r="H7" s="370"/>
      <c r="I7" s="229">
        <v>2</v>
      </c>
      <c r="J7" s="229">
        <v>2</v>
      </c>
      <c r="K7" s="229">
        <v>2019</v>
      </c>
    </row>
    <row r="8" spans="1:11">
      <c r="A8" s="221" t="s">
        <v>452</v>
      </c>
      <c r="B8" s="536" t="s">
        <v>628</v>
      </c>
      <c r="C8" s="537"/>
      <c r="D8" s="536" t="s">
        <v>740</v>
      </c>
      <c r="E8" s="540" t="s">
        <v>753</v>
      </c>
      <c r="F8" s="539" t="s">
        <v>758</v>
      </c>
      <c r="G8" s="536" t="s">
        <v>489</v>
      </c>
      <c r="H8" s="370"/>
      <c r="I8" s="229">
        <v>3</v>
      </c>
      <c r="J8" s="229">
        <v>3</v>
      </c>
      <c r="K8" s="229">
        <v>2020</v>
      </c>
    </row>
    <row r="9" spans="1:11">
      <c r="A9" s="221" t="s">
        <v>763</v>
      </c>
      <c r="B9" s="536" t="s">
        <v>630</v>
      </c>
      <c r="C9" s="537"/>
      <c r="D9" s="536" t="s">
        <v>741</v>
      </c>
      <c r="E9" s="538" t="s">
        <v>754</v>
      </c>
      <c r="F9" s="539" t="s">
        <v>759</v>
      </c>
      <c r="G9" s="536" t="s">
        <v>490</v>
      </c>
      <c r="H9" s="370"/>
      <c r="I9" s="229">
        <v>4</v>
      </c>
      <c r="J9" s="229">
        <v>4</v>
      </c>
      <c r="K9" s="229">
        <v>2021</v>
      </c>
    </row>
    <row r="10" spans="1:11">
      <c r="D10" s="536" t="s">
        <v>2618</v>
      </c>
      <c r="E10" s="538"/>
      <c r="F10" s="539" t="s">
        <v>760</v>
      </c>
      <c r="G10" s="536" t="s">
        <v>632</v>
      </c>
      <c r="H10" s="370"/>
      <c r="I10" s="229">
        <v>5</v>
      </c>
      <c r="J10" s="229">
        <v>5</v>
      </c>
      <c r="K10" s="229">
        <v>2022</v>
      </c>
    </row>
    <row r="11" spans="1:11">
      <c r="F11" s="539" t="s">
        <v>761</v>
      </c>
      <c r="G11" s="404"/>
      <c r="I11" s="229">
        <v>6</v>
      </c>
      <c r="J11" s="229">
        <v>6</v>
      </c>
      <c r="K11" s="229">
        <v>2023</v>
      </c>
    </row>
    <row r="12" spans="1:11">
      <c r="A12" s="1680" t="s">
        <v>625</v>
      </c>
      <c r="B12" s="1680"/>
      <c r="C12" s="1680"/>
      <c r="D12" s="1680"/>
      <c r="G12" s="404"/>
      <c r="I12" s="229">
        <v>7</v>
      </c>
      <c r="J12" s="229">
        <v>7</v>
      </c>
      <c r="K12" s="229">
        <v>2024</v>
      </c>
    </row>
    <row r="13" spans="1:11">
      <c r="G13" s="404" t="s">
        <v>2502</v>
      </c>
      <c r="I13" s="229">
        <v>8</v>
      </c>
      <c r="J13" s="229">
        <v>8</v>
      </c>
      <c r="K13" s="229">
        <v>2025</v>
      </c>
    </row>
    <row r="14" spans="1:11">
      <c r="A14" s="469" t="s">
        <v>93</v>
      </c>
      <c r="B14" s="469" t="s">
        <v>621</v>
      </c>
      <c r="C14" s="469"/>
      <c r="D14" s="469" t="s">
        <v>477</v>
      </c>
      <c r="E14" s="62"/>
      <c r="F14" s="532"/>
      <c r="G14" s="404" t="s">
        <v>2505</v>
      </c>
      <c r="I14" s="229">
        <v>9</v>
      </c>
      <c r="J14" s="229">
        <v>9</v>
      </c>
      <c r="K14" s="229">
        <v>2026</v>
      </c>
    </row>
    <row r="15" spans="1:11" ht="30">
      <c r="A15" s="220">
        <v>1</v>
      </c>
      <c r="B15" s="533" t="s">
        <v>2630</v>
      </c>
      <c r="C15" s="508">
        <v>1</v>
      </c>
      <c r="D15" s="541" t="s">
        <v>2619</v>
      </c>
      <c r="E15" s="64"/>
      <c r="F15" s="65"/>
      <c r="G15" s="404" t="s">
        <v>2503</v>
      </c>
      <c r="I15" s="229">
        <v>10</v>
      </c>
      <c r="J15" s="229">
        <v>10</v>
      </c>
      <c r="K15" s="229">
        <v>2027</v>
      </c>
    </row>
    <row r="16" spans="1:11" ht="30">
      <c r="A16" s="469">
        <v>2</v>
      </c>
      <c r="B16" s="533" t="s">
        <v>2631</v>
      </c>
      <c r="C16" s="508">
        <v>1</v>
      </c>
      <c r="D16" s="541" t="s">
        <v>2620</v>
      </c>
      <c r="E16" s="64"/>
      <c r="F16" s="65"/>
      <c r="G16" s="404" t="s">
        <v>2504</v>
      </c>
      <c r="I16" s="229">
        <v>11</v>
      </c>
      <c r="J16" s="229">
        <v>11</v>
      </c>
      <c r="K16" s="229">
        <v>2028</v>
      </c>
    </row>
    <row r="17" spans="1:49">
      <c r="A17" s="1676">
        <v>3</v>
      </c>
      <c r="B17" s="1678" t="s">
        <v>478</v>
      </c>
      <c r="C17" s="527">
        <v>1</v>
      </c>
      <c r="D17" s="541" t="s">
        <v>2621</v>
      </c>
      <c r="E17" s="9"/>
      <c r="F17" s="65"/>
      <c r="G17" s="17"/>
      <c r="H17" s="17"/>
      <c r="I17" s="16">
        <v>12</v>
      </c>
      <c r="J17" s="16">
        <v>12</v>
      </c>
      <c r="K17" s="16">
        <v>2029</v>
      </c>
    </row>
    <row r="18" spans="1:49" ht="30">
      <c r="A18" s="1681"/>
      <c r="B18" s="1682"/>
      <c r="C18" s="527"/>
      <c r="D18" s="541" t="s">
        <v>2622</v>
      </c>
      <c r="E18" s="9"/>
      <c r="F18" s="65"/>
      <c r="G18" s="17"/>
      <c r="H18" s="17"/>
      <c r="I18" s="16">
        <v>13</v>
      </c>
      <c r="J18" s="16"/>
      <c r="K18" s="16">
        <v>2030</v>
      </c>
    </row>
    <row r="19" spans="1:49" ht="30">
      <c r="A19" s="1677"/>
      <c r="B19" s="1679"/>
      <c r="C19" s="527">
        <v>2</v>
      </c>
      <c r="D19" s="541" t="s">
        <v>2623</v>
      </c>
      <c r="E19" s="9"/>
      <c r="F19" s="65"/>
      <c r="G19" s="17"/>
      <c r="H19" s="17"/>
      <c r="I19" s="16">
        <v>14</v>
      </c>
      <c r="J19" s="16"/>
      <c r="K19" s="16">
        <v>2031</v>
      </c>
    </row>
    <row r="20" spans="1:49" ht="30">
      <c r="A20" s="1676">
        <v>4</v>
      </c>
      <c r="B20" s="1683" t="s">
        <v>2632</v>
      </c>
      <c r="C20" s="527">
        <v>1</v>
      </c>
      <c r="D20" s="542" t="s">
        <v>2717</v>
      </c>
      <c r="E20" s="9"/>
      <c r="F20" s="65"/>
      <c r="G20" s="17"/>
      <c r="H20" s="17"/>
      <c r="I20" s="16">
        <v>15</v>
      </c>
      <c r="J20" s="16"/>
      <c r="K20" s="16">
        <v>2032</v>
      </c>
    </row>
    <row r="21" spans="1:49" ht="30">
      <c r="A21" s="1681"/>
      <c r="B21" s="1684"/>
      <c r="C21" s="527">
        <v>2</v>
      </c>
      <c r="D21" s="542" t="s">
        <v>2718</v>
      </c>
      <c r="E21" s="9"/>
      <c r="F21" s="65"/>
      <c r="G21" s="17"/>
      <c r="H21" s="17"/>
      <c r="I21" s="16">
        <v>16</v>
      </c>
      <c r="J21" s="16"/>
      <c r="K21" s="16">
        <v>2033</v>
      </c>
    </row>
    <row r="22" spans="1:49" ht="30">
      <c r="A22" s="1681"/>
      <c r="B22" s="1684"/>
      <c r="C22" s="527">
        <v>3</v>
      </c>
      <c r="D22" s="542" t="s">
        <v>2624</v>
      </c>
      <c r="E22" s="9"/>
      <c r="F22" s="65"/>
      <c r="G22" s="17"/>
      <c r="H22" s="17"/>
      <c r="I22" s="16">
        <v>17</v>
      </c>
      <c r="J22" s="16"/>
      <c r="K22" s="16">
        <v>2034</v>
      </c>
    </row>
    <row r="23" spans="1:49" ht="30">
      <c r="A23" s="1681"/>
      <c r="B23" s="1684"/>
      <c r="C23" s="527">
        <v>4</v>
      </c>
      <c r="D23" s="542" t="s">
        <v>2625</v>
      </c>
      <c r="E23" s="9"/>
      <c r="F23" s="65"/>
      <c r="G23" s="17"/>
      <c r="H23" s="17"/>
      <c r="I23" s="16">
        <v>18</v>
      </c>
      <c r="J23" s="16"/>
      <c r="K23" s="16">
        <v>2035</v>
      </c>
    </row>
    <row r="24" spans="1:49" ht="30">
      <c r="A24" s="1676">
        <v>5</v>
      </c>
      <c r="B24" s="1678" t="s">
        <v>479</v>
      </c>
      <c r="C24" s="527">
        <v>1</v>
      </c>
      <c r="D24" s="541" t="s">
        <v>2626</v>
      </c>
      <c r="E24" s="9"/>
      <c r="F24" s="67"/>
      <c r="G24" s="17"/>
      <c r="H24" s="17"/>
      <c r="I24" s="16">
        <v>19</v>
      </c>
      <c r="J24" s="16"/>
      <c r="K24" s="16">
        <v>2036</v>
      </c>
    </row>
    <row r="25" spans="1:49" ht="30">
      <c r="A25" s="1677"/>
      <c r="B25" s="1679"/>
      <c r="C25" s="527">
        <v>2</v>
      </c>
      <c r="D25" s="541" t="s">
        <v>2627</v>
      </c>
      <c r="E25" s="9"/>
      <c r="F25" s="67"/>
      <c r="G25" s="17"/>
      <c r="H25" s="17"/>
      <c r="I25" s="16">
        <v>20</v>
      </c>
      <c r="J25" s="16"/>
      <c r="K25" s="16">
        <v>2037</v>
      </c>
    </row>
    <row r="26" spans="1:49" ht="30">
      <c r="A26" s="1676">
        <v>6</v>
      </c>
      <c r="B26" s="1678" t="s">
        <v>480</v>
      </c>
      <c r="C26" s="527">
        <v>1</v>
      </c>
      <c r="D26" s="542" t="s">
        <v>2997</v>
      </c>
      <c r="E26" s="9"/>
      <c r="F26" s="67"/>
      <c r="G26" s="17"/>
      <c r="H26" s="17"/>
      <c r="I26" s="16">
        <v>21</v>
      </c>
      <c r="J26" s="16"/>
      <c r="K26" s="16">
        <v>2038</v>
      </c>
    </row>
    <row r="27" spans="1:49">
      <c r="A27" s="1677"/>
      <c r="B27" s="1679"/>
      <c r="C27" s="527">
        <v>2</v>
      </c>
      <c r="D27" s="542" t="s">
        <v>2628</v>
      </c>
      <c r="E27" s="9"/>
      <c r="F27" s="67"/>
      <c r="G27" s="17"/>
      <c r="H27" s="17"/>
      <c r="I27" s="16">
        <v>22</v>
      </c>
      <c r="J27" s="16"/>
      <c r="K27" s="16">
        <v>2039</v>
      </c>
    </row>
    <row r="28" spans="1:49" ht="30">
      <c r="A28" s="1676">
        <v>7</v>
      </c>
      <c r="B28" s="1678" t="s">
        <v>2633</v>
      </c>
      <c r="C28" s="527">
        <v>1</v>
      </c>
      <c r="D28" s="542" t="s">
        <v>481</v>
      </c>
      <c r="E28" s="9"/>
      <c r="F28" s="67"/>
      <c r="G28" s="17"/>
      <c r="H28" s="17"/>
      <c r="I28" s="16">
        <v>23</v>
      </c>
      <c r="J28" s="16"/>
      <c r="K28" s="16">
        <v>2040</v>
      </c>
    </row>
    <row r="29" spans="1:49" ht="30">
      <c r="A29" s="1677"/>
      <c r="B29" s="1679"/>
      <c r="C29" s="527">
        <v>2</v>
      </c>
      <c r="D29" s="542" t="s">
        <v>2629</v>
      </c>
      <c r="E29" s="9"/>
      <c r="F29" s="67"/>
      <c r="G29" s="17"/>
      <c r="H29" s="17"/>
      <c r="I29" s="16">
        <v>24</v>
      </c>
      <c r="J29" s="16"/>
      <c r="K29" s="16">
        <v>2041</v>
      </c>
    </row>
    <row r="30" spans="1:49">
      <c r="A30" s="532"/>
      <c r="B30" s="9"/>
      <c r="C30" s="9"/>
      <c r="D30" s="67"/>
      <c r="E30" s="9"/>
      <c r="F30" s="67"/>
      <c r="G30" s="17"/>
      <c r="H30" s="17"/>
      <c r="I30" s="16">
        <v>25</v>
      </c>
      <c r="J30" s="16"/>
      <c r="K30" s="17"/>
    </row>
    <row r="31" spans="1:49" s="546" customFormat="1" ht="15" customHeight="1">
      <c r="A31" s="1685" t="s">
        <v>626</v>
      </c>
      <c r="B31" s="1685"/>
      <c r="C31" s="1685"/>
      <c r="D31" s="1685"/>
      <c r="E31" s="1685"/>
      <c r="F31" s="1685"/>
      <c r="G31" s="543"/>
      <c r="H31" s="544"/>
      <c r="I31" s="16">
        <v>26</v>
      </c>
      <c r="J31" s="543"/>
      <c r="K31" s="543"/>
      <c r="L31" s="545"/>
      <c r="M31" s="545"/>
      <c r="N31" s="545"/>
      <c r="O31" s="545"/>
      <c r="P31" s="545"/>
      <c r="Q31" s="545"/>
      <c r="R31" s="545"/>
      <c r="S31" s="545"/>
      <c r="T31" s="545"/>
      <c r="U31" s="545"/>
      <c r="V31" s="545"/>
      <c r="W31" s="545"/>
      <c r="X31" s="545"/>
      <c r="Y31" s="545"/>
      <c r="Z31" s="545"/>
      <c r="AA31" s="545"/>
      <c r="AB31" s="545"/>
      <c r="AC31" s="545"/>
      <c r="AD31" s="545"/>
      <c r="AE31" s="545"/>
      <c r="AF31" s="545"/>
      <c r="AG31" s="545"/>
      <c r="AH31" s="545"/>
      <c r="AI31" s="545"/>
      <c r="AJ31" s="545"/>
      <c r="AK31" s="545"/>
      <c r="AL31" s="545"/>
      <c r="AM31" s="545"/>
      <c r="AN31" s="545"/>
      <c r="AO31" s="545"/>
      <c r="AP31" s="545"/>
      <c r="AQ31" s="545"/>
      <c r="AR31" s="545"/>
      <c r="AS31" s="545"/>
      <c r="AT31" s="545"/>
      <c r="AU31" s="545"/>
      <c r="AV31" s="545"/>
      <c r="AW31" s="545"/>
    </row>
    <row r="32" spans="1:49" s="494" customFormat="1">
      <c r="A32" s="547" t="s">
        <v>93</v>
      </c>
      <c r="B32" s="547" t="s">
        <v>508</v>
      </c>
      <c r="C32" s="547"/>
      <c r="D32" s="547" t="s">
        <v>503</v>
      </c>
      <c r="E32" s="547"/>
      <c r="F32" s="535" t="s">
        <v>405</v>
      </c>
      <c r="G32" s="548"/>
      <c r="H32" s="549"/>
      <c r="I32" s="16">
        <v>27</v>
      </c>
      <c r="J32" s="548"/>
      <c r="K32" s="548"/>
      <c r="L32" s="550"/>
      <c r="M32" s="550"/>
      <c r="N32" s="550"/>
      <c r="O32" s="550"/>
      <c r="P32" s="550"/>
      <c r="Q32" s="550"/>
      <c r="R32" s="550"/>
      <c r="S32" s="550"/>
      <c r="T32" s="550"/>
      <c r="U32" s="550"/>
      <c r="V32" s="550"/>
      <c r="W32" s="550"/>
      <c r="X32" s="550"/>
      <c r="Y32" s="550"/>
      <c r="Z32" s="550"/>
      <c r="AA32" s="550"/>
      <c r="AB32" s="550"/>
      <c r="AC32" s="550"/>
      <c r="AD32" s="550"/>
      <c r="AE32" s="550"/>
      <c r="AF32" s="550"/>
      <c r="AG32" s="550"/>
      <c r="AH32" s="550"/>
      <c r="AI32" s="550"/>
      <c r="AJ32" s="550"/>
      <c r="AK32" s="550"/>
      <c r="AL32" s="550"/>
      <c r="AM32" s="550"/>
      <c r="AN32" s="550"/>
      <c r="AO32" s="550"/>
      <c r="AP32" s="550"/>
      <c r="AQ32" s="550"/>
      <c r="AR32" s="550"/>
      <c r="AS32" s="550"/>
      <c r="AT32" s="550"/>
      <c r="AU32" s="550"/>
      <c r="AV32" s="550"/>
      <c r="AW32" s="550"/>
    </row>
    <row r="33" spans="1:49" s="372" customFormat="1" ht="15" customHeight="1">
      <c r="A33" s="551"/>
      <c r="B33" s="1673" t="s">
        <v>2634</v>
      </c>
      <c r="C33" s="541"/>
      <c r="D33" s="1673" t="s">
        <v>2719</v>
      </c>
      <c r="E33" s="1671">
        <v>1</v>
      </c>
      <c r="F33" s="552"/>
      <c r="G33" s="543"/>
      <c r="H33" s="544"/>
      <c r="I33" s="16">
        <v>28</v>
      </c>
      <c r="J33" s="543"/>
      <c r="K33" s="543"/>
      <c r="L33" s="545"/>
      <c r="M33" s="545"/>
      <c r="N33" s="545"/>
      <c r="O33" s="545"/>
      <c r="P33" s="545"/>
      <c r="Q33" s="545"/>
      <c r="R33" s="545"/>
      <c r="S33" s="545"/>
      <c r="T33" s="545"/>
      <c r="U33" s="545"/>
      <c r="V33" s="545"/>
      <c r="W33" s="545"/>
      <c r="X33" s="545"/>
      <c r="Y33" s="545"/>
      <c r="Z33" s="545"/>
      <c r="AA33" s="545"/>
      <c r="AB33" s="545"/>
      <c r="AC33" s="545"/>
      <c r="AD33" s="545"/>
      <c r="AE33" s="545"/>
      <c r="AF33" s="545"/>
      <c r="AG33" s="545"/>
      <c r="AH33" s="545"/>
      <c r="AI33" s="545"/>
      <c r="AJ33" s="545"/>
      <c r="AK33" s="545"/>
      <c r="AL33" s="545"/>
      <c r="AM33" s="545"/>
      <c r="AN33" s="545"/>
      <c r="AO33" s="545"/>
      <c r="AP33" s="545"/>
      <c r="AQ33" s="545"/>
      <c r="AR33" s="545"/>
      <c r="AS33" s="545"/>
      <c r="AT33" s="545"/>
      <c r="AU33" s="545"/>
      <c r="AV33" s="545"/>
      <c r="AW33" s="545"/>
    </row>
    <row r="34" spans="1:49" s="372" customFormat="1" ht="30">
      <c r="A34" s="551"/>
      <c r="B34" s="1673"/>
      <c r="C34" s="541"/>
      <c r="D34" s="1673"/>
      <c r="E34" s="1672"/>
      <c r="F34" s="542" t="s">
        <v>2152</v>
      </c>
      <c r="G34" s="543"/>
      <c r="H34" s="544"/>
      <c r="I34" s="16">
        <v>29</v>
      </c>
      <c r="J34" s="543"/>
      <c r="K34" s="543"/>
      <c r="L34" s="545"/>
      <c r="M34" s="545"/>
      <c r="N34" s="545"/>
      <c r="O34" s="545"/>
      <c r="P34" s="545"/>
      <c r="Q34" s="545"/>
      <c r="R34" s="545"/>
      <c r="S34" s="545"/>
      <c r="T34" s="545"/>
      <c r="U34" s="545"/>
      <c r="V34" s="545"/>
      <c r="W34" s="545"/>
      <c r="X34" s="545"/>
      <c r="Y34" s="545"/>
      <c r="Z34" s="545"/>
      <c r="AA34" s="545"/>
      <c r="AB34" s="545"/>
      <c r="AC34" s="545"/>
      <c r="AD34" s="545"/>
      <c r="AE34" s="545"/>
      <c r="AF34" s="545"/>
      <c r="AG34" s="545"/>
      <c r="AH34" s="545"/>
      <c r="AI34" s="545"/>
      <c r="AJ34" s="545"/>
      <c r="AK34" s="545"/>
      <c r="AL34" s="545"/>
      <c r="AM34" s="545"/>
      <c r="AN34" s="545"/>
      <c r="AO34" s="545"/>
      <c r="AP34" s="545"/>
      <c r="AQ34" s="545"/>
      <c r="AR34" s="545"/>
      <c r="AS34" s="545"/>
      <c r="AT34" s="545"/>
      <c r="AU34" s="545"/>
      <c r="AV34" s="545"/>
      <c r="AW34" s="545"/>
    </row>
    <row r="35" spans="1:49" s="372" customFormat="1" ht="12" customHeight="1">
      <c r="A35" s="551"/>
      <c r="B35" s="1673" t="s">
        <v>2635</v>
      </c>
      <c r="C35" s="541"/>
      <c r="D35" s="1673" t="s">
        <v>2720</v>
      </c>
      <c r="E35" s="1671">
        <v>1</v>
      </c>
      <c r="F35" s="553"/>
      <c r="G35" s="543"/>
      <c r="H35" s="544"/>
      <c r="I35" s="16">
        <v>30</v>
      </c>
      <c r="J35" s="543"/>
      <c r="K35" s="543"/>
      <c r="L35" s="545"/>
      <c r="M35" s="545"/>
      <c r="N35" s="545"/>
      <c r="O35" s="545"/>
      <c r="P35" s="545"/>
      <c r="Q35" s="545"/>
      <c r="R35" s="545"/>
      <c r="S35" s="545"/>
      <c r="T35" s="545"/>
      <c r="U35" s="545"/>
      <c r="V35" s="545"/>
      <c r="W35" s="545"/>
      <c r="X35" s="545"/>
      <c r="Y35" s="545"/>
      <c r="Z35" s="545"/>
      <c r="AA35" s="545"/>
      <c r="AB35" s="545"/>
      <c r="AC35" s="545"/>
      <c r="AD35" s="545"/>
      <c r="AE35" s="545"/>
      <c r="AF35" s="545"/>
      <c r="AG35" s="545"/>
      <c r="AH35" s="545"/>
      <c r="AI35" s="545"/>
      <c r="AJ35" s="545"/>
      <c r="AK35" s="545"/>
      <c r="AL35" s="545"/>
      <c r="AM35" s="545"/>
      <c r="AN35" s="545"/>
      <c r="AO35" s="545"/>
      <c r="AP35" s="545"/>
      <c r="AQ35" s="545"/>
      <c r="AR35" s="545"/>
      <c r="AS35" s="545"/>
      <c r="AT35" s="545"/>
      <c r="AU35" s="545"/>
      <c r="AV35" s="545"/>
      <c r="AW35" s="545"/>
    </row>
    <row r="36" spans="1:49" s="372" customFormat="1" ht="12" customHeight="1">
      <c r="A36" s="551"/>
      <c r="B36" s="1673"/>
      <c r="C36" s="541"/>
      <c r="D36" s="1673"/>
      <c r="E36" s="1675"/>
      <c r="F36" s="534" t="s">
        <v>2636</v>
      </c>
      <c r="G36" s="543"/>
      <c r="H36" s="544"/>
      <c r="I36" s="16">
        <v>31</v>
      </c>
      <c r="J36" s="543"/>
      <c r="K36" s="543"/>
      <c r="L36" s="545"/>
      <c r="M36" s="545"/>
      <c r="N36" s="545"/>
      <c r="O36" s="545"/>
      <c r="P36" s="545"/>
      <c r="Q36" s="545"/>
      <c r="R36" s="545"/>
      <c r="S36" s="545"/>
      <c r="T36" s="545"/>
      <c r="U36" s="545"/>
      <c r="V36" s="545"/>
      <c r="W36" s="545"/>
      <c r="X36" s="545"/>
      <c r="Y36" s="545"/>
      <c r="Z36" s="545"/>
      <c r="AA36" s="545"/>
      <c r="AB36" s="545"/>
      <c r="AC36" s="545"/>
      <c r="AD36" s="545"/>
      <c r="AE36" s="545"/>
      <c r="AF36" s="545"/>
      <c r="AG36" s="545"/>
      <c r="AH36" s="545"/>
      <c r="AI36" s="545"/>
      <c r="AJ36" s="545"/>
      <c r="AK36" s="545"/>
      <c r="AL36" s="545"/>
      <c r="AM36" s="545"/>
      <c r="AN36" s="545"/>
      <c r="AO36" s="545"/>
      <c r="AP36" s="545"/>
      <c r="AQ36" s="545"/>
      <c r="AR36" s="545"/>
      <c r="AS36" s="545"/>
      <c r="AT36" s="545"/>
      <c r="AU36" s="545"/>
      <c r="AV36" s="545"/>
      <c r="AW36" s="545"/>
    </row>
    <row r="37" spans="1:49" s="372" customFormat="1" ht="19.5" customHeight="1">
      <c r="A37" s="551"/>
      <c r="B37" s="1673"/>
      <c r="C37" s="541"/>
      <c r="D37" s="1673"/>
      <c r="E37" s="1672"/>
      <c r="F37" s="534" t="s">
        <v>2637</v>
      </c>
      <c r="G37" s="543"/>
      <c r="H37" s="544"/>
      <c r="I37" s="470"/>
      <c r="J37" s="543"/>
      <c r="K37" s="543"/>
      <c r="L37" s="545"/>
      <c r="M37" s="545"/>
      <c r="N37" s="545"/>
      <c r="O37" s="545"/>
      <c r="P37" s="545"/>
      <c r="Q37" s="545"/>
      <c r="R37" s="545"/>
      <c r="S37" s="545"/>
      <c r="T37" s="545"/>
      <c r="U37" s="545"/>
      <c r="V37" s="545"/>
      <c r="W37" s="545"/>
      <c r="X37" s="545"/>
      <c r="Y37" s="545"/>
      <c r="Z37" s="545"/>
      <c r="AA37" s="545"/>
      <c r="AB37" s="545"/>
      <c r="AC37" s="545"/>
      <c r="AD37" s="545"/>
      <c r="AE37" s="545"/>
      <c r="AF37" s="545"/>
      <c r="AG37" s="545"/>
      <c r="AH37" s="545"/>
      <c r="AI37" s="545"/>
      <c r="AJ37" s="545"/>
      <c r="AK37" s="545"/>
      <c r="AL37" s="545"/>
      <c r="AM37" s="545"/>
      <c r="AN37" s="545"/>
      <c r="AO37" s="545"/>
      <c r="AP37" s="545"/>
      <c r="AQ37" s="545"/>
      <c r="AR37" s="545"/>
      <c r="AS37" s="545"/>
      <c r="AT37" s="545"/>
      <c r="AU37" s="545"/>
      <c r="AV37" s="545"/>
      <c r="AW37" s="545"/>
    </row>
    <row r="38" spans="1:49" s="372" customFormat="1" ht="12" customHeight="1">
      <c r="A38" s="551"/>
      <c r="B38" s="1673"/>
      <c r="C38" s="541"/>
      <c r="D38" s="1673"/>
      <c r="E38" s="1671">
        <v>2</v>
      </c>
      <c r="F38" s="553"/>
      <c r="G38" s="543"/>
      <c r="H38" s="544"/>
      <c r="I38" s="543"/>
      <c r="J38" s="543"/>
      <c r="K38" s="543"/>
      <c r="L38" s="545"/>
      <c r="M38" s="545"/>
      <c r="N38" s="545"/>
      <c r="O38" s="545"/>
      <c r="P38" s="545"/>
      <c r="Q38" s="545"/>
      <c r="R38" s="545"/>
      <c r="S38" s="545"/>
      <c r="T38" s="545"/>
      <c r="U38" s="545"/>
      <c r="V38" s="545"/>
      <c r="W38" s="545"/>
      <c r="X38" s="545"/>
      <c r="Y38" s="545"/>
      <c r="Z38" s="545"/>
      <c r="AA38" s="545"/>
      <c r="AB38" s="545"/>
      <c r="AC38" s="545"/>
      <c r="AD38" s="545"/>
      <c r="AE38" s="545"/>
      <c r="AF38" s="545"/>
      <c r="AG38" s="545"/>
      <c r="AH38" s="545"/>
      <c r="AI38" s="545"/>
      <c r="AJ38" s="545"/>
      <c r="AK38" s="545"/>
      <c r="AL38" s="545"/>
      <c r="AM38" s="545"/>
      <c r="AN38" s="545"/>
      <c r="AO38" s="545"/>
      <c r="AP38" s="545"/>
      <c r="AQ38" s="545"/>
      <c r="AR38" s="545"/>
      <c r="AS38" s="545"/>
      <c r="AT38" s="545"/>
      <c r="AU38" s="545"/>
      <c r="AV38" s="545"/>
      <c r="AW38" s="545"/>
    </row>
    <row r="39" spans="1:49" s="372" customFormat="1" ht="12" customHeight="1">
      <c r="A39" s="551"/>
      <c r="B39" s="1673"/>
      <c r="C39" s="541"/>
      <c r="D39" s="1673"/>
      <c r="E39" s="1672"/>
      <c r="F39" s="534" t="s">
        <v>2638</v>
      </c>
      <c r="G39" s="543"/>
      <c r="H39" s="544"/>
      <c r="I39" s="543"/>
      <c r="J39" s="543"/>
      <c r="K39" s="543"/>
      <c r="L39" s="545"/>
      <c r="M39" s="545"/>
      <c r="N39" s="545"/>
      <c r="O39" s="545"/>
      <c r="P39" s="545"/>
      <c r="Q39" s="545"/>
      <c r="R39" s="545"/>
      <c r="S39" s="545"/>
      <c r="T39" s="545"/>
      <c r="U39" s="545"/>
      <c r="V39" s="545"/>
      <c r="W39" s="545"/>
      <c r="X39" s="545"/>
      <c r="Y39" s="545"/>
      <c r="Z39" s="545"/>
      <c r="AA39" s="545"/>
      <c r="AB39" s="545"/>
      <c r="AC39" s="545"/>
      <c r="AD39" s="545"/>
      <c r="AE39" s="545"/>
      <c r="AF39" s="545"/>
      <c r="AG39" s="545"/>
      <c r="AH39" s="545"/>
      <c r="AI39" s="545"/>
      <c r="AJ39" s="545"/>
      <c r="AK39" s="545"/>
      <c r="AL39" s="545"/>
      <c r="AM39" s="545"/>
      <c r="AN39" s="545"/>
      <c r="AO39" s="545"/>
      <c r="AP39" s="545"/>
      <c r="AQ39" s="545"/>
      <c r="AR39" s="545"/>
      <c r="AS39" s="545"/>
      <c r="AT39" s="545"/>
      <c r="AU39" s="545"/>
      <c r="AV39" s="545"/>
      <c r="AW39" s="545"/>
    </row>
    <row r="40" spans="1:49" s="372" customFormat="1" ht="12" customHeight="1">
      <c r="A40" s="551"/>
      <c r="B40" s="1673"/>
      <c r="C40" s="541"/>
      <c r="D40" s="1673"/>
      <c r="E40" s="1671">
        <v>3</v>
      </c>
      <c r="F40" s="553"/>
      <c r="G40" s="470"/>
      <c r="H40" s="396"/>
      <c r="I40" s="470"/>
      <c r="J40" s="470"/>
      <c r="K40" s="470"/>
    </row>
    <row r="41" spans="1:49" s="372" customFormat="1" ht="12" customHeight="1">
      <c r="A41" s="551"/>
      <c r="B41" s="1673"/>
      <c r="C41" s="541"/>
      <c r="D41" s="1673"/>
      <c r="E41" s="1672"/>
      <c r="F41" s="534" t="s">
        <v>2721</v>
      </c>
      <c r="G41" s="470"/>
      <c r="H41" s="396"/>
      <c r="I41" s="470"/>
      <c r="J41" s="470"/>
      <c r="K41" s="470"/>
    </row>
    <row r="42" spans="1:49" s="372" customFormat="1" ht="20.25" customHeight="1">
      <c r="A42" s="551"/>
      <c r="B42" s="1673" t="s">
        <v>2157</v>
      </c>
      <c r="C42" s="541"/>
      <c r="D42" s="1673" t="s">
        <v>2639</v>
      </c>
      <c r="E42" s="1671">
        <v>1</v>
      </c>
      <c r="F42" s="553"/>
      <c r="G42" s="470"/>
      <c r="H42" s="396"/>
      <c r="I42" s="470"/>
      <c r="J42" s="470"/>
      <c r="K42" s="470"/>
    </row>
    <row r="43" spans="1:49" s="372" customFormat="1" ht="12" customHeight="1">
      <c r="A43" s="551"/>
      <c r="B43" s="1673"/>
      <c r="C43" s="541"/>
      <c r="D43" s="1673"/>
      <c r="E43" s="1672"/>
      <c r="F43" s="534" t="s">
        <v>2640</v>
      </c>
      <c r="G43" s="470"/>
      <c r="H43" s="396"/>
      <c r="I43" s="470"/>
      <c r="J43" s="470"/>
      <c r="K43" s="470"/>
    </row>
    <row r="44" spans="1:49" s="372" customFormat="1" ht="12" customHeight="1">
      <c r="A44" s="551"/>
      <c r="B44" s="1673"/>
      <c r="C44" s="541"/>
      <c r="D44" s="1673"/>
      <c r="E44" s="1671">
        <v>2</v>
      </c>
      <c r="F44" s="553"/>
      <c r="G44" s="470"/>
      <c r="H44" s="396"/>
      <c r="I44" s="470"/>
      <c r="J44" s="470"/>
      <c r="K44" s="470"/>
    </row>
    <row r="45" spans="1:49" s="372" customFormat="1" ht="30" customHeight="1">
      <c r="A45" s="551"/>
      <c r="B45" s="1673"/>
      <c r="C45" s="541"/>
      <c r="D45" s="1673"/>
      <c r="E45" s="1672"/>
      <c r="F45" s="534" t="s">
        <v>2722</v>
      </c>
      <c r="G45" s="470"/>
      <c r="H45" s="396"/>
      <c r="I45" s="470"/>
      <c r="J45" s="470"/>
      <c r="K45" s="470"/>
    </row>
    <row r="46" spans="1:49" s="372" customFormat="1" ht="12" customHeight="1">
      <c r="A46" s="551"/>
      <c r="B46" s="1673"/>
      <c r="C46" s="1673"/>
      <c r="D46" s="1673" t="s">
        <v>2641</v>
      </c>
      <c r="E46" s="1671">
        <v>1</v>
      </c>
      <c r="F46" s="553"/>
      <c r="G46" s="470"/>
      <c r="H46" s="396"/>
      <c r="I46" s="470"/>
      <c r="J46" s="470"/>
      <c r="K46" s="470"/>
    </row>
    <row r="47" spans="1:49" s="372" customFormat="1" ht="29.25" customHeight="1">
      <c r="A47" s="551"/>
      <c r="B47" s="1673"/>
      <c r="C47" s="1673"/>
      <c r="D47" s="1673"/>
      <c r="E47" s="1672"/>
      <c r="F47" s="534" t="s">
        <v>2786</v>
      </c>
      <c r="G47" s="470"/>
      <c r="H47" s="396"/>
      <c r="I47" s="470"/>
      <c r="J47" s="470"/>
      <c r="K47" s="470"/>
    </row>
    <row r="48" spans="1:49" s="372" customFormat="1">
      <c r="A48" s="551"/>
      <c r="B48" s="1673"/>
      <c r="C48" s="1673"/>
      <c r="D48" s="1673"/>
      <c r="E48" s="1671">
        <v>2</v>
      </c>
      <c r="F48" s="534"/>
      <c r="G48" s="470"/>
      <c r="H48" s="396"/>
      <c r="I48" s="470"/>
      <c r="J48" s="470"/>
      <c r="K48" s="470"/>
    </row>
    <row r="49" spans="1:11" s="372" customFormat="1" ht="29.25" customHeight="1">
      <c r="A49" s="551"/>
      <c r="B49" s="1673"/>
      <c r="C49" s="1673"/>
      <c r="D49" s="1673"/>
      <c r="E49" s="1672"/>
      <c r="F49" s="534" t="s">
        <v>2787</v>
      </c>
      <c r="G49" s="470"/>
      <c r="H49" s="396"/>
      <c r="I49" s="470"/>
      <c r="J49" s="470"/>
      <c r="K49" s="470"/>
    </row>
    <row r="50" spans="1:11" s="372" customFormat="1" ht="12" customHeight="1">
      <c r="A50" s="551"/>
      <c r="B50" s="1673"/>
      <c r="C50" s="1673"/>
      <c r="D50" s="1673" t="s">
        <v>2642</v>
      </c>
      <c r="E50" s="1671">
        <v>1</v>
      </c>
      <c r="F50" s="553"/>
      <c r="G50" s="470"/>
      <c r="H50" s="396"/>
      <c r="I50" s="470"/>
      <c r="J50" s="470"/>
      <c r="K50" s="470"/>
    </row>
    <row r="51" spans="1:11" s="372" customFormat="1" ht="24.75" customHeight="1">
      <c r="A51" s="551"/>
      <c r="B51" s="1673"/>
      <c r="C51" s="1673"/>
      <c r="D51" s="1673"/>
      <c r="E51" s="1672"/>
      <c r="F51" s="534" t="s">
        <v>2788</v>
      </c>
      <c r="G51" s="470"/>
      <c r="H51" s="396"/>
      <c r="I51" s="470"/>
      <c r="J51" s="470"/>
      <c r="K51" s="470"/>
    </row>
    <row r="52" spans="1:11" s="372" customFormat="1" ht="14.25" customHeight="1">
      <c r="A52" s="551"/>
      <c r="B52" s="1673"/>
      <c r="C52" s="1673"/>
      <c r="D52" s="1673"/>
      <c r="E52" s="1671">
        <v>2</v>
      </c>
      <c r="F52" s="534"/>
      <c r="G52" s="470"/>
      <c r="H52" s="396"/>
      <c r="I52" s="470"/>
      <c r="J52" s="470"/>
      <c r="K52" s="470"/>
    </row>
    <row r="53" spans="1:11" s="372" customFormat="1" ht="27.75" customHeight="1">
      <c r="A53" s="551"/>
      <c r="B53" s="1673"/>
      <c r="C53" s="1673"/>
      <c r="D53" s="1673"/>
      <c r="E53" s="1672"/>
      <c r="F53" s="534" t="s">
        <v>2789</v>
      </c>
      <c r="G53" s="470"/>
      <c r="H53" s="396"/>
      <c r="I53" s="470"/>
      <c r="J53" s="470"/>
      <c r="K53" s="470"/>
    </row>
    <row r="54" spans="1:11" s="372" customFormat="1" ht="15" customHeight="1">
      <c r="A54" s="547"/>
      <c r="B54" s="1673" t="s">
        <v>2643</v>
      </c>
      <c r="C54" s="554"/>
      <c r="D54" s="1673" t="s">
        <v>2644</v>
      </c>
      <c r="E54" s="1671">
        <v>1</v>
      </c>
      <c r="F54" s="553"/>
      <c r="G54" s="470"/>
      <c r="H54" s="396"/>
      <c r="I54" s="470"/>
      <c r="J54" s="470"/>
      <c r="K54" s="470"/>
    </row>
    <row r="55" spans="1:11" s="372" customFormat="1" ht="15" customHeight="1">
      <c r="A55" s="547"/>
      <c r="B55" s="1673"/>
      <c r="C55" s="554"/>
      <c r="D55" s="1673"/>
      <c r="E55" s="1672"/>
      <c r="F55" s="534" t="s">
        <v>2645</v>
      </c>
      <c r="G55" s="470"/>
      <c r="H55" s="396"/>
      <c r="I55" s="470"/>
      <c r="J55" s="470"/>
      <c r="K55" s="470"/>
    </row>
    <row r="56" spans="1:11" s="372" customFormat="1" ht="15" customHeight="1">
      <c r="A56" s="547"/>
      <c r="B56" s="1673"/>
      <c r="C56" s="554"/>
      <c r="D56" s="1690" t="s">
        <v>2646</v>
      </c>
      <c r="E56" s="1700">
        <v>1</v>
      </c>
      <c r="F56" s="553"/>
      <c r="G56" s="470"/>
      <c r="H56" s="396"/>
      <c r="I56" s="470"/>
      <c r="J56" s="470"/>
      <c r="K56" s="470"/>
    </row>
    <row r="57" spans="1:11" s="372" customFormat="1" ht="28.5" customHeight="1">
      <c r="A57" s="547"/>
      <c r="B57" s="1673"/>
      <c r="C57" s="554"/>
      <c r="D57" s="1690"/>
      <c r="E57" s="1701"/>
      <c r="F57" s="542" t="s">
        <v>2723</v>
      </c>
      <c r="G57" s="470"/>
      <c r="H57" s="396"/>
      <c r="I57" s="470"/>
      <c r="J57" s="470"/>
      <c r="K57" s="470"/>
    </row>
    <row r="58" spans="1:11" s="372" customFormat="1">
      <c r="A58" s="547"/>
      <c r="B58" s="1673"/>
      <c r="C58" s="554"/>
      <c r="D58" s="1690"/>
      <c r="E58" s="1700">
        <v>2</v>
      </c>
      <c r="F58" s="542"/>
      <c r="G58" s="470"/>
      <c r="H58" s="396"/>
      <c r="I58" s="470"/>
      <c r="J58" s="470"/>
      <c r="K58" s="470"/>
    </row>
    <row r="59" spans="1:11" s="372" customFormat="1" ht="28.5" customHeight="1">
      <c r="A59" s="547"/>
      <c r="B59" s="1673"/>
      <c r="C59" s="554"/>
      <c r="D59" s="1690"/>
      <c r="E59" s="1701"/>
      <c r="F59" s="542" t="s">
        <v>2724</v>
      </c>
      <c r="G59" s="470"/>
      <c r="H59" s="396"/>
      <c r="I59" s="470"/>
      <c r="J59" s="470"/>
      <c r="K59" s="470"/>
    </row>
    <row r="60" spans="1:11" s="372" customFormat="1">
      <c r="A60" s="547"/>
      <c r="B60" s="1673"/>
      <c r="C60" s="554"/>
      <c r="D60" s="1690"/>
      <c r="E60" s="1700">
        <v>3</v>
      </c>
      <c r="F60" s="555"/>
      <c r="G60" s="470"/>
      <c r="H60" s="396"/>
      <c r="I60" s="470"/>
      <c r="J60" s="470"/>
      <c r="K60" s="470"/>
    </row>
    <row r="61" spans="1:11" s="372" customFormat="1" ht="28.5" customHeight="1">
      <c r="A61" s="547"/>
      <c r="B61" s="1673"/>
      <c r="C61" s="554"/>
      <c r="D61" s="1690"/>
      <c r="E61" s="1701"/>
      <c r="F61" s="534" t="s">
        <v>2725</v>
      </c>
      <c r="G61" s="470"/>
      <c r="H61" s="396"/>
      <c r="I61" s="470"/>
      <c r="J61" s="470"/>
      <c r="K61" s="470"/>
    </row>
    <row r="62" spans="1:11" s="372" customFormat="1" ht="15.75" customHeight="1">
      <c r="A62" s="547"/>
      <c r="B62" s="1673"/>
      <c r="C62" s="554"/>
      <c r="D62" s="1690"/>
      <c r="E62" s="1671">
        <v>4</v>
      </c>
      <c r="F62" s="534"/>
      <c r="G62" s="470"/>
      <c r="H62" s="396"/>
      <c r="I62" s="470"/>
      <c r="J62" s="470"/>
      <c r="K62" s="470"/>
    </row>
    <row r="63" spans="1:11" s="372" customFormat="1" ht="28.5" customHeight="1">
      <c r="A63" s="547"/>
      <c r="B63" s="1673"/>
      <c r="C63" s="554"/>
      <c r="D63" s="1690"/>
      <c r="E63" s="1672"/>
      <c r="F63" s="555" t="s">
        <v>2726</v>
      </c>
      <c r="G63" s="470"/>
      <c r="H63" s="396"/>
      <c r="I63" s="470"/>
      <c r="J63" s="470"/>
      <c r="K63" s="470"/>
    </row>
    <row r="64" spans="1:11" s="372" customFormat="1" ht="15" customHeight="1">
      <c r="A64" s="547"/>
      <c r="B64" s="1673"/>
      <c r="C64" s="554"/>
      <c r="D64" s="1690" t="s">
        <v>2647</v>
      </c>
      <c r="E64" s="1671">
        <v>1</v>
      </c>
      <c r="F64" s="553"/>
      <c r="G64" s="470"/>
      <c r="H64" s="396"/>
      <c r="I64" s="470"/>
      <c r="J64" s="470"/>
      <c r="K64" s="470"/>
    </row>
    <row r="65" spans="1:11" s="372" customFormat="1" ht="15" customHeight="1">
      <c r="A65" s="547"/>
      <c r="B65" s="1673"/>
      <c r="C65" s="554"/>
      <c r="D65" s="1690"/>
      <c r="E65" s="1672"/>
      <c r="F65" s="534" t="s">
        <v>2648</v>
      </c>
      <c r="G65" s="470"/>
      <c r="H65" s="396"/>
      <c r="I65" s="470"/>
      <c r="J65" s="470"/>
      <c r="K65" s="470"/>
    </row>
    <row r="66" spans="1:11" s="372" customFormat="1" ht="15" customHeight="1">
      <c r="A66" s="547"/>
      <c r="B66" s="1673"/>
      <c r="C66" s="554"/>
      <c r="D66" s="1690" t="s">
        <v>2649</v>
      </c>
      <c r="E66" s="1671">
        <v>1</v>
      </c>
      <c r="F66" s="553"/>
      <c r="G66" s="470"/>
      <c r="H66" s="396"/>
      <c r="I66" s="470"/>
      <c r="J66" s="470"/>
      <c r="K66" s="470"/>
    </row>
    <row r="67" spans="1:11" s="372" customFormat="1" ht="28.5" customHeight="1">
      <c r="A67" s="547"/>
      <c r="B67" s="1673"/>
      <c r="C67" s="554"/>
      <c r="D67" s="1690"/>
      <c r="E67" s="1675"/>
      <c r="F67" s="555" t="s">
        <v>2727</v>
      </c>
      <c r="G67" s="470"/>
      <c r="H67" s="396"/>
      <c r="I67" s="470"/>
      <c r="J67" s="470"/>
      <c r="K67" s="470"/>
    </row>
    <row r="68" spans="1:11" s="372" customFormat="1">
      <c r="A68" s="547"/>
      <c r="B68" s="1673"/>
      <c r="C68" s="554"/>
      <c r="D68" s="1690"/>
      <c r="E68" s="1671">
        <v>2</v>
      </c>
      <c r="F68" s="555"/>
      <c r="G68" s="470"/>
      <c r="H68" s="396"/>
      <c r="I68" s="470"/>
      <c r="J68" s="470"/>
      <c r="K68" s="470"/>
    </row>
    <row r="69" spans="1:11" s="372" customFormat="1" ht="24" customHeight="1">
      <c r="A69" s="547"/>
      <c r="B69" s="1673"/>
      <c r="C69" s="554"/>
      <c r="D69" s="1690"/>
      <c r="E69" s="1675"/>
      <c r="F69" s="542" t="s">
        <v>2650</v>
      </c>
      <c r="G69" s="470"/>
      <c r="H69" s="396"/>
      <c r="I69" s="470"/>
      <c r="J69" s="470"/>
      <c r="K69" s="470"/>
    </row>
    <row r="70" spans="1:11" s="372" customFormat="1">
      <c r="A70" s="547"/>
      <c r="B70" s="1673"/>
      <c r="C70" s="554"/>
      <c r="D70" s="1690"/>
      <c r="E70" s="1671">
        <v>3</v>
      </c>
      <c r="F70" s="542"/>
      <c r="G70" s="470"/>
      <c r="H70" s="396"/>
      <c r="I70" s="470"/>
      <c r="J70" s="470"/>
      <c r="K70" s="470"/>
    </row>
    <row r="71" spans="1:11" s="372" customFormat="1" ht="24" customHeight="1">
      <c r="A71" s="547"/>
      <c r="B71" s="1673"/>
      <c r="C71" s="554"/>
      <c r="D71" s="1690"/>
      <c r="E71" s="1675"/>
      <c r="F71" s="534" t="s">
        <v>2728</v>
      </c>
      <c r="G71" s="470"/>
      <c r="H71" s="396"/>
      <c r="I71" s="470"/>
      <c r="J71" s="470"/>
      <c r="K71" s="470"/>
    </row>
    <row r="72" spans="1:11" s="372" customFormat="1" ht="15.75" customHeight="1">
      <c r="A72" s="547"/>
      <c r="B72" s="1673"/>
      <c r="C72" s="554"/>
      <c r="D72" s="1690"/>
      <c r="E72" s="1671">
        <v>4</v>
      </c>
      <c r="F72" s="553"/>
      <c r="G72" s="470"/>
      <c r="H72" s="396"/>
      <c r="I72" s="470"/>
      <c r="J72" s="470"/>
      <c r="K72" s="470"/>
    </row>
    <row r="73" spans="1:11" s="372" customFormat="1" ht="24" customHeight="1">
      <c r="A73" s="547"/>
      <c r="B73" s="1673"/>
      <c r="C73" s="554"/>
      <c r="D73" s="1690"/>
      <c r="E73" s="1672"/>
      <c r="F73" s="542" t="s">
        <v>2684</v>
      </c>
      <c r="G73" s="470"/>
      <c r="H73" s="396"/>
      <c r="I73" s="470"/>
      <c r="J73" s="470"/>
      <c r="K73" s="470"/>
    </row>
    <row r="74" spans="1:11" s="372" customFormat="1" ht="15" customHeight="1">
      <c r="A74" s="547"/>
      <c r="B74" s="1673" t="s">
        <v>2158</v>
      </c>
      <c r="C74" s="554"/>
      <c r="D74" s="1673" t="s">
        <v>2651</v>
      </c>
      <c r="E74" s="1671">
        <v>1</v>
      </c>
      <c r="F74" s="556"/>
      <c r="G74" s="470"/>
      <c r="H74" s="396"/>
      <c r="I74" s="470"/>
      <c r="J74" s="470"/>
      <c r="K74" s="470"/>
    </row>
    <row r="75" spans="1:11" s="372" customFormat="1" ht="15" customHeight="1">
      <c r="A75" s="547"/>
      <c r="B75" s="1673"/>
      <c r="C75" s="554"/>
      <c r="D75" s="1673"/>
      <c r="E75" s="1672"/>
      <c r="F75" s="542" t="s">
        <v>2652</v>
      </c>
      <c r="G75" s="470"/>
      <c r="H75" s="396"/>
      <c r="I75" s="470"/>
      <c r="J75" s="470"/>
      <c r="K75" s="470"/>
    </row>
    <row r="76" spans="1:11" s="372" customFormat="1" ht="18.75" customHeight="1">
      <c r="A76" s="547"/>
      <c r="B76" s="1673"/>
      <c r="C76" s="554"/>
      <c r="D76" s="1673" t="s">
        <v>2653</v>
      </c>
      <c r="E76" s="1671">
        <v>1</v>
      </c>
      <c r="F76" s="556"/>
      <c r="G76" s="470"/>
      <c r="H76" s="396"/>
      <c r="I76" s="470"/>
      <c r="J76" s="470"/>
      <c r="K76" s="470"/>
    </row>
    <row r="77" spans="1:11" s="372" customFormat="1" ht="18.75" customHeight="1">
      <c r="A77" s="547"/>
      <c r="B77" s="1673"/>
      <c r="C77" s="554"/>
      <c r="D77" s="1673"/>
      <c r="E77" s="1675"/>
      <c r="F77" s="555" t="s">
        <v>2654</v>
      </c>
      <c r="G77" s="470"/>
      <c r="H77" s="396"/>
      <c r="I77" s="470"/>
      <c r="J77" s="470"/>
      <c r="K77" s="470"/>
    </row>
    <row r="78" spans="1:11" s="372" customFormat="1" ht="18.75" customHeight="1">
      <c r="A78" s="547"/>
      <c r="B78" s="1673"/>
      <c r="C78" s="554"/>
      <c r="D78" s="1673"/>
      <c r="E78" s="1671">
        <v>2</v>
      </c>
      <c r="F78" s="555"/>
      <c r="G78" s="470"/>
      <c r="H78" s="396"/>
      <c r="I78" s="470"/>
      <c r="J78" s="470"/>
      <c r="K78" s="470"/>
    </row>
    <row r="79" spans="1:11" s="372" customFormat="1" ht="18.75" customHeight="1">
      <c r="A79" s="547"/>
      <c r="B79" s="1673"/>
      <c r="C79" s="554"/>
      <c r="D79" s="1673"/>
      <c r="E79" s="1675"/>
      <c r="F79" s="555" t="s">
        <v>2655</v>
      </c>
      <c r="G79" s="470"/>
      <c r="H79" s="396"/>
      <c r="I79" s="470"/>
      <c r="J79" s="470"/>
      <c r="K79" s="470"/>
    </row>
    <row r="80" spans="1:11" s="372" customFormat="1" ht="18.75" customHeight="1">
      <c r="A80" s="547"/>
      <c r="B80" s="1673"/>
      <c r="C80" s="554"/>
      <c r="D80" s="1673"/>
      <c r="E80" s="1671">
        <v>3</v>
      </c>
      <c r="F80" s="555"/>
      <c r="G80" s="470"/>
      <c r="H80" s="396"/>
      <c r="I80" s="470"/>
      <c r="J80" s="470"/>
      <c r="K80" s="470"/>
    </row>
    <row r="81" spans="1:11" s="372" customFormat="1" ht="24" customHeight="1">
      <c r="A81" s="547"/>
      <c r="B81" s="1673"/>
      <c r="C81" s="554"/>
      <c r="D81" s="1673"/>
      <c r="E81" s="1675"/>
      <c r="F81" s="542" t="s">
        <v>2729</v>
      </c>
      <c r="G81" s="470"/>
      <c r="H81" s="396"/>
      <c r="I81" s="470"/>
      <c r="J81" s="470"/>
      <c r="K81" s="470"/>
    </row>
    <row r="82" spans="1:11" s="372" customFormat="1" ht="18.75" customHeight="1">
      <c r="A82" s="547"/>
      <c r="B82" s="1673"/>
      <c r="C82" s="554"/>
      <c r="D82" s="1673"/>
      <c r="E82" s="1671">
        <v>4</v>
      </c>
      <c r="F82" s="555"/>
      <c r="G82" s="470"/>
      <c r="H82" s="396"/>
      <c r="I82" s="470"/>
      <c r="J82" s="470"/>
      <c r="K82" s="470"/>
    </row>
    <row r="83" spans="1:11" s="372" customFormat="1" ht="25.5" customHeight="1">
      <c r="A83" s="547"/>
      <c r="B83" s="1673"/>
      <c r="C83" s="554"/>
      <c r="D83" s="1673"/>
      <c r="E83" s="1675"/>
      <c r="F83" s="555" t="s">
        <v>2656</v>
      </c>
      <c r="G83" s="470"/>
      <c r="H83" s="396"/>
      <c r="I83" s="470"/>
      <c r="J83" s="470"/>
      <c r="K83" s="470"/>
    </row>
    <row r="84" spans="1:11" s="372" customFormat="1" ht="18.75" customHeight="1">
      <c r="A84" s="547"/>
      <c r="B84" s="1673"/>
      <c r="C84" s="554"/>
      <c r="D84" s="1673"/>
      <c r="E84" s="1671">
        <v>5</v>
      </c>
      <c r="F84" s="556"/>
      <c r="G84" s="470"/>
      <c r="H84" s="396"/>
      <c r="I84" s="470"/>
      <c r="J84" s="470"/>
      <c r="K84" s="470"/>
    </row>
    <row r="85" spans="1:11" s="372" customFormat="1" ht="25.5" customHeight="1">
      <c r="A85" s="547"/>
      <c r="B85" s="1673"/>
      <c r="C85" s="554"/>
      <c r="D85" s="1673"/>
      <c r="E85" s="1672"/>
      <c r="F85" s="555" t="s">
        <v>2657</v>
      </c>
      <c r="G85" s="470"/>
      <c r="H85" s="396"/>
      <c r="I85" s="470"/>
      <c r="J85" s="470"/>
      <c r="K85" s="470"/>
    </row>
    <row r="86" spans="1:11" s="372" customFormat="1" ht="15" customHeight="1">
      <c r="A86" s="547"/>
      <c r="B86" s="1671" t="s">
        <v>2159</v>
      </c>
      <c r="C86" s="554"/>
      <c r="D86" s="1673" t="s">
        <v>2658</v>
      </c>
      <c r="E86" s="1671">
        <v>1</v>
      </c>
      <c r="F86" s="556"/>
      <c r="G86" s="470"/>
      <c r="H86" s="396"/>
      <c r="I86" s="470"/>
      <c r="J86" s="470"/>
      <c r="K86" s="470"/>
    </row>
    <row r="87" spans="1:11" s="372" customFormat="1" ht="30">
      <c r="A87" s="547"/>
      <c r="B87" s="1675"/>
      <c r="C87" s="554"/>
      <c r="D87" s="1673"/>
      <c r="E87" s="1672"/>
      <c r="F87" s="534" t="s">
        <v>2730</v>
      </c>
      <c r="G87" s="470"/>
      <c r="H87" s="396"/>
      <c r="I87" s="470"/>
      <c r="J87" s="470"/>
      <c r="K87" s="470"/>
    </row>
    <row r="88" spans="1:11" s="372" customFormat="1">
      <c r="A88" s="547"/>
      <c r="B88" s="1675"/>
      <c r="C88" s="554"/>
      <c r="D88" s="1673"/>
      <c r="E88" s="1671">
        <v>2</v>
      </c>
      <c r="F88" s="556"/>
      <c r="G88" s="470"/>
      <c r="H88" s="396"/>
      <c r="I88" s="470"/>
      <c r="J88" s="470"/>
      <c r="K88" s="470"/>
    </row>
    <row r="89" spans="1:11" s="372" customFormat="1" ht="32.25" customHeight="1">
      <c r="A89" s="547"/>
      <c r="B89" s="1675"/>
      <c r="C89" s="554"/>
      <c r="D89" s="1673"/>
      <c r="E89" s="1672"/>
      <c r="F89" s="542" t="s">
        <v>2659</v>
      </c>
      <c r="G89" s="470"/>
      <c r="H89" s="396"/>
      <c r="I89" s="470"/>
      <c r="J89" s="470"/>
      <c r="K89" s="470"/>
    </row>
    <row r="90" spans="1:11" s="372" customFormat="1">
      <c r="A90" s="547"/>
      <c r="B90" s="1675"/>
      <c r="C90" s="554"/>
      <c r="D90" s="1673"/>
      <c r="E90" s="1671">
        <v>3</v>
      </c>
      <c r="F90" s="556"/>
      <c r="G90" s="470"/>
      <c r="H90" s="396"/>
      <c r="I90" s="470"/>
      <c r="J90" s="470"/>
      <c r="K90" s="470"/>
    </row>
    <row r="91" spans="1:11" s="372" customFormat="1" ht="32.25" customHeight="1">
      <c r="A91" s="547"/>
      <c r="B91" s="1675"/>
      <c r="C91" s="554"/>
      <c r="D91" s="1673"/>
      <c r="E91" s="1672"/>
      <c r="F91" s="542" t="s">
        <v>2731</v>
      </c>
      <c r="G91" s="470"/>
      <c r="H91" s="396"/>
      <c r="I91" s="470"/>
      <c r="J91" s="470"/>
      <c r="K91" s="470"/>
    </row>
    <row r="92" spans="1:11" s="372" customFormat="1">
      <c r="A92" s="547"/>
      <c r="B92" s="1675"/>
      <c r="C92" s="554"/>
      <c r="D92" s="1673"/>
      <c r="E92" s="1671">
        <v>4</v>
      </c>
      <c r="F92" s="542"/>
      <c r="G92" s="470"/>
      <c r="H92" s="396"/>
      <c r="I92" s="470"/>
      <c r="J92" s="470"/>
      <c r="K92" s="470"/>
    </row>
    <row r="93" spans="1:11" s="372" customFormat="1">
      <c r="A93" s="547"/>
      <c r="B93" s="1675"/>
      <c r="C93" s="554"/>
      <c r="D93" s="1673"/>
      <c r="E93" s="1672"/>
      <c r="F93" s="542" t="s">
        <v>2660</v>
      </c>
      <c r="G93" s="470"/>
      <c r="H93" s="396"/>
      <c r="I93" s="470"/>
      <c r="J93" s="470"/>
      <c r="K93" s="470"/>
    </row>
    <row r="94" spans="1:11" s="372" customFormat="1">
      <c r="A94" s="547"/>
      <c r="B94" s="1675"/>
      <c r="C94" s="554"/>
      <c r="D94" s="1673" t="s">
        <v>2661</v>
      </c>
      <c r="E94" s="1671">
        <v>1</v>
      </c>
      <c r="F94" s="542"/>
      <c r="G94" s="470"/>
      <c r="H94" s="396"/>
      <c r="I94" s="470"/>
      <c r="J94" s="470"/>
      <c r="K94" s="470"/>
    </row>
    <row r="95" spans="1:11" s="372" customFormat="1" ht="28.5" customHeight="1">
      <c r="A95" s="547"/>
      <c r="B95" s="1675"/>
      <c r="C95" s="554"/>
      <c r="D95" s="1673"/>
      <c r="E95" s="1672"/>
      <c r="F95" s="542" t="s">
        <v>2732</v>
      </c>
      <c r="G95" s="470"/>
      <c r="H95" s="396"/>
      <c r="I95" s="470"/>
      <c r="J95" s="470"/>
      <c r="K95" s="470"/>
    </row>
    <row r="96" spans="1:11" s="372" customFormat="1">
      <c r="A96" s="547"/>
      <c r="B96" s="1675"/>
      <c r="C96" s="554"/>
      <c r="D96" s="1673"/>
      <c r="E96" s="1671">
        <v>2</v>
      </c>
      <c r="F96" s="542"/>
      <c r="G96" s="470"/>
      <c r="H96" s="396"/>
      <c r="I96" s="470"/>
      <c r="J96" s="470"/>
      <c r="K96" s="470"/>
    </row>
    <row r="97" spans="1:11" s="372" customFormat="1" ht="32.25" customHeight="1">
      <c r="A97" s="547"/>
      <c r="B97" s="1675"/>
      <c r="C97" s="554"/>
      <c r="D97" s="1673"/>
      <c r="E97" s="1672"/>
      <c r="F97" s="542" t="s">
        <v>2840</v>
      </c>
      <c r="G97" s="470"/>
      <c r="H97" s="396"/>
      <c r="I97" s="470"/>
      <c r="J97" s="470"/>
      <c r="K97" s="470"/>
    </row>
    <row r="98" spans="1:11" s="372" customFormat="1">
      <c r="A98" s="547"/>
      <c r="B98" s="1675"/>
      <c r="C98" s="554"/>
      <c r="D98" s="1673"/>
      <c r="E98" s="1671">
        <v>3</v>
      </c>
      <c r="F98" s="542"/>
      <c r="G98" s="470"/>
      <c r="H98" s="396"/>
      <c r="I98" s="470"/>
      <c r="J98" s="470"/>
      <c r="K98" s="470"/>
    </row>
    <row r="99" spans="1:11" s="372" customFormat="1" ht="32.25" customHeight="1">
      <c r="A99" s="547"/>
      <c r="B99" s="1675"/>
      <c r="C99" s="554"/>
      <c r="D99" s="1673"/>
      <c r="E99" s="1672"/>
      <c r="F99" s="542" t="s">
        <v>2841</v>
      </c>
      <c r="G99" s="470"/>
      <c r="H99" s="396"/>
      <c r="I99" s="470"/>
      <c r="J99" s="470"/>
      <c r="K99" s="470"/>
    </row>
    <row r="100" spans="1:11" s="372" customFormat="1">
      <c r="A100" s="547"/>
      <c r="B100" s="1675"/>
      <c r="C100" s="554"/>
      <c r="D100" s="1673"/>
      <c r="E100" s="1671">
        <v>4</v>
      </c>
      <c r="F100" s="542"/>
      <c r="G100" s="470"/>
      <c r="H100" s="396"/>
      <c r="I100" s="470"/>
      <c r="J100" s="470"/>
      <c r="K100" s="470"/>
    </row>
    <row r="101" spans="1:11" s="372" customFormat="1" ht="32.25" customHeight="1">
      <c r="A101" s="547"/>
      <c r="B101" s="1672"/>
      <c r="C101" s="554"/>
      <c r="D101" s="1673"/>
      <c r="E101" s="1672"/>
      <c r="F101" s="542" t="s">
        <v>2842</v>
      </c>
      <c r="G101" s="470"/>
      <c r="H101" s="396"/>
      <c r="I101" s="470"/>
      <c r="J101" s="470"/>
      <c r="K101" s="470"/>
    </row>
    <row r="102" spans="1:11" s="372" customFormat="1" ht="15" customHeight="1">
      <c r="A102" s="547"/>
      <c r="B102" s="1673" t="s">
        <v>2662</v>
      </c>
      <c r="C102" s="554"/>
      <c r="D102" s="1673" t="s">
        <v>504</v>
      </c>
      <c r="E102" s="1671">
        <v>1</v>
      </c>
      <c r="F102" s="542"/>
      <c r="G102" s="470"/>
      <c r="H102" s="396"/>
      <c r="I102" s="470"/>
      <c r="J102" s="470"/>
      <c r="K102" s="470"/>
    </row>
    <row r="103" spans="1:11" s="372" customFormat="1" ht="32.25" customHeight="1">
      <c r="A103" s="547"/>
      <c r="B103" s="1673"/>
      <c r="C103" s="554"/>
      <c r="D103" s="1673"/>
      <c r="E103" s="1672"/>
      <c r="F103" s="542" t="s">
        <v>2223</v>
      </c>
      <c r="G103" s="470"/>
      <c r="H103" s="396"/>
      <c r="I103" s="470"/>
      <c r="J103" s="470"/>
      <c r="K103" s="470"/>
    </row>
    <row r="104" spans="1:11" s="372" customFormat="1" ht="15" customHeight="1">
      <c r="A104" s="547"/>
      <c r="B104" s="1673"/>
      <c r="C104" s="554"/>
      <c r="D104" s="1690" t="s">
        <v>2663</v>
      </c>
      <c r="E104" s="1671">
        <v>1</v>
      </c>
      <c r="F104" s="542"/>
      <c r="G104" s="470"/>
      <c r="H104" s="396"/>
      <c r="I104" s="470"/>
      <c r="J104" s="470"/>
      <c r="K104" s="470"/>
    </row>
    <row r="105" spans="1:11" s="372" customFormat="1" ht="33" customHeight="1">
      <c r="A105" s="547"/>
      <c r="B105" s="1673"/>
      <c r="C105" s="554"/>
      <c r="D105" s="1690"/>
      <c r="E105" s="1672"/>
      <c r="F105" s="542" t="s">
        <v>2664</v>
      </c>
      <c r="G105" s="470"/>
      <c r="H105" s="396"/>
      <c r="I105" s="470"/>
      <c r="J105" s="470"/>
      <c r="K105" s="470"/>
    </row>
    <row r="106" spans="1:11" s="372" customFormat="1">
      <c r="A106" s="547"/>
      <c r="B106" s="1673"/>
      <c r="C106" s="554"/>
      <c r="D106" s="1690"/>
      <c r="E106" s="1671">
        <v>2</v>
      </c>
      <c r="F106" s="542"/>
      <c r="G106" s="470"/>
      <c r="H106" s="396"/>
      <c r="I106" s="470"/>
      <c r="J106" s="470"/>
      <c r="K106" s="470"/>
    </row>
    <row r="107" spans="1:11" s="372" customFormat="1" ht="32.25" customHeight="1">
      <c r="A107" s="547"/>
      <c r="B107" s="1673"/>
      <c r="C107" s="554"/>
      <c r="D107" s="1690"/>
      <c r="E107" s="1672"/>
      <c r="F107" s="542" t="s">
        <v>2665</v>
      </c>
      <c r="G107" s="470"/>
      <c r="H107" s="396"/>
      <c r="I107" s="470"/>
      <c r="J107" s="470"/>
      <c r="K107" s="470"/>
    </row>
    <row r="108" spans="1:11">
      <c r="A108" s="532"/>
      <c r="B108" s="9"/>
      <c r="C108" s="9"/>
      <c r="D108" s="67"/>
      <c r="E108" s="9"/>
      <c r="F108" s="67"/>
      <c r="G108" s="17"/>
      <c r="H108" s="17"/>
      <c r="I108" s="16"/>
      <c r="J108" s="16"/>
      <c r="K108" s="16"/>
    </row>
    <row r="109" spans="1:11">
      <c r="A109" s="532"/>
      <c r="B109" s="9"/>
      <c r="C109" s="9"/>
      <c r="D109" s="67"/>
      <c r="E109" s="9"/>
      <c r="F109" s="67"/>
      <c r="G109" s="17"/>
      <c r="H109" s="17"/>
      <c r="I109" s="16"/>
      <c r="J109" s="16"/>
      <c r="K109" s="16"/>
    </row>
    <row r="110" spans="1:11">
      <c r="A110" s="532"/>
      <c r="B110" s="9"/>
      <c r="C110" s="9"/>
      <c r="D110" s="67"/>
      <c r="E110" s="9"/>
      <c r="F110" s="67"/>
      <c r="G110" s="17"/>
      <c r="H110" s="17"/>
      <c r="I110" s="16"/>
      <c r="J110" s="16"/>
      <c r="K110" s="16"/>
    </row>
    <row r="111" spans="1:11">
      <c r="A111" s="532"/>
      <c r="B111" s="9"/>
      <c r="C111" s="9"/>
      <c r="D111" s="67"/>
      <c r="E111" s="9"/>
      <c r="F111" s="67"/>
      <c r="G111" s="17"/>
      <c r="H111" s="17"/>
      <c r="I111" s="16"/>
      <c r="J111" s="16"/>
      <c r="K111" s="16"/>
    </row>
    <row r="112" spans="1:11" ht="12" customHeight="1">
      <c r="A112" s="528"/>
      <c r="B112" s="529"/>
      <c r="C112" s="250"/>
      <c r="D112" s="226"/>
      <c r="E112" s="250"/>
      <c r="F112" s="226"/>
      <c r="G112" s="17"/>
      <c r="H112" s="17"/>
      <c r="I112" s="16">
        <v>24</v>
      </c>
      <c r="J112" s="16"/>
      <c r="K112" s="16">
        <v>2041</v>
      </c>
    </row>
    <row r="113" spans="1:14" s="221" customFormat="1" ht="12" customHeight="1">
      <c r="A113" s="1697" t="s">
        <v>626</v>
      </c>
      <c r="B113" s="1698"/>
      <c r="C113" s="1698"/>
      <c r="D113" s="1698"/>
      <c r="E113" s="1698"/>
      <c r="F113" s="1698"/>
      <c r="G113" s="1699"/>
      <c r="H113" s="530"/>
      <c r="I113" s="285">
        <v>25</v>
      </c>
      <c r="J113" s="285"/>
      <c r="K113" s="285">
        <v>2042</v>
      </c>
      <c r="L113" s="505"/>
      <c r="M113" s="536"/>
      <c r="N113" s="536"/>
    </row>
    <row r="114" spans="1:14" ht="19.5" customHeight="1">
      <c r="A114" s="557" t="s">
        <v>93</v>
      </c>
      <c r="B114" s="557" t="s">
        <v>508</v>
      </c>
      <c r="C114" s="557"/>
      <c r="D114" s="557" t="s">
        <v>503</v>
      </c>
      <c r="E114" s="557"/>
      <c r="F114" s="558" t="s">
        <v>405</v>
      </c>
      <c r="G114" s="557" t="s">
        <v>406</v>
      </c>
      <c r="H114" s="17"/>
      <c r="I114" s="16">
        <v>26</v>
      </c>
      <c r="J114" s="16"/>
      <c r="K114" s="16">
        <v>2043</v>
      </c>
    </row>
    <row r="115" spans="1:14" ht="12" customHeight="1">
      <c r="A115" s="551"/>
      <c r="B115" s="1671" t="s">
        <v>2634</v>
      </c>
      <c r="C115" s="541"/>
      <c r="D115" s="1671" t="s">
        <v>2733</v>
      </c>
      <c r="E115" s="1671"/>
      <c r="F115" s="1691" t="s">
        <v>2152</v>
      </c>
      <c r="G115" s="541"/>
      <c r="H115" s="17"/>
      <c r="I115" s="16">
        <v>27</v>
      </c>
      <c r="J115" s="16"/>
      <c r="K115" s="16">
        <v>2044</v>
      </c>
    </row>
    <row r="116" spans="1:14" ht="12" customHeight="1">
      <c r="A116" s="551"/>
      <c r="B116" s="1675"/>
      <c r="C116" s="541"/>
      <c r="D116" s="1675"/>
      <c r="E116" s="1675"/>
      <c r="F116" s="1692"/>
      <c r="G116" s="542" t="s">
        <v>2153</v>
      </c>
      <c r="H116" s="17"/>
      <c r="I116" s="16">
        <v>28</v>
      </c>
      <c r="J116" s="16"/>
      <c r="K116" s="16"/>
    </row>
    <row r="117" spans="1:14" ht="12" customHeight="1">
      <c r="A117" s="551"/>
      <c r="B117" s="1675"/>
      <c r="C117" s="541"/>
      <c r="D117" s="1675"/>
      <c r="E117" s="1675"/>
      <c r="F117" s="1692"/>
      <c r="G117" s="542" t="s">
        <v>777</v>
      </c>
      <c r="H117" s="17"/>
      <c r="I117" s="16">
        <v>29</v>
      </c>
      <c r="J117" s="16"/>
      <c r="K117" s="16"/>
    </row>
    <row r="118" spans="1:14" ht="12" customHeight="1">
      <c r="A118" s="551"/>
      <c r="B118" s="1675"/>
      <c r="C118" s="541"/>
      <c r="D118" s="1675"/>
      <c r="E118" s="1675"/>
      <c r="F118" s="1692"/>
      <c r="G118" s="542" t="s">
        <v>778</v>
      </c>
      <c r="H118" s="17"/>
      <c r="I118" s="16">
        <v>30</v>
      </c>
      <c r="J118" s="16"/>
      <c r="K118" s="16"/>
    </row>
    <row r="119" spans="1:14" ht="12" customHeight="1">
      <c r="A119" s="551"/>
      <c r="B119" s="1675"/>
      <c r="C119" s="541"/>
      <c r="D119" s="1675"/>
      <c r="E119" s="1675"/>
      <c r="F119" s="1692"/>
      <c r="G119" s="542" t="s">
        <v>622</v>
      </c>
      <c r="H119" s="17"/>
      <c r="I119" s="16">
        <v>31</v>
      </c>
      <c r="J119" s="16"/>
      <c r="K119" s="16"/>
    </row>
    <row r="120" spans="1:14" ht="12" customHeight="1">
      <c r="A120" s="551"/>
      <c r="B120" s="1675"/>
      <c r="C120" s="541"/>
      <c r="D120" s="1675"/>
      <c r="E120" s="1675"/>
      <c r="F120" s="1692"/>
      <c r="G120" s="542" t="s">
        <v>623</v>
      </c>
      <c r="H120" s="17"/>
      <c r="I120" s="16"/>
      <c r="J120" s="16"/>
      <c r="K120" s="16"/>
    </row>
    <row r="121" spans="1:14" ht="12" customHeight="1">
      <c r="A121" s="551"/>
      <c r="B121" s="1675"/>
      <c r="C121" s="541"/>
      <c r="D121" s="1675"/>
      <c r="E121" s="1675"/>
      <c r="F121" s="1692"/>
      <c r="G121" s="542" t="s">
        <v>624</v>
      </c>
      <c r="H121" s="17"/>
      <c r="I121" s="16"/>
      <c r="J121" s="16"/>
      <c r="K121" s="16"/>
    </row>
    <row r="122" spans="1:14" ht="12" customHeight="1">
      <c r="A122" s="551"/>
      <c r="B122" s="1672"/>
      <c r="C122" s="541"/>
      <c r="D122" s="1672"/>
      <c r="E122" s="1672"/>
      <c r="F122" s="1693"/>
      <c r="G122" s="542" t="s">
        <v>779</v>
      </c>
      <c r="H122" s="17"/>
      <c r="I122" s="16"/>
      <c r="J122" s="16"/>
      <c r="K122" s="16"/>
    </row>
    <row r="123" spans="1:14" ht="12" customHeight="1">
      <c r="A123" s="551"/>
      <c r="B123" s="1671" t="s">
        <v>2635</v>
      </c>
      <c r="C123" s="541"/>
      <c r="D123" s="1671" t="s">
        <v>2720</v>
      </c>
      <c r="E123" s="1671">
        <v>1</v>
      </c>
      <c r="F123" s="1691" t="s">
        <v>2636</v>
      </c>
      <c r="G123" s="541"/>
      <c r="H123" s="17"/>
      <c r="I123" s="16"/>
      <c r="J123" s="16"/>
      <c r="K123" s="17"/>
    </row>
    <row r="124" spans="1:14" ht="24" customHeight="1">
      <c r="A124" s="551"/>
      <c r="B124" s="1675"/>
      <c r="C124" s="541"/>
      <c r="D124" s="1675"/>
      <c r="E124" s="1675"/>
      <c r="F124" s="1693"/>
      <c r="G124" s="542" t="s">
        <v>2666</v>
      </c>
      <c r="H124" s="17"/>
      <c r="I124" s="16"/>
      <c r="J124" s="16"/>
      <c r="K124" s="17"/>
      <c r="L124" s="1696" t="s">
        <v>2160</v>
      </c>
    </row>
    <row r="125" spans="1:14" ht="27.75" customHeight="1">
      <c r="A125" s="551"/>
      <c r="B125" s="1675"/>
      <c r="C125" s="541"/>
      <c r="D125" s="1675"/>
      <c r="E125" s="1675"/>
      <c r="F125" s="1691" t="s">
        <v>2637</v>
      </c>
      <c r="G125" s="542" t="s">
        <v>2667</v>
      </c>
      <c r="H125" s="17"/>
      <c r="I125" s="16"/>
      <c r="J125" s="16"/>
      <c r="K125" s="17"/>
      <c r="L125" s="1696"/>
    </row>
    <row r="126" spans="1:14" ht="27.75" customHeight="1">
      <c r="A126" s="551"/>
      <c r="B126" s="1675"/>
      <c r="C126" s="541"/>
      <c r="D126" s="1675"/>
      <c r="E126" s="1675"/>
      <c r="F126" s="1692"/>
      <c r="G126" s="542" t="s">
        <v>2668</v>
      </c>
      <c r="H126" s="17"/>
      <c r="I126" s="16"/>
      <c r="J126" s="16"/>
      <c r="K126" s="17"/>
      <c r="L126" s="1696"/>
    </row>
    <row r="127" spans="1:14" ht="27.75" customHeight="1">
      <c r="A127" s="551"/>
      <c r="B127" s="1675"/>
      <c r="C127" s="541"/>
      <c r="D127" s="1675"/>
      <c r="E127" s="1675"/>
      <c r="F127" s="1692"/>
      <c r="G127" s="542" t="s">
        <v>2669</v>
      </c>
      <c r="H127" s="17"/>
      <c r="I127" s="16"/>
      <c r="J127" s="16"/>
      <c r="K127" s="17"/>
      <c r="L127" s="1696"/>
    </row>
    <row r="128" spans="1:14" ht="12" customHeight="1">
      <c r="A128" s="551"/>
      <c r="B128" s="1675"/>
      <c r="C128" s="541"/>
      <c r="D128" s="1675"/>
      <c r="E128" s="1675"/>
      <c r="F128" s="1691" t="s">
        <v>2638</v>
      </c>
      <c r="G128" s="542"/>
      <c r="H128" s="17"/>
      <c r="I128" s="16"/>
      <c r="J128" s="16"/>
      <c r="K128" s="17"/>
      <c r="L128" s="1696"/>
    </row>
    <row r="129" spans="1:12" ht="12" customHeight="1">
      <c r="A129" s="551"/>
      <c r="B129" s="1675"/>
      <c r="C129" s="541"/>
      <c r="D129" s="1675"/>
      <c r="E129" s="1675"/>
      <c r="F129" s="1692"/>
      <c r="G129" s="542" t="s">
        <v>2696</v>
      </c>
      <c r="H129" s="17"/>
      <c r="I129" s="16"/>
      <c r="J129" s="16"/>
      <c r="K129" s="17"/>
      <c r="L129" s="1696"/>
    </row>
    <row r="130" spans="1:12" ht="12" customHeight="1">
      <c r="A130" s="551"/>
      <c r="B130" s="1675"/>
      <c r="C130" s="541"/>
      <c r="D130" s="1675"/>
      <c r="E130" s="1675"/>
      <c r="F130" s="1693"/>
      <c r="G130" s="542" t="s">
        <v>2734</v>
      </c>
      <c r="H130" s="17"/>
      <c r="I130" s="16"/>
      <c r="J130" s="16"/>
      <c r="K130" s="17"/>
      <c r="L130" s="1696"/>
    </row>
    <row r="131" spans="1:12" ht="15" customHeight="1">
      <c r="A131" s="551"/>
      <c r="B131" s="1675"/>
      <c r="C131" s="541"/>
      <c r="D131" s="1675"/>
      <c r="E131" s="1675"/>
      <c r="F131" s="1691" t="s">
        <v>2721</v>
      </c>
      <c r="G131" s="533"/>
      <c r="H131" s="17"/>
      <c r="I131" s="16"/>
      <c r="J131" s="16"/>
      <c r="K131" s="17"/>
      <c r="L131" s="1696"/>
    </row>
    <row r="132" spans="1:12" ht="24.75" customHeight="1">
      <c r="A132" s="551"/>
      <c r="B132" s="1672"/>
      <c r="C132" s="541"/>
      <c r="D132" s="1672"/>
      <c r="E132" s="1675"/>
      <c r="F132" s="1693"/>
      <c r="G132" s="533" t="s">
        <v>2697</v>
      </c>
      <c r="H132" s="17"/>
      <c r="I132" s="16"/>
      <c r="J132" s="16"/>
      <c r="K132" s="17"/>
      <c r="L132" s="1696"/>
    </row>
    <row r="133" spans="1:12" ht="22.5" customHeight="1">
      <c r="A133" s="551"/>
      <c r="B133" s="1671" t="s">
        <v>2157</v>
      </c>
      <c r="C133" s="541"/>
      <c r="D133" s="1671" t="s">
        <v>2639</v>
      </c>
      <c r="E133" s="1675"/>
      <c r="F133" s="1691" t="s">
        <v>2640</v>
      </c>
      <c r="G133" s="541"/>
      <c r="H133" s="17"/>
      <c r="I133" s="16"/>
      <c r="J133" s="16"/>
      <c r="K133" s="17"/>
      <c r="L133" s="1696"/>
    </row>
    <row r="134" spans="1:12" ht="26.25" customHeight="1">
      <c r="A134" s="551"/>
      <c r="B134" s="1675"/>
      <c r="C134" s="541"/>
      <c r="D134" s="1675"/>
      <c r="E134" s="1675"/>
      <c r="F134" s="1693"/>
      <c r="G134" s="559" t="s">
        <v>2735</v>
      </c>
      <c r="H134" s="17"/>
      <c r="I134" s="16"/>
      <c r="J134" s="16"/>
      <c r="K134" s="17"/>
      <c r="L134" s="1696"/>
    </row>
    <row r="135" spans="1:12" ht="22.5" customHeight="1">
      <c r="A135" s="551"/>
      <c r="B135" s="1675"/>
      <c r="C135" s="541"/>
      <c r="D135" s="1675"/>
      <c r="E135" s="1675"/>
      <c r="F135" s="1691" t="s">
        <v>2722</v>
      </c>
      <c r="G135" s="559"/>
      <c r="H135" s="17"/>
      <c r="I135" s="16"/>
      <c r="J135" s="16"/>
      <c r="K135" s="17"/>
      <c r="L135" s="1696"/>
    </row>
    <row r="136" spans="1:12" ht="24.75" customHeight="1">
      <c r="A136" s="551"/>
      <c r="B136" s="1675"/>
      <c r="C136" s="541"/>
      <c r="D136" s="1672"/>
      <c r="E136" s="1675"/>
      <c r="F136" s="1693"/>
      <c r="G136" s="559" t="s">
        <v>2154</v>
      </c>
      <c r="H136" s="17"/>
      <c r="I136" s="16"/>
      <c r="J136" s="16"/>
      <c r="K136" s="17"/>
      <c r="L136" s="1696"/>
    </row>
    <row r="137" spans="1:12" ht="15" customHeight="1">
      <c r="A137" s="551"/>
      <c r="B137" s="1675"/>
      <c r="C137" s="541"/>
      <c r="D137" s="1671" t="s">
        <v>2670</v>
      </c>
      <c r="E137" s="1675"/>
      <c r="F137" s="1691" t="s">
        <v>2736</v>
      </c>
      <c r="G137" s="551"/>
      <c r="H137" s="17"/>
      <c r="I137" s="16"/>
      <c r="J137" s="16"/>
      <c r="K137" s="17"/>
      <c r="L137" s="1696"/>
    </row>
    <row r="138" spans="1:12" ht="15" customHeight="1">
      <c r="A138" s="551"/>
      <c r="B138" s="1675"/>
      <c r="C138" s="541"/>
      <c r="D138" s="1675"/>
      <c r="E138" s="1675"/>
      <c r="F138" s="1692"/>
      <c r="G138" s="551" t="s">
        <v>2161</v>
      </c>
      <c r="H138" s="17"/>
      <c r="I138" s="16"/>
      <c r="J138" s="16"/>
      <c r="K138" s="17"/>
      <c r="L138" s="1696"/>
    </row>
    <row r="139" spans="1:12" ht="24.75" customHeight="1">
      <c r="A139" s="551"/>
      <c r="B139" s="1675"/>
      <c r="C139" s="541"/>
      <c r="D139" s="1675"/>
      <c r="E139" s="1675"/>
      <c r="F139" s="1692"/>
      <c r="G139" s="560" t="s">
        <v>2162</v>
      </c>
      <c r="H139" s="17"/>
      <c r="I139" s="16"/>
      <c r="J139" s="16"/>
      <c r="K139" s="17"/>
      <c r="L139" s="1696"/>
    </row>
    <row r="140" spans="1:12" ht="24.75" customHeight="1">
      <c r="A140" s="551"/>
      <c r="B140" s="1675"/>
      <c r="C140" s="541"/>
      <c r="D140" s="1675"/>
      <c r="E140" s="1675"/>
      <c r="F140" s="1692"/>
      <c r="G140" s="560" t="s">
        <v>2163</v>
      </c>
      <c r="H140" s="17"/>
      <c r="I140" s="16"/>
      <c r="J140" s="16"/>
      <c r="K140" s="17"/>
      <c r="L140" s="1696"/>
    </row>
    <row r="141" spans="1:12" ht="24.75" customHeight="1">
      <c r="A141" s="551"/>
      <c r="B141" s="1675"/>
      <c r="C141" s="541"/>
      <c r="D141" s="1675"/>
      <c r="E141" s="1675"/>
      <c r="F141" s="1692"/>
      <c r="G141" s="560" t="s">
        <v>2164</v>
      </c>
      <c r="H141" s="17"/>
      <c r="I141" s="16"/>
      <c r="J141" s="16"/>
      <c r="K141" s="17"/>
      <c r="L141" s="1696"/>
    </row>
    <row r="142" spans="1:12" ht="15.75" customHeight="1">
      <c r="A142" s="551"/>
      <c r="B142" s="1675"/>
      <c r="C142" s="541"/>
      <c r="D142" s="1675"/>
      <c r="E142" s="1675"/>
      <c r="F142" s="1692"/>
      <c r="G142" s="560" t="s">
        <v>2179</v>
      </c>
      <c r="H142" s="17"/>
      <c r="I142" s="16"/>
      <c r="J142" s="16"/>
      <c r="K142" s="17"/>
      <c r="L142" s="1696"/>
    </row>
    <row r="143" spans="1:12" ht="28.5" customHeight="1">
      <c r="A143" s="551"/>
      <c r="B143" s="1675"/>
      <c r="C143" s="541"/>
      <c r="D143" s="1675"/>
      <c r="E143" s="1675"/>
      <c r="F143" s="1692"/>
      <c r="G143" s="560" t="s">
        <v>2165</v>
      </c>
      <c r="H143" s="17"/>
      <c r="I143" s="16"/>
      <c r="J143" s="16"/>
      <c r="K143" s="17"/>
      <c r="L143" s="1696"/>
    </row>
    <row r="144" spans="1:12" ht="15" customHeight="1">
      <c r="A144" s="551"/>
      <c r="B144" s="1675"/>
      <c r="C144" s="541"/>
      <c r="D144" s="1675"/>
      <c r="E144" s="1675"/>
      <c r="F144" s="1692"/>
      <c r="G144" s="560" t="s">
        <v>2166</v>
      </c>
      <c r="H144" s="17"/>
      <c r="I144" s="16"/>
      <c r="J144" s="16"/>
      <c r="K144" s="17"/>
      <c r="L144" s="1696"/>
    </row>
    <row r="145" spans="1:12" ht="15" customHeight="1">
      <c r="A145" s="551"/>
      <c r="B145" s="1675"/>
      <c r="C145" s="541"/>
      <c r="D145" s="1675"/>
      <c r="E145" s="1675"/>
      <c r="F145" s="1692"/>
      <c r="G145" s="560" t="s">
        <v>2167</v>
      </c>
      <c r="H145" s="17"/>
      <c r="I145" s="16"/>
      <c r="J145" s="16"/>
      <c r="K145" s="17"/>
      <c r="L145" s="1696"/>
    </row>
    <row r="146" spans="1:12" ht="15" customHeight="1">
      <c r="A146" s="551"/>
      <c r="B146" s="1675"/>
      <c r="C146" s="541"/>
      <c r="D146" s="1675"/>
      <c r="E146" s="1675"/>
      <c r="F146" s="1692"/>
      <c r="G146" s="560" t="s">
        <v>2168</v>
      </c>
      <c r="H146" s="17"/>
      <c r="I146" s="16"/>
      <c r="J146" s="16"/>
      <c r="K146" s="17"/>
      <c r="L146" s="1696"/>
    </row>
    <row r="147" spans="1:12" ht="24" customHeight="1">
      <c r="A147" s="551"/>
      <c r="B147" s="1675"/>
      <c r="C147" s="541"/>
      <c r="D147" s="1675"/>
      <c r="E147" s="1675"/>
      <c r="F147" s="1692"/>
      <c r="G147" s="560" t="s">
        <v>2169</v>
      </c>
      <c r="H147" s="17"/>
      <c r="I147" s="16"/>
      <c r="J147" s="16"/>
      <c r="K147" s="17"/>
      <c r="L147" s="1696"/>
    </row>
    <row r="148" spans="1:12" ht="24" customHeight="1">
      <c r="A148" s="551"/>
      <c r="B148" s="1675"/>
      <c r="C148" s="541"/>
      <c r="D148" s="1675"/>
      <c r="E148" s="1675"/>
      <c r="F148" s="1692"/>
      <c r="G148" s="560" t="s">
        <v>2170</v>
      </c>
      <c r="H148" s="17"/>
      <c r="I148" s="16"/>
      <c r="J148" s="16"/>
      <c r="K148" s="17"/>
      <c r="L148" s="1696"/>
    </row>
    <row r="149" spans="1:12" ht="24" customHeight="1">
      <c r="A149" s="551"/>
      <c r="B149" s="1675"/>
      <c r="C149" s="541"/>
      <c r="D149" s="1675"/>
      <c r="E149" s="1675"/>
      <c r="F149" s="1692"/>
      <c r="G149" s="560" t="s">
        <v>2171</v>
      </c>
      <c r="H149" s="17"/>
      <c r="I149" s="16"/>
      <c r="J149" s="16"/>
      <c r="K149" s="17"/>
      <c r="L149" s="1696"/>
    </row>
    <row r="150" spans="1:12" ht="24" customHeight="1">
      <c r="A150" s="551"/>
      <c r="B150" s="1675"/>
      <c r="C150" s="541"/>
      <c r="D150" s="1675"/>
      <c r="E150" s="1675"/>
      <c r="F150" s="1692"/>
      <c r="G150" s="560" t="s">
        <v>2172</v>
      </c>
      <c r="H150" s="17"/>
      <c r="I150" s="16"/>
      <c r="J150" s="16"/>
      <c r="K150" s="17"/>
      <c r="L150" s="1696"/>
    </row>
    <row r="151" spans="1:12" ht="15.75" customHeight="1">
      <c r="A151" s="551"/>
      <c r="B151" s="1675"/>
      <c r="C151" s="541"/>
      <c r="D151" s="1675"/>
      <c r="E151" s="1675"/>
      <c r="F151" s="1692"/>
      <c r="G151" s="560" t="s">
        <v>2173</v>
      </c>
      <c r="H151" s="17"/>
      <c r="I151" s="16"/>
      <c r="J151" s="16"/>
      <c r="K151" s="17"/>
      <c r="L151" s="1696"/>
    </row>
    <row r="152" spans="1:12" ht="24" customHeight="1">
      <c r="A152" s="551"/>
      <c r="B152" s="1675"/>
      <c r="C152" s="541"/>
      <c r="D152" s="1675"/>
      <c r="E152" s="1675"/>
      <c r="F152" s="1692"/>
      <c r="G152" s="560" t="s">
        <v>2174</v>
      </c>
      <c r="H152" s="17"/>
      <c r="I152" s="16"/>
      <c r="J152" s="16"/>
      <c r="K152" s="17"/>
      <c r="L152" s="1696"/>
    </row>
    <row r="153" spans="1:12" ht="15" customHeight="1">
      <c r="A153" s="551"/>
      <c r="B153" s="1675"/>
      <c r="C153" s="541"/>
      <c r="D153" s="1675"/>
      <c r="E153" s="1675"/>
      <c r="F153" s="1692"/>
      <c r="G153" s="560" t="s">
        <v>2175</v>
      </c>
      <c r="H153" s="17"/>
      <c r="I153" s="16"/>
      <c r="J153" s="16"/>
      <c r="K153" s="17"/>
      <c r="L153" s="1696"/>
    </row>
    <row r="154" spans="1:12" ht="15" customHeight="1">
      <c r="A154" s="551"/>
      <c r="B154" s="1675"/>
      <c r="C154" s="541"/>
      <c r="D154" s="1675"/>
      <c r="E154" s="1675"/>
      <c r="F154" s="1692"/>
      <c r="G154" s="560" t="s">
        <v>2176</v>
      </c>
      <c r="H154" s="17"/>
      <c r="I154" s="16"/>
      <c r="J154" s="16"/>
      <c r="K154" s="17"/>
      <c r="L154" s="1696"/>
    </row>
    <row r="155" spans="1:12" ht="15" customHeight="1">
      <c r="A155" s="551"/>
      <c r="B155" s="1675"/>
      <c r="C155" s="541"/>
      <c r="D155" s="1675"/>
      <c r="E155" s="1675"/>
      <c r="F155" s="1693"/>
      <c r="G155" s="560" t="s">
        <v>2177</v>
      </c>
      <c r="H155" s="17"/>
      <c r="I155" s="16"/>
      <c r="J155" s="16"/>
      <c r="K155" s="17"/>
      <c r="L155" s="1696"/>
    </row>
    <row r="156" spans="1:12" ht="23.25" customHeight="1">
      <c r="A156" s="551"/>
      <c r="B156" s="1675"/>
      <c r="C156" s="541"/>
      <c r="D156" s="1675"/>
      <c r="E156" s="1675"/>
      <c r="F156" s="1691" t="s">
        <v>2790</v>
      </c>
      <c r="G156" s="536"/>
      <c r="H156" s="17"/>
      <c r="I156" s="16"/>
      <c r="J156" s="16"/>
      <c r="K156" s="17"/>
      <c r="L156" s="1696"/>
    </row>
    <row r="157" spans="1:12" ht="23.25" customHeight="1">
      <c r="A157" s="551"/>
      <c r="B157" s="1675"/>
      <c r="C157" s="541"/>
      <c r="D157" s="1675"/>
      <c r="E157" s="1675"/>
      <c r="F157" s="1692"/>
      <c r="G157" s="561" t="s">
        <v>2161</v>
      </c>
      <c r="H157" s="17"/>
      <c r="I157" s="16"/>
      <c r="J157" s="16"/>
      <c r="K157" s="17"/>
      <c r="L157" s="1696"/>
    </row>
    <row r="158" spans="1:12" ht="23.25" customHeight="1">
      <c r="A158" s="551"/>
      <c r="B158" s="1675"/>
      <c r="C158" s="541"/>
      <c r="D158" s="1675"/>
      <c r="E158" s="1675"/>
      <c r="F158" s="1692"/>
      <c r="G158" s="560" t="s">
        <v>2618</v>
      </c>
      <c r="H158" s="17"/>
      <c r="I158" s="16"/>
      <c r="J158" s="16"/>
      <c r="K158" s="17"/>
      <c r="L158" s="1696"/>
    </row>
    <row r="159" spans="1:12" ht="23.25" customHeight="1">
      <c r="A159" s="551"/>
      <c r="B159" s="1675"/>
      <c r="C159" s="541"/>
      <c r="D159" s="1675"/>
      <c r="E159" s="1675"/>
      <c r="F159" s="1692"/>
      <c r="G159" s="560" t="s">
        <v>2268</v>
      </c>
      <c r="H159" s="17"/>
      <c r="I159" s="16"/>
      <c r="J159" s="16"/>
      <c r="K159" s="17"/>
      <c r="L159" s="1696"/>
    </row>
    <row r="160" spans="1:12" ht="23.25" customHeight="1">
      <c r="A160" s="551"/>
      <c r="B160" s="1675"/>
      <c r="C160" s="541"/>
      <c r="D160" s="1672"/>
      <c r="E160" s="1675"/>
      <c r="F160" s="1693"/>
      <c r="G160" s="560" t="s">
        <v>2671</v>
      </c>
      <c r="H160" s="17"/>
      <c r="I160" s="16"/>
      <c r="J160" s="16"/>
      <c r="K160" s="17"/>
      <c r="L160" s="1696"/>
    </row>
    <row r="161" spans="1:12" ht="23.25" customHeight="1">
      <c r="A161" s="551"/>
      <c r="B161" s="1675"/>
      <c r="C161" s="541"/>
      <c r="D161" s="1671" t="s">
        <v>2642</v>
      </c>
      <c r="E161" s="1675"/>
      <c r="F161" s="1691" t="s">
        <v>2788</v>
      </c>
      <c r="G161" s="404"/>
      <c r="H161" s="17"/>
      <c r="I161" s="16"/>
      <c r="J161" s="16"/>
      <c r="K161" s="17"/>
      <c r="L161" s="1696"/>
    </row>
    <row r="162" spans="1:12" ht="23.25" customHeight="1">
      <c r="A162" s="551"/>
      <c r="B162" s="1675"/>
      <c r="C162" s="541"/>
      <c r="D162" s="1675"/>
      <c r="E162" s="1675"/>
      <c r="F162" s="1693"/>
      <c r="G162" s="536" t="s">
        <v>2610</v>
      </c>
      <c r="H162" s="17"/>
      <c r="I162" s="16"/>
      <c r="J162" s="16"/>
      <c r="K162" s="17"/>
      <c r="L162" s="1696"/>
    </row>
    <row r="163" spans="1:12" ht="23.25" customHeight="1">
      <c r="A163" s="551"/>
      <c r="B163" s="1675"/>
      <c r="C163" s="541"/>
      <c r="D163" s="1675"/>
      <c r="E163" s="1675"/>
      <c r="F163" s="1691" t="s">
        <v>2672</v>
      </c>
      <c r="G163" s="560"/>
      <c r="H163" s="17"/>
      <c r="I163" s="16"/>
      <c r="J163" s="16"/>
      <c r="K163" s="17"/>
      <c r="L163" s="1696"/>
    </row>
    <row r="164" spans="1:12" ht="23.25" customHeight="1">
      <c r="A164" s="551"/>
      <c r="B164" s="1675"/>
      <c r="C164" s="541"/>
      <c r="D164" s="1675"/>
      <c r="E164" s="1675"/>
      <c r="F164" s="1692"/>
      <c r="G164" s="560" t="s">
        <v>2618</v>
      </c>
      <c r="H164" s="17"/>
      <c r="I164" s="16"/>
      <c r="J164" s="16"/>
      <c r="K164" s="17"/>
      <c r="L164" s="1696"/>
    </row>
    <row r="165" spans="1:12" ht="15" customHeight="1">
      <c r="A165" s="551"/>
      <c r="B165" s="1675"/>
      <c r="C165" s="541"/>
      <c r="D165" s="1675"/>
      <c r="E165" s="1675"/>
      <c r="F165" s="1692"/>
      <c r="G165" s="560" t="s">
        <v>2268</v>
      </c>
      <c r="H165" s="17"/>
      <c r="I165" s="16"/>
      <c r="J165" s="16"/>
      <c r="K165" s="17"/>
      <c r="L165" s="1696"/>
    </row>
    <row r="166" spans="1:12" ht="25.5" customHeight="1">
      <c r="A166" s="551"/>
      <c r="B166" s="1675"/>
      <c r="C166" s="541"/>
      <c r="D166" s="1672"/>
      <c r="E166" s="1675"/>
      <c r="F166" s="1693"/>
      <c r="G166" s="560" t="s">
        <v>2671</v>
      </c>
      <c r="H166" s="17"/>
      <c r="I166" s="16"/>
      <c r="J166" s="16"/>
      <c r="K166" s="17"/>
      <c r="L166" s="1696"/>
    </row>
    <row r="167" spans="1:12" ht="15" customHeight="1">
      <c r="A167" s="551"/>
      <c r="B167" s="1675"/>
      <c r="C167" s="541"/>
      <c r="D167" s="1671" t="s">
        <v>2670</v>
      </c>
      <c r="E167" s="1675"/>
      <c r="F167" s="562"/>
      <c r="G167" s="551"/>
      <c r="H167" s="17"/>
      <c r="I167" s="16"/>
      <c r="J167" s="16"/>
      <c r="K167" s="17"/>
      <c r="L167" s="1696"/>
    </row>
    <row r="168" spans="1:12" ht="15" customHeight="1">
      <c r="A168" s="551"/>
      <c r="B168" s="1675"/>
      <c r="C168" s="541"/>
      <c r="D168" s="1675"/>
      <c r="E168" s="1675"/>
      <c r="F168" s="1689" t="s">
        <v>2673</v>
      </c>
      <c r="G168" s="551" t="s">
        <v>2178</v>
      </c>
      <c r="H168" s="17"/>
      <c r="I168" s="16"/>
      <c r="J168" s="16"/>
      <c r="K168" s="17"/>
      <c r="L168" s="1696"/>
    </row>
    <row r="169" spans="1:12" ht="15" customHeight="1">
      <c r="A169" s="551"/>
      <c r="B169" s="1675"/>
      <c r="C169" s="541"/>
      <c r="D169" s="1675"/>
      <c r="E169" s="1675"/>
      <c r="F169" s="1689"/>
      <c r="G169" s="560" t="s">
        <v>2164</v>
      </c>
      <c r="H169" s="17"/>
      <c r="I169" s="16"/>
      <c r="J169" s="16"/>
      <c r="K169" s="17"/>
      <c r="L169" s="1696"/>
    </row>
    <row r="170" spans="1:12" ht="15" customHeight="1">
      <c r="A170" s="551"/>
      <c r="B170" s="1675"/>
      <c r="C170" s="541"/>
      <c r="D170" s="1675"/>
      <c r="E170" s="1675"/>
      <c r="F170" s="1689"/>
      <c r="G170" s="560" t="s">
        <v>2179</v>
      </c>
      <c r="H170" s="17"/>
      <c r="I170" s="16"/>
      <c r="J170" s="16"/>
      <c r="K170" s="17"/>
      <c r="L170" s="1696"/>
    </row>
    <row r="171" spans="1:12" ht="15" customHeight="1">
      <c r="A171" s="551"/>
      <c r="B171" s="1675"/>
      <c r="C171" s="541"/>
      <c r="D171" s="1675"/>
      <c r="E171" s="1675"/>
      <c r="F171" s="1689"/>
      <c r="G171" s="560" t="s">
        <v>2180</v>
      </c>
      <c r="H171" s="17"/>
      <c r="I171" s="16"/>
      <c r="J171" s="16"/>
      <c r="K171" s="17"/>
      <c r="L171" s="1696"/>
    </row>
    <row r="172" spans="1:12" ht="15" customHeight="1">
      <c r="A172" s="551"/>
      <c r="B172" s="1675"/>
      <c r="C172" s="541"/>
      <c r="D172" s="1675"/>
      <c r="E172" s="1675"/>
      <c r="F172" s="1689"/>
      <c r="G172" s="560" t="s">
        <v>2180</v>
      </c>
      <c r="H172" s="17"/>
      <c r="I172" s="16"/>
      <c r="J172" s="16"/>
      <c r="K172" s="17"/>
      <c r="L172" s="1695" t="s">
        <v>2181</v>
      </c>
    </row>
    <row r="173" spans="1:12" ht="15" customHeight="1">
      <c r="A173" s="551"/>
      <c r="B173" s="1675"/>
      <c r="C173" s="541"/>
      <c r="D173" s="1675"/>
      <c r="E173" s="1675"/>
      <c r="F173" s="1689"/>
      <c r="G173" s="560" t="s">
        <v>2182</v>
      </c>
      <c r="H173" s="17"/>
      <c r="I173" s="16"/>
      <c r="J173" s="16"/>
      <c r="K173" s="17"/>
      <c r="L173" s="1695"/>
    </row>
    <row r="174" spans="1:12" ht="15" customHeight="1">
      <c r="A174" s="551"/>
      <c r="B174" s="1675"/>
      <c r="C174" s="541"/>
      <c r="D174" s="1675"/>
      <c r="E174" s="1675"/>
      <c r="F174" s="1689"/>
      <c r="G174" s="560" t="s">
        <v>2183</v>
      </c>
      <c r="H174" s="17"/>
      <c r="I174" s="16"/>
      <c r="J174" s="16"/>
      <c r="K174" s="17"/>
      <c r="L174" s="1695"/>
    </row>
    <row r="175" spans="1:12" ht="15" customHeight="1">
      <c r="A175" s="551"/>
      <c r="B175" s="1675"/>
      <c r="C175" s="541"/>
      <c r="D175" s="1675"/>
      <c r="E175" s="1675"/>
      <c r="F175" s="1689"/>
      <c r="G175" s="560" t="s">
        <v>2184</v>
      </c>
      <c r="H175" s="17"/>
      <c r="I175" s="16"/>
      <c r="J175" s="16"/>
      <c r="K175" s="17"/>
      <c r="L175" s="1695"/>
    </row>
    <row r="176" spans="1:12" ht="12" customHeight="1">
      <c r="A176" s="551"/>
      <c r="B176" s="1675"/>
      <c r="C176" s="541"/>
      <c r="D176" s="1675"/>
      <c r="E176" s="1675"/>
      <c r="F176" s="1689"/>
      <c r="G176" s="560" t="s">
        <v>2185</v>
      </c>
      <c r="H176" s="17"/>
      <c r="I176" s="16"/>
      <c r="J176" s="16"/>
      <c r="K176" s="17"/>
      <c r="L176" s="1695"/>
    </row>
    <row r="177" spans="1:12" ht="12" customHeight="1">
      <c r="A177" s="551"/>
      <c r="B177" s="1675"/>
      <c r="C177" s="541"/>
      <c r="D177" s="1675"/>
      <c r="E177" s="1672"/>
      <c r="F177" s="1689"/>
      <c r="G177" s="560" t="s">
        <v>2186</v>
      </c>
      <c r="H177" s="17"/>
      <c r="I177" s="16"/>
      <c r="J177" s="16"/>
      <c r="K177" s="17"/>
      <c r="L177" s="1695"/>
    </row>
    <row r="178" spans="1:12" ht="12" customHeight="1">
      <c r="A178" s="547"/>
      <c r="B178" s="1675"/>
      <c r="C178" s="554"/>
      <c r="D178" s="1675"/>
      <c r="E178" s="554"/>
      <c r="F178" s="1689"/>
      <c r="G178" s="560" t="s">
        <v>2187</v>
      </c>
      <c r="H178" s="17"/>
      <c r="I178" s="16"/>
      <c r="J178" s="16"/>
      <c r="K178" s="17"/>
      <c r="L178" s="64"/>
    </row>
    <row r="179" spans="1:12" ht="12" customHeight="1">
      <c r="A179" s="547"/>
      <c r="B179" s="1675"/>
      <c r="C179" s="554"/>
      <c r="D179" s="1675"/>
      <c r="E179" s="554"/>
      <c r="F179" s="1689"/>
      <c r="G179" s="560" t="s">
        <v>2188</v>
      </c>
      <c r="H179" s="17"/>
      <c r="I179" s="16"/>
      <c r="J179" s="16"/>
      <c r="K179" s="17"/>
      <c r="L179" s="64"/>
    </row>
    <row r="180" spans="1:12" ht="12" customHeight="1">
      <c r="A180" s="547"/>
      <c r="B180" s="1675"/>
      <c r="C180" s="554"/>
      <c r="D180" s="1675"/>
      <c r="E180" s="554"/>
      <c r="F180" s="1689"/>
      <c r="G180" s="560" t="s">
        <v>2189</v>
      </c>
      <c r="H180" s="17"/>
      <c r="I180" s="16"/>
      <c r="J180" s="16"/>
      <c r="K180" s="17"/>
      <c r="L180" s="64"/>
    </row>
    <row r="181" spans="1:12" ht="12" customHeight="1">
      <c r="A181" s="547"/>
      <c r="B181" s="1675"/>
      <c r="C181" s="554"/>
      <c r="D181" s="1675"/>
      <c r="E181" s="554"/>
      <c r="F181" s="1689"/>
      <c r="G181" s="560" t="s">
        <v>2190</v>
      </c>
      <c r="H181" s="17"/>
      <c r="I181" s="16"/>
      <c r="J181" s="16"/>
      <c r="K181" s="17"/>
      <c r="L181" s="64"/>
    </row>
    <row r="182" spans="1:12" ht="12" customHeight="1">
      <c r="A182" s="547"/>
      <c r="B182" s="1675"/>
      <c r="C182" s="554"/>
      <c r="D182" s="1675"/>
      <c r="E182" s="554"/>
      <c r="F182" s="1689"/>
      <c r="G182" s="560" t="s">
        <v>2191</v>
      </c>
      <c r="H182" s="17"/>
      <c r="I182" s="16"/>
      <c r="J182" s="16"/>
      <c r="K182" s="17"/>
      <c r="L182" s="64"/>
    </row>
    <row r="183" spans="1:12" ht="12" customHeight="1">
      <c r="A183" s="547"/>
      <c r="B183" s="1675"/>
      <c r="C183" s="554"/>
      <c r="D183" s="1675"/>
      <c r="E183" s="554"/>
      <c r="F183" s="1689"/>
      <c r="G183" s="560" t="s">
        <v>2192</v>
      </c>
      <c r="H183" s="17"/>
      <c r="I183" s="16"/>
      <c r="J183" s="16"/>
      <c r="K183" s="17"/>
      <c r="L183" s="64"/>
    </row>
    <row r="184" spans="1:12" ht="12" customHeight="1">
      <c r="A184" s="547"/>
      <c r="B184" s="1675"/>
      <c r="C184" s="554"/>
      <c r="D184" s="1675"/>
      <c r="E184" s="554"/>
      <c r="F184" s="1689"/>
      <c r="G184" s="560" t="s">
        <v>2193</v>
      </c>
      <c r="H184" s="17"/>
      <c r="I184" s="16"/>
      <c r="J184" s="16"/>
      <c r="K184" s="17"/>
      <c r="L184" s="64"/>
    </row>
    <row r="185" spans="1:12" ht="12" customHeight="1">
      <c r="A185" s="547"/>
      <c r="B185" s="1675"/>
      <c r="C185" s="554"/>
      <c r="D185" s="1675"/>
      <c r="E185" s="554"/>
      <c r="F185" s="1689"/>
      <c r="G185" s="560" t="s">
        <v>2194</v>
      </c>
      <c r="H185" s="17"/>
      <c r="I185" s="16"/>
      <c r="J185" s="16"/>
      <c r="K185" s="17"/>
      <c r="L185" s="64"/>
    </row>
    <row r="186" spans="1:12" ht="12" customHeight="1">
      <c r="A186" s="547"/>
      <c r="B186" s="1675"/>
      <c r="C186" s="554"/>
      <c r="D186" s="1675"/>
      <c r="E186" s="554"/>
      <c r="F186" s="1689"/>
      <c r="G186" s="560" t="s">
        <v>2195</v>
      </c>
      <c r="H186" s="17"/>
      <c r="I186" s="16"/>
      <c r="J186" s="16"/>
      <c r="K186" s="17"/>
      <c r="L186" s="64"/>
    </row>
    <row r="187" spans="1:12" ht="12" customHeight="1">
      <c r="A187" s="547"/>
      <c r="B187" s="1675"/>
      <c r="C187" s="554"/>
      <c r="D187" s="1675"/>
      <c r="E187" s="554"/>
      <c r="F187" s="1689"/>
      <c r="G187" s="560" t="s">
        <v>2196</v>
      </c>
      <c r="H187" s="17"/>
      <c r="I187" s="16"/>
      <c r="J187" s="16"/>
      <c r="K187" s="17"/>
      <c r="L187" s="64"/>
    </row>
    <row r="188" spans="1:12" ht="12" customHeight="1">
      <c r="A188" s="547"/>
      <c r="B188" s="1675"/>
      <c r="C188" s="554"/>
      <c r="D188" s="1675"/>
      <c r="E188" s="554"/>
      <c r="F188" s="1689"/>
      <c r="G188" s="560" t="s">
        <v>2197</v>
      </c>
      <c r="H188" s="17"/>
      <c r="I188" s="16"/>
      <c r="J188" s="16"/>
      <c r="K188" s="17"/>
      <c r="L188" s="64"/>
    </row>
    <row r="189" spans="1:12" ht="12" customHeight="1">
      <c r="A189" s="547"/>
      <c r="B189" s="1675"/>
      <c r="C189" s="554"/>
      <c r="D189" s="1675"/>
      <c r="E189" s="554"/>
      <c r="F189" s="1689"/>
      <c r="G189" s="560" t="s">
        <v>2198</v>
      </c>
      <c r="H189" s="17"/>
      <c r="I189" s="16"/>
      <c r="J189" s="16"/>
      <c r="K189" s="17"/>
      <c r="L189" s="64"/>
    </row>
    <row r="190" spans="1:12" ht="12" customHeight="1">
      <c r="A190" s="547"/>
      <c r="B190" s="1675"/>
      <c r="C190" s="554"/>
      <c r="D190" s="1675"/>
      <c r="E190" s="554"/>
      <c r="F190" s="1689"/>
      <c r="G190" s="560" t="s">
        <v>2199</v>
      </c>
      <c r="H190" s="17"/>
      <c r="I190" s="16"/>
      <c r="J190" s="16"/>
      <c r="K190" s="17"/>
      <c r="L190" s="64"/>
    </row>
    <row r="191" spans="1:12" ht="15" customHeight="1">
      <c r="A191" s="547"/>
      <c r="B191" s="1675"/>
      <c r="C191" s="554"/>
      <c r="D191" s="1675"/>
      <c r="E191" s="554"/>
      <c r="F191" s="1689"/>
      <c r="G191" s="560" t="s">
        <v>2200</v>
      </c>
      <c r="H191" s="17"/>
      <c r="I191" s="16"/>
      <c r="J191" s="16"/>
      <c r="K191" s="17"/>
      <c r="L191" s="64"/>
    </row>
    <row r="192" spans="1:12" ht="15" customHeight="1">
      <c r="A192" s="547"/>
      <c r="B192" s="1675"/>
      <c r="C192" s="554"/>
      <c r="D192" s="1675"/>
      <c r="E192" s="554"/>
      <c r="F192" s="1689"/>
      <c r="G192" s="560" t="s">
        <v>2201</v>
      </c>
      <c r="H192" s="17"/>
      <c r="I192" s="16"/>
      <c r="J192" s="16"/>
      <c r="K192" s="17"/>
      <c r="L192" s="64"/>
    </row>
    <row r="193" spans="1:12" ht="15" customHeight="1">
      <c r="A193" s="547"/>
      <c r="B193" s="1675"/>
      <c r="C193" s="554"/>
      <c r="D193" s="1675"/>
      <c r="E193" s="554"/>
      <c r="F193" s="1689"/>
      <c r="G193" s="560" t="s">
        <v>2201</v>
      </c>
      <c r="H193" s="17"/>
      <c r="I193" s="16"/>
      <c r="J193" s="16"/>
      <c r="K193" s="17"/>
      <c r="L193" s="64"/>
    </row>
    <row r="194" spans="1:12" ht="15" customHeight="1">
      <c r="A194" s="547"/>
      <c r="B194" s="1675"/>
      <c r="C194" s="554"/>
      <c r="D194" s="1675"/>
      <c r="E194" s="554"/>
      <c r="F194" s="1689"/>
      <c r="G194" s="560" t="s">
        <v>2202</v>
      </c>
      <c r="H194" s="17"/>
      <c r="I194" s="16"/>
      <c r="J194" s="16"/>
      <c r="K194" s="17"/>
      <c r="L194" s="64"/>
    </row>
    <row r="195" spans="1:12" ht="15" customHeight="1">
      <c r="A195" s="547"/>
      <c r="B195" s="1675"/>
      <c r="C195" s="554"/>
      <c r="D195" s="1675"/>
      <c r="E195" s="554"/>
      <c r="F195" s="1689"/>
      <c r="G195" s="560" t="s">
        <v>2203</v>
      </c>
      <c r="H195" s="17"/>
      <c r="I195" s="16"/>
      <c r="J195" s="16"/>
      <c r="K195" s="17"/>
      <c r="L195" s="64"/>
    </row>
    <row r="196" spans="1:12" ht="15" customHeight="1">
      <c r="A196" s="547"/>
      <c r="B196" s="1675"/>
      <c r="C196" s="554"/>
      <c r="D196" s="1675"/>
      <c r="E196" s="554"/>
      <c r="F196" s="1689"/>
      <c r="G196" s="560" t="s">
        <v>2204</v>
      </c>
      <c r="H196" s="17"/>
      <c r="I196" s="16"/>
      <c r="J196" s="16"/>
      <c r="K196" s="17"/>
      <c r="L196" s="64"/>
    </row>
    <row r="197" spans="1:12" ht="15" customHeight="1">
      <c r="A197" s="547"/>
      <c r="B197" s="1675"/>
      <c r="C197" s="554"/>
      <c r="D197" s="1675"/>
      <c r="E197" s="554"/>
      <c r="F197" s="1689"/>
      <c r="G197" s="560" t="s">
        <v>2205</v>
      </c>
      <c r="H197" s="17"/>
      <c r="I197" s="16"/>
      <c r="J197" s="16"/>
      <c r="K197" s="17"/>
      <c r="L197" s="64"/>
    </row>
    <row r="198" spans="1:12" ht="15" customHeight="1">
      <c r="A198" s="547"/>
      <c r="B198" s="1675"/>
      <c r="C198" s="554"/>
      <c r="D198" s="1675"/>
      <c r="E198" s="554"/>
      <c r="F198" s="1689"/>
      <c r="G198" s="560" t="s">
        <v>2206</v>
      </c>
      <c r="H198" s="17"/>
      <c r="I198" s="16"/>
      <c r="J198" s="16"/>
      <c r="K198" s="17"/>
      <c r="L198" s="64"/>
    </row>
    <row r="199" spans="1:12" ht="15" customHeight="1">
      <c r="A199" s="547"/>
      <c r="B199" s="1675"/>
      <c r="C199" s="554"/>
      <c r="D199" s="1675"/>
      <c r="E199" s="554"/>
      <c r="F199" s="1689"/>
      <c r="G199" s="560" t="s">
        <v>2207</v>
      </c>
      <c r="H199" s="17"/>
      <c r="I199" s="16"/>
      <c r="J199" s="16"/>
      <c r="K199" s="17"/>
      <c r="L199" s="64"/>
    </row>
    <row r="200" spans="1:12" ht="15" customHeight="1">
      <c r="A200" s="547"/>
      <c r="B200" s="1675"/>
      <c r="C200" s="554"/>
      <c r="D200" s="1675"/>
      <c r="E200" s="554"/>
      <c r="F200" s="1689"/>
      <c r="G200" s="560" t="s">
        <v>2208</v>
      </c>
      <c r="H200" s="17"/>
      <c r="I200" s="16"/>
      <c r="J200" s="16"/>
      <c r="K200" s="17"/>
      <c r="L200" s="64"/>
    </row>
    <row r="201" spans="1:12" ht="15" customHeight="1">
      <c r="A201" s="547"/>
      <c r="B201" s="1675"/>
      <c r="C201" s="554"/>
      <c r="D201" s="1672"/>
      <c r="E201" s="554"/>
      <c r="F201" s="1689"/>
      <c r="G201" s="560" t="s">
        <v>2209</v>
      </c>
      <c r="H201" s="17"/>
      <c r="I201" s="16"/>
      <c r="J201" s="16"/>
      <c r="K201" s="17"/>
      <c r="L201" s="64"/>
    </row>
    <row r="202" spans="1:12" ht="15" customHeight="1">
      <c r="A202" s="547"/>
      <c r="B202" s="1675"/>
      <c r="C202" s="554"/>
      <c r="D202" s="1671" t="s">
        <v>2642</v>
      </c>
      <c r="E202" s="554"/>
      <c r="F202" s="1689" t="s">
        <v>2791</v>
      </c>
      <c r="G202" s="404"/>
      <c r="H202" s="17"/>
      <c r="I202" s="16"/>
      <c r="J202" s="16"/>
      <c r="K202" s="17"/>
      <c r="L202" s="64"/>
    </row>
    <row r="203" spans="1:12" ht="15" customHeight="1">
      <c r="A203" s="547"/>
      <c r="B203" s="1675"/>
      <c r="C203" s="554"/>
      <c r="D203" s="1675"/>
      <c r="E203" s="554"/>
      <c r="F203" s="1689"/>
      <c r="G203" s="536" t="str">
        <f>H203&amp;"Camión Baranda de "&amp;'[31]Planteamiento Tecnico'!C184&amp;" m3"</f>
        <v>Camión Baranda de 6 m3</v>
      </c>
      <c r="H203" s="17"/>
      <c r="I203" s="16"/>
      <c r="J203" s="16"/>
      <c r="K203" s="17"/>
      <c r="L203" s="64"/>
    </row>
    <row r="204" spans="1:12" ht="15" customHeight="1">
      <c r="A204" s="547"/>
      <c r="B204" s="1675"/>
      <c r="C204" s="554"/>
      <c r="D204" s="1675"/>
      <c r="E204" s="554"/>
      <c r="F204" s="1689" t="s">
        <v>2792</v>
      </c>
      <c r="G204" s="560"/>
      <c r="H204" s="17"/>
      <c r="I204" s="16"/>
      <c r="J204" s="16"/>
      <c r="K204" s="17"/>
      <c r="L204" s="64"/>
    </row>
    <row r="205" spans="1:12" ht="15" customHeight="1">
      <c r="A205" s="547"/>
      <c r="B205" s="1675"/>
      <c r="C205" s="554"/>
      <c r="D205" s="1675"/>
      <c r="E205" s="554"/>
      <c r="F205" s="1689"/>
      <c r="G205" s="560" t="str">
        <f>+G164</f>
        <v>Trimóvil</v>
      </c>
      <c r="H205" s="17"/>
      <c r="I205" s="16"/>
      <c r="J205" s="16"/>
      <c r="K205" s="17"/>
      <c r="L205" s="64"/>
    </row>
    <row r="206" spans="1:12" ht="15" customHeight="1">
      <c r="A206" s="547"/>
      <c r="B206" s="1675"/>
      <c r="C206" s="554"/>
      <c r="D206" s="1675"/>
      <c r="E206" s="554"/>
      <c r="F206" s="1689"/>
      <c r="G206" s="560" t="str">
        <f>+G165</f>
        <v>Triciclo</v>
      </c>
      <c r="H206" s="17"/>
      <c r="I206" s="16"/>
      <c r="J206" s="16"/>
      <c r="K206" s="17"/>
      <c r="L206" s="64"/>
    </row>
    <row r="207" spans="1:12" ht="15" customHeight="1">
      <c r="A207" s="547"/>
      <c r="B207" s="1672"/>
      <c r="C207" s="554"/>
      <c r="D207" s="1672"/>
      <c r="E207" s="554"/>
      <c r="F207" s="1689"/>
      <c r="G207" s="560" t="str">
        <f>+G166</f>
        <v>Trimóvil y triciclo</v>
      </c>
      <c r="H207" s="17"/>
      <c r="I207" s="16"/>
      <c r="J207" s="16"/>
      <c r="K207" s="17"/>
      <c r="L207" s="64"/>
    </row>
    <row r="208" spans="1:12" ht="15" customHeight="1">
      <c r="A208" s="547"/>
      <c r="B208" s="1671" t="s">
        <v>2643</v>
      </c>
      <c r="C208" s="554"/>
      <c r="D208" s="1671" t="s">
        <v>2737</v>
      </c>
      <c r="E208" s="554"/>
      <c r="F208" s="1689" t="s">
        <v>2645</v>
      </c>
      <c r="G208" s="563"/>
      <c r="H208" s="17"/>
      <c r="I208" s="16"/>
      <c r="J208" s="16"/>
      <c r="K208" s="17"/>
      <c r="L208" s="64"/>
    </row>
    <row r="209" spans="1:12" ht="15" customHeight="1">
      <c r="A209" s="547"/>
      <c r="B209" s="1675"/>
      <c r="C209" s="554"/>
      <c r="D209" s="1675"/>
      <c r="E209" s="554"/>
      <c r="F209" s="1689"/>
      <c r="G209" s="542" t="s">
        <v>2674</v>
      </c>
      <c r="H209" s="17"/>
      <c r="I209" s="16"/>
      <c r="J209" s="16"/>
      <c r="K209" s="17"/>
      <c r="L209" s="64"/>
    </row>
    <row r="210" spans="1:12" ht="15" customHeight="1">
      <c r="A210" s="547"/>
      <c r="B210" s="1675"/>
      <c r="C210" s="554"/>
      <c r="D210" s="1675"/>
      <c r="E210" s="554"/>
      <c r="F210" s="1689"/>
      <c r="G210" s="542" t="s">
        <v>2675</v>
      </c>
      <c r="H210" s="17"/>
      <c r="I210" s="16"/>
      <c r="J210" s="16"/>
      <c r="K210" s="17"/>
      <c r="L210" s="64"/>
    </row>
    <row r="211" spans="1:12" ht="15" customHeight="1">
      <c r="A211" s="547"/>
      <c r="B211" s="1675"/>
      <c r="C211" s="554"/>
      <c r="D211" s="1672"/>
      <c r="E211" s="554"/>
      <c r="F211" s="1689"/>
      <c r="G211" s="542" t="s">
        <v>2676</v>
      </c>
      <c r="H211" s="17"/>
      <c r="I211" s="16"/>
      <c r="J211" s="16"/>
      <c r="K211" s="17"/>
      <c r="L211" s="64"/>
    </row>
    <row r="212" spans="1:12" ht="15" customHeight="1">
      <c r="A212" s="547"/>
      <c r="B212" s="1675"/>
      <c r="C212" s="554"/>
      <c r="D212" s="1686" t="s">
        <v>2738</v>
      </c>
      <c r="E212" s="554"/>
      <c r="F212" s="1689" t="s">
        <v>2723</v>
      </c>
      <c r="G212" s="536"/>
      <c r="H212" s="17"/>
      <c r="I212" s="16"/>
      <c r="J212" s="16"/>
      <c r="K212" s="17"/>
      <c r="L212" s="64"/>
    </row>
    <row r="213" spans="1:12" ht="30">
      <c r="A213" s="547"/>
      <c r="B213" s="1675"/>
      <c r="C213" s="554"/>
      <c r="D213" s="1688"/>
      <c r="E213" s="554"/>
      <c r="F213" s="1689"/>
      <c r="G213" s="542" t="s">
        <v>2677</v>
      </c>
      <c r="H213" s="17"/>
      <c r="I213" s="16"/>
      <c r="J213" s="16"/>
      <c r="K213" s="17"/>
      <c r="L213" s="64"/>
    </row>
    <row r="214" spans="1:12">
      <c r="A214" s="547"/>
      <c r="B214" s="1675"/>
      <c r="C214" s="554"/>
      <c r="D214" s="1688"/>
      <c r="E214" s="554"/>
      <c r="F214" s="1689" t="s">
        <v>2724</v>
      </c>
      <c r="G214" s="536"/>
      <c r="H214" s="17"/>
      <c r="I214" s="16"/>
      <c r="J214" s="16"/>
      <c r="K214" s="17"/>
      <c r="L214" s="64"/>
    </row>
    <row r="215" spans="1:12">
      <c r="A215" s="547"/>
      <c r="B215" s="1675"/>
      <c r="C215" s="554"/>
      <c r="D215" s="1688"/>
      <c r="E215" s="554"/>
      <c r="F215" s="1689"/>
      <c r="G215" s="542" t="s">
        <v>2843</v>
      </c>
      <c r="H215" s="17"/>
      <c r="I215" s="16"/>
      <c r="J215" s="16"/>
      <c r="K215" s="17"/>
      <c r="L215" s="64"/>
    </row>
    <row r="216" spans="1:12" ht="15" customHeight="1">
      <c r="A216" s="547"/>
      <c r="B216" s="1675"/>
      <c r="C216" s="554"/>
      <c r="D216" s="1688"/>
      <c r="E216" s="554"/>
      <c r="F216" s="1686" t="s">
        <v>2725</v>
      </c>
      <c r="G216" s="536"/>
      <c r="H216" s="17"/>
      <c r="I216" s="16"/>
      <c r="J216" s="16"/>
      <c r="K216" s="17"/>
      <c r="L216" s="64"/>
    </row>
    <row r="217" spans="1:12" ht="45">
      <c r="A217" s="547"/>
      <c r="B217" s="1675"/>
      <c r="C217" s="554"/>
      <c r="D217" s="1688"/>
      <c r="E217" s="554"/>
      <c r="F217" s="1688"/>
      <c r="G217" s="542" t="s">
        <v>2155</v>
      </c>
      <c r="H217" s="17"/>
      <c r="I217" s="16"/>
      <c r="J217" s="16"/>
      <c r="K217" s="17"/>
      <c r="L217" s="64"/>
    </row>
    <row r="218" spans="1:12" ht="15" customHeight="1">
      <c r="A218" s="547"/>
      <c r="B218" s="1675"/>
      <c r="C218" s="554"/>
      <c r="D218" s="1688"/>
      <c r="E218" s="554"/>
      <c r="F218" s="1686" t="s">
        <v>2726</v>
      </c>
      <c r="G218" s="404"/>
      <c r="H218" s="17"/>
      <c r="I218" s="16"/>
      <c r="J218" s="16"/>
      <c r="K218" s="17"/>
      <c r="L218" s="64"/>
    </row>
    <row r="219" spans="1:12" ht="15" customHeight="1">
      <c r="A219" s="547"/>
      <c r="B219" s="1675"/>
      <c r="C219" s="554"/>
      <c r="D219" s="1688"/>
      <c r="E219" s="554"/>
      <c r="F219" s="1688"/>
      <c r="G219" s="542" t="s">
        <v>2213</v>
      </c>
      <c r="H219" s="17"/>
      <c r="I219" s="16"/>
      <c r="J219" s="16"/>
      <c r="K219" s="17"/>
      <c r="L219" s="64"/>
    </row>
    <row r="220" spans="1:12" ht="17.25" customHeight="1">
      <c r="A220" s="547"/>
      <c r="B220" s="1675"/>
      <c r="C220" s="554"/>
      <c r="D220" s="1688"/>
      <c r="E220" s="554"/>
      <c r="F220" s="1687"/>
      <c r="G220" s="542" t="s">
        <v>2739</v>
      </c>
      <c r="H220" s="17"/>
      <c r="I220" s="16"/>
      <c r="J220" s="16"/>
      <c r="K220" s="17"/>
      <c r="L220" s="64"/>
    </row>
    <row r="221" spans="1:12" ht="15" customHeight="1">
      <c r="A221" s="547"/>
      <c r="B221" s="1675"/>
      <c r="C221" s="554"/>
      <c r="D221" s="1686" t="s">
        <v>2647</v>
      </c>
      <c r="E221" s="554"/>
      <c r="F221" s="1686" t="s">
        <v>2648</v>
      </c>
      <c r="G221" s="542"/>
      <c r="H221" s="17"/>
      <c r="I221" s="16"/>
      <c r="J221" s="16"/>
      <c r="K221" s="17"/>
      <c r="L221" s="64"/>
    </row>
    <row r="222" spans="1:12" ht="15" customHeight="1">
      <c r="A222" s="547"/>
      <c r="B222" s="1675"/>
      <c r="C222" s="554"/>
      <c r="D222" s="1688"/>
      <c r="E222" s="554"/>
      <c r="F222" s="1688"/>
      <c r="G222" s="542" t="s">
        <v>2678</v>
      </c>
      <c r="H222" s="17"/>
      <c r="I222" s="16"/>
      <c r="J222" s="16"/>
      <c r="K222" s="17"/>
      <c r="L222" s="64"/>
    </row>
    <row r="223" spans="1:12" ht="15" customHeight="1">
      <c r="A223" s="547"/>
      <c r="B223" s="1675"/>
      <c r="C223" s="554"/>
      <c r="D223" s="1688"/>
      <c r="E223" s="554"/>
      <c r="F223" s="1688"/>
      <c r="G223" s="542" t="s">
        <v>2679</v>
      </c>
      <c r="H223" s="17"/>
      <c r="I223" s="16"/>
      <c r="J223" s="16"/>
      <c r="K223" s="17"/>
      <c r="L223" s="64"/>
    </row>
    <row r="224" spans="1:12" ht="15" customHeight="1">
      <c r="A224" s="547"/>
      <c r="B224" s="1675"/>
      <c r="C224" s="554"/>
      <c r="D224" s="1688"/>
      <c r="E224" s="554"/>
      <c r="F224" s="1688"/>
      <c r="G224" s="542" t="s">
        <v>2680</v>
      </c>
      <c r="H224" s="17"/>
      <c r="I224" s="16"/>
      <c r="J224" s="16"/>
      <c r="K224" s="17"/>
      <c r="L224" s="64"/>
    </row>
    <row r="225" spans="1:12" ht="15" customHeight="1">
      <c r="A225" s="547"/>
      <c r="B225" s="1675"/>
      <c r="C225" s="554"/>
      <c r="D225" s="1688"/>
      <c r="E225" s="554"/>
      <c r="F225" s="1688"/>
      <c r="G225" s="542" t="s">
        <v>2681</v>
      </c>
      <c r="H225" s="17"/>
      <c r="I225" s="16"/>
      <c r="J225" s="16"/>
      <c r="K225" s="17"/>
      <c r="L225" s="64"/>
    </row>
    <row r="226" spans="1:12" ht="15" customHeight="1">
      <c r="A226" s="547"/>
      <c r="B226" s="1675"/>
      <c r="C226" s="554"/>
      <c r="D226" s="1688"/>
      <c r="E226" s="554"/>
      <c r="F226" s="1688"/>
      <c r="G226" s="542" t="s">
        <v>2682</v>
      </c>
      <c r="H226" s="17"/>
      <c r="I226" s="16"/>
      <c r="J226" s="16"/>
      <c r="K226" s="17"/>
      <c r="L226" s="64"/>
    </row>
    <row r="227" spans="1:12" ht="15" customHeight="1">
      <c r="A227" s="547"/>
      <c r="B227" s="1675"/>
      <c r="C227" s="554"/>
      <c r="D227" s="1687"/>
      <c r="E227" s="554"/>
      <c r="F227" s="1687"/>
      <c r="G227" s="542" t="s">
        <v>2683</v>
      </c>
      <c r="H227" s="17"/>
      <c r="I227" s="16"/>
      <c r="J227" s="16"/>
      <c r="K227" s="17"/>
      <c r="L227" s="64"/>
    </row>
    <row r="228" spans="1:12" ht="15" customHeight="1">
      <c r="A228" s="547"/>
      <c r="B228" s="1675"/>
      <c r="C228" s="554"/>
      <c r="D228" s="1686" t="s">
        <v>2649</v>
      </c>
      <c r="E228" s="554"/>
      <c r="F228" s="1686" t="s">
        <v>2727</v>
      </c>
      <c r="G228" s="542"/>
      <c r="H228" s="17"/>
      <c r="I228" s="16"/>
      <c r="J228" s="16"/>
      <c r="K228" s="17"/>
      <c r="L228" s="64"/>
    </row>
    <row r="229" spans="1:12">
      <c r="A229" s="547"/>
      <c r="B229" s="1675"/>
      <c r="C229" s="554"/>
      <c r="D229" s="1688"/>
      <c r="E229" s="554"/>
      <c r="F229" s="1687"/>
      <c r="G229" s="542" t="s">
        <v>2214</v>
      </c>
      <c r="H229" s="17"/>
      <c r="I229" s="16"/>
      <c r="J229" s="16"/>
      <c r="K229" s="17"/>
      <c r="L229" s="64"/>
    </row>
    <row r="230" spans="1:12">
      <c r="A230" s="547"/>
      <c r="B230" s="1675"/>
      <c r="C230" s="554"/>
      <c r="D230" s="1688"/>
      <c r="E230" s="554"/>
      <c r="F230" s="1690" t="s">
        <v>2650</v>
      </c>
      <c r="G230" s="404"/>
      <c r="H230" s="17"/>
      <c r="I230" s="16"/>
      <c r="J230" s="16"/>
      <c r="K230" s="17"/>
      <c r="L230" s="64"/>
    </row>
    <row r="231" spans="1:12" ht="27.75" customHeight="1">
      <c r="A231" s="547"/>
      <c r="B231" s="1675"/>
      <c r="C231" s="554"/>
      <c r="D231" s="1688"/>
      <c r="E231" s="554"/>
      <c r="F231" s="1690"/>
      <c r="G231" s="542" t="s">
        <v>2215</v>
      </c>
      <c r="H231" s="17"/>
      <c r="I231" s="16"/>
      <c r="J231" s="16"/>
      <c r="K231" s="17"/>
      <c r="L231" s="64"/>
    </row>
    <row r="232" spans="1:12" ht="27.75" customHeight="1">
      <c r="A232" s="547"/>
      <c r="B232" s="1675"/>
      <c r="C232" s="554"/>
      <c r="D232" s="1688"/>
      <c r="E232" s="554"/>
      <c r="F232" s="1690"/>
      <c r="G232" s="542" t="s">
        <v>2740</v>
      </c>
      <c r="H232" s="17"/>
      <c r="I232" s="16"/>
      <c r="J232" s="16"/>
      <c r="K232" s="17"/>
      <c r="L232" s="64"/>
    </row>
    <row r="233" spans="1:12" ht="27.75" customHeight="1">
      <c r="A233" s="547"/>
      <c r="B233" s="1675"/>
      <c r="C233" s="554"/>
      <c r="D233" s="1688"/>
      <c r="E233" s="554"/>
      <c r="F233" s="1690"/>
      <c r="G233" s="542" t="s">
        <v>2741</v>
      </c>
      <c r="H233" s="17"/>
      <c r="I233" s="16"/>
      <c r="J233" s="16"/>
      <c r="K233" s="17"/>
      <c r="L233" s="64"/>
    </row>
    <row r="234" spans="1:12" ht="20.25" customHeight="1">
      <c r="A234" s="547"/>
      <c r="B234" s="1675"/>
      <c r="C234" s="554"/>
      <c r="D234" s="1688"/>
      <c r="E234" s="554"/>
      <c r="F234" s="1690"/>
      <c r="G234" s="542" t="s">
        <v>2742</v>
      </c>
      <c r="H234" s="17"/>
      <c r="I234" s="16"/>
      <c r="J234" s="16"/>
      <c r="K234" s="17"/>
      <c r="L234" s="64"/>
    </row>
    <row r="235" spans="1:12" ht="20.25" customHeight="1">
      <c r="A235" s="547"/>
      <c r="B235" s="1675"/>
      <c r="C235" s="554"/>
      <c r="D235" s="1688"/>
      <c r="E235" s="554"/>
      <c r="F235" s="1686" t="s">
        <v>2844</v>
      </c>
      <c r="G235" s="404"/>
      <c r="H235" s="17"/>
      <c r="I235" s="16"/>
      <c r="J235" s="16"/>
      <c r="K235" s="17"/>
      <c r="L235" s="64"/>
    </row>
    <row r="236" spans="1:12" ht="29.25" customHeight="1">
      <c r="A236" s="547"/>
      <c r="B236" s="1675"/>
      <c r="C236" s="554"/>
      <c r="D236" s="1688"/>
      <c r="E236" s="554"/>
      <c r="F236" s="1687"/>
      <c r="G236" s="542" t="s">
        <v>2698</v>
      </c>
      <c r="H236" s="17"/>
      <c r="I236" s="16"/>
      <c r="J236" s="16"/>
      <c r="K236" s="17"/>
      <c r="L236" s="64"/>
    </row>
    <row r="237" spans="1:12" ht="15" customHeight="1">
      <c r="A237" s="547"/>
      <c r="B237" s="1675"/>
      <c r="C237" s="554"/>
      <c r="D237" s="1688"/>
      <c r="E237" s="554"/>
      <c r="F237" s="1686" t="s">
        <v>2684</v>
      </c>
      <c r="G237" s="536"/>
      <c r="H237" s="17"/>
      <c r="I237" s="16"/>
      <c r="J237" s="16"/>
      <c r="K237" s="17"/>
      <c r="L237" s="64"/>
    </row>
    <row r="238" spans="1:12" ht="15" customHeight="1">
      <c r="A238" s="547"/>
      <c r="B238" s="1675"/>
      <c r="C238" s="554"/>
      <c r="D238" s="1688"/>
      <c r="E238" s="554"/>
      <c r="F238" s="1688"/>
      <c r="G238" s="542" t="s">
        <v>2216</v>
      </c>
      <c r="H238" s="17"/>
      <c r="I238" s="16"/>
      <c r="J238" s="16"/>
      <c r="K238" s="17"/>
      <c r="L238" s="64"/>
    </row>
    <row r="239" spans="1:12" ht="27.75" customHeight="1">
      <c r="A239" s="547"/>
      <c r="B239" s="1672"/>
      <c r="C239" s="554"/>
      <c r="D239" s="1687"/>
      <c r="E239" s="554"/>
      <c r="F239" s="1687"/>
      <c r="G239" s="542" t="s">
        <v>2217</v>
      </c>
      <c r="H239" s="17"/>
      <c r="I239" s="16"/>
      <c r="J239" s="16"/>
      <c r="K239" s="17"/>
      <c r="L239" s="64"/>
    </row>
    <row r="240" spans="1:12" ht="15" customHeight="1">
      <c r="A240" s="547"/>
      <c r="B240" s="1671" t="s">
        <v>2158</v>
      </c>
      <c r="C240" s="554"/>
      <c r="D240" s="1671" t="s">
        <v>2651</v>
      </c>
      <c r="E240" s="554"/>
      <c r="F240" s="1686" t="s">
        <v>2652</v>
      </c>
      <c r="G240" s="542"/>
      <c r="H240" s="17"/>
      <c r="I240" s="16"/>
      <c r="J240" s="16"/>
      <c r="K240" s="17"/>
      <c r="L240" s="64"/>
    </row>
    <row r="241" spans="1:12" ht="15" customHeight="1">
      <c r="A241" s="547"/>
      <c r="B241" s="1675"/>
      <c r="C241" s="554"/>
      <c r="D241" s="1675"/>
      <c r="E241" s="554"/>
      <c r="F241" s="1688"/>
      <c r="G241" s="542" t="s">
        <v>2743</v>
      </c>
      <c r="H241" s="17"/>
      <c r="I241" s="16"/>
      <c r="J241" s="16"/>
      <c r="K241" s="17"/>
      <c r="L241" s="64"/>
    </row>
    <row r="242" spans="1:12" ht="15" customHeight="1">
      <c r="A242" s="547"/>
      <c r="B242" s="1675"/>
      <c r="C242" s="554"/>
      <c r="D242" s="1675"/>
      <c r="E242" s="554"/>
      <c r="F242" s="1688"/>
      <c r="G242" s="542" t="s">
        <v>2699</v>
      </c>
      <c r="H242" s="17"/>
      <c r="I242" s="16"/>
      <c r="J242" s="16"/>
      <c r="K242" s="17"/>
      <c r="L242" s="64"/>
    </row>
    <row r="243" spans="1:12" ht="15" customHeight="1">
      <c r="A243" s="547"/>
      <c r="B243" s="1675"/>
      <c r="C243" s="554"/>
      <c r="D243" s="1672"/>
      <c r="E243" s="554"/>
      <c r="F243" s="1687"/>
      <c r="G243" s="542" t="s">
        <v>2744</v>
      </c>
      <c r="H243" s="17"/>
      <c r="I243" s="16"/>
      <c r="J243" s="16"/>
      <c r="K243" s="17"/>
      <c r="L243" s="64"/>
    </row>
    <row r="244" spans="1:12" ht="15" customHeight="1">
      <c r="A244" s="547"/>
      <c r="B244" s="1675"/>
      <c r="C244" s="554"/>
      <c r="D244" s="1671" t="s">
        <v>2653</v>
      </c>
      <c r="E244" s="554"/>
      <c r="F244" s="1686" t="s">
        <v>2654</v>
      </c>
      <c r="G244" s="541"/>
      <c r="H244" s="17"/>
      <c r="I244" s="16"/>
      <c r="J244" s="16"/>
      <c r="K244" s="17"/>
      <c r="L244" s="64"/>
    </row>
    <row r="245" spans="1:12" ht="27.75" customHeight="1">
      <c r="A245" s="547"/>
      <c r="B245" s="1675"/>
      <c r="C245" s="554"/>
      <c r="D245" s="1675"/>
      <c r="E245" s="554"/>
      <c r="F245" s="1688"/>
      <c r="G245" s="542" t="s">
        <v>2700</v>
      </c>
      <c r="H245" s="17"/>
      <c r="I245" s="16"/>
      <c r="J245" s="16"/>
      <c r="K245" s="17"/>
      <c r="L245" s="64"/>
    </row>
    <row r="246" spans="1:12" ht="23.25" customHeight="1">
      <c r="A246" s="547"/>
      <c r="B246" s="1675"/>
      <c r="C246" s="554"/>
      <c r="D246" s="1675"/>
      <c r="E246" s="554"/>
      <c r="F246" s="1688"/>
      <c r="G246" s="542" t="s">
        <v>2218</v>
      </c>
      <c r="H246" s="17"/>
      <c r="I246" s="16"/>
      <c r="J246" s="16"/>
      <c r="K246" s="17"/>
      <c r="L246" s="64"/>
    </row>
    <row r="247" spans="1:12" ht="23.25" customHeight="1">
      <c r="A247" s="547"/>
      <c r="B247" s="1675"/>
      <c r="C247" s="554"/>
      <c r="D247" s="1675"/>
      <c r="E247" s="554"/>
      <c r="F247" s="1688"/>
      <c r="G247" s="542" t="s">
        <v>2221</v>
      </c>
      <c r="H247" s="17"/>
      <c r="I247" s="16"/>
      <c r="J247" s="16"/>
      <c r="K247" s="17"/>
      <c r="L247" s="64"/>
    </row>
    <row r="248" spans="1:12" ht="23.25" customHeight="1">
      <c r="A248" s="547"/>
      <c r="B248" s="1675"/>
      <c r="C248" s="554"/>
      <c r="D248" s="1675"/>
      <c r="E248" s="554"/>
      <c r="F248" s="1687"/>
      <c r="G248" s="542" t="s">
        <v>2222</v>
      </c>
      <c r="H248" s="17"/>
      <c r="I248" s="16"/>
      <c r="J248" s="16"/>
      <c r="K248" s="17"/>
      <c r="L248" s="64"/>
    </row>
    <row r="249" spans="1:12">
      <c r="A249" s="547"/>
      <c r="B249" s="1675"/>
      <c r="C249" s="554"/>
      <c r="D249" s="1675"/>
      <c r="E249" s="554"/>
      <c r="F249" s="1686" t="s">
        <v>2845</v>
      </c>
      <c r="G249" s="542"/>
      <c r="H249" s="17"/>
      <c r="I249" s="16"/>
      <c r="J249" s="16"/>
      <c r="K249" s="17"/>
      <c r="L249" s="64"/>
    </row>
    <row r="250" spans="1:12" ht="20.25" customHeight="1">
      <c r="A250" s="547"/>
      <c r="B250" s="1675"/>
      <c r="C250" s="554"/>
      <c r="D250" s="1675"/>
      <c r="E250" s="554"/>
      <c r="F250" s="1688"/>
      <c r="G250" s="542" t="s">
        <v>2322</v>
      </c>
      <c r="H250" s="17"/>
      <c r="I250" s="16"/>
      <c r="J250" s="16"/>
      <c r="K250" s="17"/>
      <c r="L250" s="64"/>
    </row>
    <row r="251" spans="1:12" ht="20.25" customHeight="1">
      <c r="A251" s="547"/>
      <c r="B251" s="1675"/>
      <c r="C251" s="554"/>
      <c r="D251" s="1675"/>
      <c r="E251" s="554"/>
      <c r="F251" s="1688"/>
      <c r="G251" s="542" t="s">
        <v>2323</v>
      </c>
      <c r="H251" s="17"/>
      <c r="I251" s="16"/>
      <c r="J251" s="16"/>
      <c r="K251" s="17"/>
      <c r="L251" s="64"/>
    </row>
    <row r="252" spans="1:12" ht="26.25" customHeight="1">
      <c r="A252" s="547"/>
      <c r="B252" s="1675"/>
      <c r="C252" s="554"/>
      <c r="D252" s="1675"/>
      <c r="E252" s="554"/>
      <c r="F252" s="1688"/>
      <c r="G252" s="542" t="s">
        <v>2324</v>
      </c>
      <c r="H252" s="17"/>
      <c r="I252" s="16"/>
      <c r="J252" s="16"/>
      <c r="K252" s="17"/>
      <c r="L252" s="64"/>
    </row>
    <row r="253" spans="1:12" ht="25.5" customHeight="1">
      <c r="A253" s="547"/>
      <c r="B253" s="1675"/>
      <c r="C253" s="554"/>
      <c r="D253" s="1675"/>
      <c r="E253" s="554"/>
      <c r="F253" s="1687"/>
      <c r="G253" s="542" t="s">
        <v>2325</v>
      </c>
      <c r="H253" s="17"/>
      <c r="I253" s="16"/>
      <c r="J253" s="16"/>
      <c r="K253" s="17"/>
      <c r="L253" s="64"/>
    </row>
    <row r="254" spans="1:12" ht="15" customHeight="1">
      <c r="A254" s="547"/>
      <c r="B254" s="1675"/>
      <c r="C254" s="554"/>
      <c r="D254" s="1675"/>
      <c r="E254" s="554"/>
      <c r="F254" s="1691" t="s">
        <v>2729</v>
      </c>
      <c r="G254" s="542"/>
      <c r="H254" s="17"/>
      <c r="I254" s="16"/>
      <c r="J254" s="16"/>
      <c r="K254" s="17"/>
      <c r="L254" s="64"/>
    </row>
    <row r="255" spans="1:12" ht="31.5" customHeight="1">
      <c r="A255" s="547"/>
      <c r="B255" s="1675"/>
      <c r="C255" s="554"/>
      <c r="D255" s="1675"/>
      <c r="E255" s="554"/>
      <c r="F255" s="1693"/>
      <c r="G255" s="542" t="s">
        <v>2156</v>
      </c>
      <c r="H255" s="17"/>
      <c r="I255" s="16"/>
      <c r="J255" s="16"/>
      <c r="K255" s="17"/>
      <c r="L255" s="64"/>
    </row>
    <row r="256" spans="1:12">
      <c r="A256" s="547"/>
      <c r="B256" s="1675"/>
      <c r="C256" s="554"/>
      <c r="D256" s="1675"/>
      <c r="E256" s="554"/>
      <c r="F256" s="1691" t="s">
        <v>2656</v>
      </c>
      <c r="G256" s="542"/>
      <c r="H256" s="17"/>
      <c r="I256" s="16"/>
      <c r="J256" s="16"/>
      <c r="K256" s="17"/>
      <c r="L256" s="64"/>
    </row>
    <row r="257" spans="1:12">
      <c r="A257" s="547"/>
      <c r="B257" s="1675"/>
      <c r="C257" s="554"/>
      <c r="D257" s="1675"/>
      <c r="E257" s="554"/>
      <c r="F257" s="1692"/>
      <c r="G257" s="542" t="s">
        <v>2326</v>
      </c>
      <c r="H257" s="17"/>
      <c r="I257" s="16"/>
      <c r="J257" s="16"/>
      <c r="K257" s="17"/>
      <c r="L257" s="64"/>
    </row>
    <row r="258" spans="1:12">
      <c r="A258" s="547"/>
      <c r="B258" s="1675"/>
      <c r="C258" s="554"/>
      <c r="D258" s="1675"/>
      <c r="E258" s="554"/>
      <c r="F258" s="1686" t="s">
        <v>2657</v>
      </c>
      <c r="G258" s="542"/>
      <c r="H258" s="17"/>
      <c r="I258" s="16"/>
      <c r="J258" s="16"/>
      <c r="K258" s="17"/>
      <c r="L258" s="64"/>
    </row>
    <row r="259" spans="1:12" ht="21" customHeight="1">
      <c r="A259" s="547"/>
      <c r="B259" s="1675"/>
      <c r="C259" s="554"/>
      <c r="D259" s="1675"/>
      <c r="E259" s="554"/>
      <c r="F259" s="1688"/>
      <c r="G259" s="534" t="s">
        <v>2219</v>
      </c>
      <c r="H259" s="17"/>
      <c r="I259" s="16"/>
      <c r="J259" s="16"/>
      <c r="K259" s="17"/>
      <c r="L259" s="64"/>
    </row>
    <row r="260" spans="1:12" ht="21" customHeight="1">
      <c r="A260" s="547"/>
      <c r="B260" s="1675"/>
      <c r="C260" s="554"/>
      <c r="D260" s="1675"/>
      <c r="E260" s="554"/>
      <c r="F260" s="1688"/>
      <c r="G260" s="534" t="s">
        <v>2220</v>
      </c>
      <c r="H260" s="17"/>
      <c r="I260" s="16"/>
      <c r="J260" s="16"/>
      <c r="K260" s="17"/>
      <c r="L260" s="64"/>
    </row>
    <row r="261" spans="1:12" ht="21" customHeight="1">
      <c r="A261" s="547"/>
      <c r="B261" s="1675"/>
      <c r="C261" s="554"/>
      <c r="D261" s="1675"/>
      <c r="E261" s="554"/>
      <c r="F261" s="1688"/>
      <c r="G261" s="542" t="s">
        <v>2793</v>
      </c>
      <c r="H261" s="17"/>
      <c r="I261" s="16"/>
      <c r="J261" s="16"/>
      <c r="K261" s="17"/>
      <c r="L261" s="64"/>
    </row>
    <row r="262" spans="1:12" ht="27" customHeight="1">
      <c r="A262" s="547"/>
      <c r="B262" s="1675"/>
      <c r="C262" s="554"/>
      <c r="D262" s="1675"/>
      <c r="E262" s="554"/>
      <c r="F262" s="1688"/>
      <c r="G262" s="542" t="s">
        <v>2794</v>
      </c>
      <c r="H262" s="17"/>
      <c r="I262" s="16"/>
      <c r="J262" s="16"/>
      <c r="K262" s="17"/>
      <c r="L262" s="64"/>
    </row>
    <row r="263" spans="1:12" ht="27" customHeight="1">
      <c r="A263" s="547"/>
      <c r="B263" s="1675"/>
      <c r="C263" s="554"/>
      <c r="D263" s="1675"/>
      <c r="E263" s="554"/>
      <c r="F263" s="1688"/>
      <c r="G263" s="542" t="s">
        <v>2795</v>
      </c>
      <c r="H263" s="17"/>
      <c r="I263" s="16"/>
      <c r="J263" s="16"/>
      <c r="K263" s="17"/>
      <c r="L263" s="64"/>
    </row>
    <row r="264" spans="1:12" ht="27" customHeight="1">
      <c r="A264" s="547"/>
      <c r="B264" s="1675"/>
      <c r="C264" s="554"/>
      <c r="D264" s="1675"/>
      <c r="E264" s="554"/>
      <c r="F264" s="1688"/>
      <c r="G264" s="542" t="s">
        <v>2796</v>
      </c>
      <c r="H264" s="17"/>
      <c r="I264" s="16"/>
      <c r="J264" s="16"/>
      <c r="K264" s="17"/>
      <c r="L264" s="64"/>
    </row>
    <row r="265" spans="1:12" ht="27" customHeight="1">
      <c r="A265" s="547"/>
      <c r="B265" s="1675"/>
      <c r="C265" s="554"/>
      <c r="D265" s="1675"/>
      <c r="E265" s="554"/>
      <c r="F265" s="1688"/>
      <c r="G265" s="542" t="s">
        <v>2797</v>
      </c>
      <c r="H265" s="17"/>
      <c r="I265" s="16"/>
      <c r="J265" s="16"/>
      <c r="K265" s="17"/>
      <c r="L265" s="64"/>
    </row>
    <row r="266" spans="1:12" ht="27" customHeight="1">
      <c r="A266" s="547"/>
      <c r="B266" s="1675"/>
      <c r="C266" s="554"/>
      <c r="D266" s="1675"/>
      <c r="E266" s="554"/>
      <c r="F266" s="1687"/>
      <c r="G266" s="542" t="s">
        <v>2797</v>
      </c>
      <c r="H266" s="17"/>
      <c r="I266" s="16"/>
      <c r="J266" s="16"/>
      <c r="K266" s="17"/>
      <c r="L266" s="64"/>
    </row>
    <row r="267" spans="1:12" ht="13.5" customHeight="1">
      <c r="A267" s="547"/>
      <c r="B267" s="1671" t="s">
        <v>2159</v>
      </c>
      <c r="C267" s="554"/>
      <c r="D267" s="1673" t="s">
        <v>2846</v>
      </c>
      <c r="E267" s="1671"/>
      <c r="F267" s="1686" t="s">
        <v>2730</v>
      </c>
      <c r="G267" s="541"/>
      <c r="H267" s="17"/>
      <c r="I267" s="16"/>
      <c r="J267" s="16"/>
      <c r="K267" s="17"/>
      <c r="L267" s="64"/>
    </row>
    <row r="268" spans="1:12" ht="27.75" customHeight="1">
      <c r="A268" s="547"/>
      <c r="B268" s="1675"/>
      <c r="C268" s="554"/>
      <c r="D268" s="1673"/>
      <c r="E268" s="1675"/>
      <c r="F268" s="1688"/>
      <c r="G268" s="541" t="s">
        <v>2225</v>
      </c>
      <c r="H268" s="17"/>
      <c r="I268" s="16"/>
      <c r="J268" s="16"/>
      <c r="K268" s="17"/>
      <c r="L268" s="64"/>
    </row>
    <row r="269" spans="1:12">
      <c r="A269" s="547"/>
      <c r="B269" s="1675"/>
      <c r="C269" s="554"/>
      <c r="D269" s="1673"/>
      <c r="E269" s="1675"/>
      <c r="F269" s="1688"/>
      <c r="G269" s="541"/>
      <c r="H269" s="17"/>
      <c r="I269" s="16"/>
      <c r="J269" s="16"/>
      <c r="K269" s="17"/>
      <c r="L269" s="64"/>
    </row>
    <row r="270" spans="1:12" ht="27.75" customHeight="1">
      <c r="A270" s="547"/>
      <c r="B270" s="1675"/>
      <c r="C270" s="554"/>
      <c r="D270" s="1673"/>
      <c r="E270" s="1672"/>
      <c r="F270" s="1687"/>
      <c r="G270" s="541" t="s">
        <v>2785</v>
      </c>
      <c r="H270" s="17"/>
      <c r="I270" s="16"/>
      <c r="J270" s="16"/>
      <c r="K270" s="17"/>
      <c r="L270" s="64"/>
    </row>
    <row r="271" spans="1:12" ht="15" customHeight="1">
      <c r="A271" s="547"/>
      <c r="B271" s="1675"/>
      <c r="C271" s="554"/>
      <c r="D271" s="1673"/>
      <c r="E271" s="1671"/>
      <c r="F271" s="1686" t="s">
        <v>2847</v>
      </c>
      <c r="G271" s="559"/>
      <c r="H271" s="17"/>
      <c r="I271" s="16"/>
      <c r="J271" s="16"/>
      <c r="K271" s="17"/>
      <c r="L271" s="64"/>
    </row>
    <row r="272" spans="1:12" ht="27" customHeight="1">
      <c r="A272" s="547"/>
      <c r="B272" s="1675"/>
      <c r="C272" s="554"/>
      <c r="D272" s="1673"/>
      <c r="E272" s="1675"/>
      <c r="F272" s="1688"/>
      <c r="G272" s="541" t="s">
        <v>2226</v>
      </c>
      <c r="H272" s="17"/>
      <c r="I272" s="16"/>
      <c r="J272" s="16"/>
      <c r="K272" s="17"/>
      <c r="L272" s="64"/>
    </row>
    <row r="273" spans="1:12">
      <c r="A273" s="547"/>
      <c r="B273" s="1675"/>
      <c r="C273" s="554"/>
      <c r="D273" s="1673"/>
      <c r="E273" s="1675"/>
      <c r="F273" s="1688"/>
      <c r="G273" s="541"/>
      <c r="H273" s="17"/>
      <c r="I273" s="16"/>
      <c r="J273" s="16"/>
      <c r="K273" s="17"/>
      <c r="L273" s="64"/>
    </row>
    <row r="274" spans="1:12" ht="28.5" customHeight="1">
      <c r="A274" s="547"/>
      <c r="B274" s="1675"/>
      <c r="C274" s="554"/>
      <c r="D274" s="1673"/>
      <c r="E274" s="1672"/>
      <c r="F274" s="1687"/>
      <c r="G274" s="541" t="s">
        <v>2701</v>
      </c>
      <c r="H274" s="17"/>
      <c r="I274" s="16"/>
      <c r="J274" s="16"/>
      <c r="K274" s="17"/>
      <c r="L274" s="64"/>
    </row>
    <row r="275" spans="1:12" ht="15" customHeight="1">
      <c r="A275" s="547"/>
      <c r="B275" s="1675"/>
      <c r="C275" s="554"/>
      <c r="D275" s="1673"/>
      <c r="E275" s="1671"/>
      <c r="F275" s="1686" t="s">
        <v>2848</v>
      </c>
      <c r="G275" s="541"/>
      <c r="H275" s="17"/>
      <c r="I275" s="16"/>
      <c r="J275" s="16"/>
      <c r="K275" s="17"/>
      <c r="L275" s="64"/>
    </row>
    <row r="276" spans="1:12" ht="30" customHeight="1">
      <c r="A276" s="547"/>
      <c r="B276" s="1675"/>
      <c r="C276" s="554"/>
      <c r="D276" s="1673"/>
      <c r="E276" s="1672"/>
      <c r="F276" s="1687"/>
      <c r="G276" s="559" t="s">
        <v>2702</v>
      </c>
      <c r="H276" s="17"/>
      <c r="I276" s="16"/>
      <c r="J276" s="16"/>
      <c r="K276" s="17"/>
      <c r="L276" s="64"/>
    </row>
    <row r="277" spans="1:12" ht="15" customHeight="1">
      <c r="A277" s="547"/>
      <c r="B277" s="1675"/>
      <c r="C277" s="554"/>
      <c r="D277" s="1673"/>
      <c r="E277" s="1671"/>
      <c r="F277" s="1686" t="s">
        <v>2849</v>
      </c>
      <c r="G277" s="559"/>
      <c r="H277" s="17"/>
      <c r="I277" s="16"/>
      <c r="J277" s="16"/>
      <c r="K277" s="17"/>
      <c r="L277" s="64"/>
    </row>
    <row r="278" spans="1:12" ht="29.25" customHeight="1">
      <c r="A278" s="547"/>
      <c r="B278" s="1675"/>
      <c r="C278" s="554"/>
      <c r="D278" s="1671"/>
      <c r="E278" s="1675"/>
      <c r="F278" s="1688"/>
      <c r="G278" s="564" t="s">
        <v>2850</v>
      </c>
      <c r="H278" s="17"/>
      <c r="I278" s="16"/>
      <c r="J278" s="16"/>
      <c r="K278" s="17"/>
      <c r="L278" s="64"/>
    </row>
    <row r="279" spans="1:12">
      <c r="A279" s="547"/>
      <c r="B279" s="1675"/>
      <c r="C279" s="554"/>
      <c r="D279" s="1671"/>
      <c r="E279" s="1675"/>
      <c r="F279" s="1688"/>
      <c r="G279" s="564"/>
      <c r="H279" s="17"/>
      <c r="I279" s="16"/>
      <c r="J279" s="16"/>
      <c r="K279" s="17"/>
      <c r="L279" s="64"/>
    </row>
    <row r="280" spans="1:12" ht="36.75" customHeight="1">
      <c r="A280" s="547"/>
      <c r="B280" s="1675"/>
      <c r="C280" s="554"/>
      <c r="D280" s="1671"/>
      <c r="E280" s="1672"/>
      <c r="F280" s="1687"/>
      <c r="G280" s="564" t="s">
        <v>2704</v>
      </c>
      <c r="H280" s="17"/>
      <c r="I280" s="16"/>
      <c r="J280" s="16"/>
      <c r="K280" s="17"/>
      <c r="L280" s="64"/>
    </row>
    <row r="281" spans="1:12" ht="15" customHeight="1">
      <c r="A281" s="547"/>
      <c r="B281" s="1675"/>
      <c r="C281" s="554"/>
      <c r="D281" s="1673" t="s">
        <v>2851</v>
      </c>
      <c r="E281" s="1671"/>
      <c r="F281" s="1686" t="s">
        <v>2732</v>
      </c>
      <c r="G281" s="541"/>
      <c r="H281" s="17"/>
      <c r="I281" s="16"/>
      <c r="J281" s="16"/>
      <c r="K281" s="17"/>
      <c r="L281" s="64"/>
    </row>
    <row r="282" spans="1:12" ht="30">
      <c r="A282" s="547"/>
      <c r="B282" s="1675"/>
      <c r="C282" s="554"/>
      <c r="D282" s="1673"/>
      <c r="E282" s="1675"/>
      <c r="F282" s="1688"/>
      <c r="G282" s="541" t="s">
        <v>2852</v>
      </c>
      <c r="H282" s="17"/>
      <c r="I282" s="16"/>
      <c r="J282" s="16"/>
      <c r="K282" s="17"/>
      <c r="L282" s="64"/>
    </row>
    <row r="283" spans="1:12">
      <c r="A283" s="547"/>
      <c r="B283" s="1675"/>
      <c r="C283" s="554"/>
      <c r="D283" s="1673"/>
      <c r="E283" s="1675"/>
      <c r="F283" s="1688"/>
      <c r="G283" s="536"/>
      <c r="H283" s="17"/>
      <c r="I283" s="16"/>
      <c r="J283" s="16"/>
      <c r="K283" s="17"/>
      <c r="L283" s="64"/>
    </row>
    <row r="284" spans="1:12" ht="24" customHeight="1">
      <c r="A284" s="547"/>
      <c r="B284" s="1675"/>
      <c r="C284" s="554"/>
      <c r="D284" s="1673"/>
      <c r="E284" s="1672"/>
      <c r="F284" s="1687"/>
      <c r="G284" s="541" t="s">
        <v>2853</v>
      </c>
      <c r="H284" s="17"/>
      <c r="I284" s="16"/>
      <c r="J284" s="16"/>
      <c r="K284" s="17"/>
      <c r="L284" s="64"/>
    </row>
    <row r="285" spans="1:12" ht="15" customHeight="1">
      <c r="A285" s="547"/>
      <c r="B285" s="1675"/>
      <c r="C285" s="554"/>
      <c r="D285" s="1673"/>
      <c r="E285" s="1671"/>
      <c r="F285" s="1686" t="s">
        <v>2745</v>
      </c>
      <c r="G285" s="559"/>
      <c r="H285" s="17"/>
      <c r="I285" s="16"/>
      <c r="J285" s="16"/>
      <c r="K285" s="17"/>
      <c r="L285" s="64"/>
    </row>
    <row r="286" spans="1:12" ht="30">
      <c r="A286" s="547"/>
      <c r="B286" s="1675"/>
      <c r="C286" s="554"/>
      <c r="D286" s="1673"/>
      <c r="E286" s="1675"/>
      <c r="F286" s="1688"/>
      <c r="G286" s="577" t="s">
        <v>2854</v>
      </c>
      <c r="H286" s="17"/>
      <c r="I286" s="16"/>
      <c r="J286" s="16"/>
      <c r="K286" s="17"/>
      <c r="L286" s="64"/>
    </row>
    <row r="287" spans="1:12" ht="21.75" customHeight="1">
      <c r="A287" s="547"/>
      <c r="B287" s="1675"/>
      <c r="C287" s="554"/>
      <c r="D287" s="1673"/>
      <c r="E287" s="1672"/>
      <c r="F287" s="1687"/>
      <c r="G287" s="577" t="s">
        <v>2855</v>
      </c>
      <c r="H287" s="17"/>
      <c r="I287" s="16"/>
      <c r="J287" s="16"/>
      <c r="K287" s="17"/>
    </row>
    <row r="288" spans="1:12" ht="15" customHeight="1">
      <c r="A288" s="547"/>
      <c r="B288" s="1675"/>
      <c r="C288" s="554"/>
      <c r="D288" s="1673"/>
      <c r="E288" s="1671"/>
      <c r="F288" s="1686" t="s">
        <v>2856</v>
      </c>
      <c r="G288" s="559"/>
      <c r="H288" s="17"/>
      <c r="I288" s="16"/>
      <c r="J288" s="16"/>
      <c r="K288" s="17"/>
    </row>
    <row r="289" spans="1:11" ht="21.75" customHeight="1">
      <c r="A289" s="547"/>
      <c r="B289" s="1675"/>
      <c r="C289" s="554"/>
      <c r="D289" s="1673"/>
      <c r="E289" s="1672"/>
      <c r="F289" s="1687"/>
      <c r="G289" s="577" t="s">
        <v>2857</v>
      </c>
      <c r="H289" s="17"/>
      <c r="I289" s="16"/>
      <c r="J289" s="16"/>
      <c r="K289" s="17"/>
    </row>
    <row r="290" spans="1:11" ht="15" customHeight="1">
      <c r="A290" s="547"/>
      <c r="B290" s="1675"/>
      <c r="C290" s="554"/>
      <c r="D290" s="1673"/>
      <c r="E290" s="1671"/>
      <c r="F290" s="1690" t="s">
        <v>2858</v>
      </c>
      <c r="G290" s="559"/>
      <c r="H290" s="17"/>
      <c r="I290" s="16"/>
      <c r="J290" s="16"/>
      <c r="K290" s="17"/>
    </row>
    <row r="291" spans="1:11" ht="26.25" customHeight="1">
      <c r="A291" s="547"/>
      <c r="B291" s="1675"/>
      <c r="C291" s="554"/>
      <c r="D291" s="1673"/>
      <c r="E291" s="1675"/>
      <c r="F291" s="1690"/>
      <c r="G291" s="577" t="s">
        <v>2229</v>
      </c>
      <c r="H291" s="17"/>
      <c r="I291" s="16"/>
      <c r="J291" s="16"/>
      <c r="K291" s="17"/>
    </row>
    <row r="292" spans="1:11" ht="15" customHeight="1">
      <c r="A292" s="547"/>
      <c r="B292" s="1673" t="s">
        <v>2662</v>
      </c>
      <c r="C292" s="554"/>
      <c r="D292" s="1673" t="s">
        <v>504</v>
      </c>
      <c r="E292" s="1671"/>
      <c r="F292" s="1690" t="s">
        <v>2223</v>
      </c>
      <c r="G292" s="541"/>
      <c r="H292" s="17"/>
      <c r="I292" s="16"/>
      <c r="J292" s="16"/>
      <c r="K292" s="17"/>
    </row>
    <row r="293" spans="1:11" ht="39" customHeight="1">
      <c r="A293" s="547"/>
      <c r="B293" s="1673"/>
      <c r="C293" s="554"/>
      <c r="D293" s="1673"/>
      <c r="E293" s="1675"/>
      <c r="F293" s="1690"/>
      <c r="G293" s="541" t="s">
        <v>2747</v>
      </c>
      <c r="H293" s="17"/>
      <c r="I293" s="16"/>
      <c r="J293" s="16"/>
      <c r="K293" s="17"/>
    </row>
    <row r="294" spans="1:11">
      <c r="A294" s="547"/>
      <c r="B294" s="1673"/>
      <c r="C294" s="554"/>
      <c r="D294" s="1673"/>
      <c r="E294" s="1675"/>
      <c r="F294" s="1690"/>
      <c r="G294" s="541"/>
      <c r="H294" s="17"/>
      <c r="I294" s="16"/>
      <c r="J294" s="16"/>
      <c r="K294" s="17"/>
    </row>
    <row r="295" spans="1:11" ht="39" customHeight="1">
      <c r="A295" s="547"/>
      <c r="B295" s="1673"/>
      <c r="C295" s="554"/>
      <c r="D295" s="1673"/>
      <c r="E295" s="1672"/>
      <c r="F295" s="1690"/>
      <c r="G295" s="542" t="s">
        <v>2859</v>
      </c>
      <c r="H295" s="17"/>
      <c r="I295" s="16"/>
      <c r="J295" s="16"/>
      <c r="K295" s="17"/>
    </row>
    <row r="296" spans="1:11" ht="15" customHeight="1">
      <c r="A296" s="547"/>
      <c r="B296" s="1673"/>
      <c r="C296" s="554"/>
      <c r="D296" s="1686" t="s">
        <v>2663</v>
      </c>
      <c r="E296" s="1671"/>
      <c r="F296" s="1690" t="s">
        <v>2664</v>
      </c>
      <c r="G296" s="542"/>
      <c r="H296" s="17"/>
      <c r="I296" s="16"/>
      <c r="J296" s="16"/>
      <c r="K296" s="17"/>
    </row>
    <row r="297" spans="1:11" ht="29.25" customHeight="1">
      <c r="A297" s="547"/>
      <c r="B297" s="1673"/>
      <c r="C297" s="554"/>
      <c r="D297" s="1688"/>
      <c r="E297" s="1672"/>
      <c r="F297" s="1690"/>
      <c r="G297" s="541" t="s">
        <v>2685</v>
      </c>
      <c r="H297" s="17"/>
      <c r="I297" s="16"/>
      <c r="J297" s="16"/>
      <c r="K297" s="17"/>
    </row>
    <row r="298" spans="1:11" ht="15" customHeight="1">
      <c r="A298" s="547"/>
      <c r="B298" s="1673"/>
      <c r="C298" s="554"/>
      <c r="D298" s="1688"/>
      <c r="E298" s="1671"/>
      <c r="F298" s="1690" t="s">
        <v>2665</v>
      </c>
      <c r="G298" s="536"/>
      <c r="H298" s="17"/>
      <c r="I298" s="16"/>
      <c r="J298" s="16"/>
      <c r="K298" s="17"/>
    </row>
    <row r="299" spans="1:11" ht="45">
      <c r="A299" s="547"/>
      <c r="B299" s="1673"/>
      <c r="C299" s="554"/>
      <c r="D299" s="1688"/>
      <c r="E299" s="1675"/>
      <c r="F299" s="1690"/>
      <c r="G299" s="541" t="s">
        <v>2860</v>
      </c>
      <c r="H299" s="17"/>
      <c r="I299" s="16"/>
      <c r="J299" s="16"/>
      <c r="K299" s="17"/>
    </row>
    <row r="300" spans="1:11">
      <c r="A300" s="547"/>
      <c r="B300" s="1673"/>
      <c r="C300" s="554"/>
      <c r="D300" s="1688"/>
      <c r="E300" s="1675"/>
      <c r="F300" s="1690"/>
      <c r="G300" s="541"/>
      <c r="H300" s="17"/>
      <c r="I300" s="16"/>
      <c r="J300" s="16"/>
      <c r="K300" s="17"/>
    </row>
    <row r="301" spans="1:11" ht="24.75" customHeight="1">
      <c r="A301" s="547"/>
      <c r="B301" s="1673"/>
      <c r="C301" s="554"/>
      <c r="D301" s="1687"/>
      <c r="E301" s="1672"/>
      <c r="F301" s="1690"/>
      <c r="G301" s="541" t="s">
        <v>2686</v>
      </c>
      <c r="H301" s="17"/>
      <c r="I301" s="16"/>
      <c r="J301" s="16"/>
      <c r="K301" s="17"/>
    </row>
    <row r="302" spans="1:11">
      <c r="A302" s="17"/>
      <c r="B302" s="17"/>
      <c r="C302" s="17"/>
      <c r="D302" s="17"/>
      <c r="E302" s="17"/>
      <c r="G302" s="17"/>
      <c r="H302" s="17"/>
      <c r="I302" s="16"/>
      <c r="J302" s="16"/>
      <c r="K302" s="17"/>
    </row>
    <row r="303" spans="1:11">
      <c r="A303" s="565" t="s">
        <v>817</v>
      </c>
      <c r="B303" s="17"/>
      <c r="C303" s="17"/>
      <c r="D303" s="17"/>
      <c r="E303" s="17"/>
      <c r="G303" s="17"/>
      <c r="H303" s="17"/>
      <c r="I303" s="16"/>
      <c r="J303" s="16"/>
      <c r="K303" s="17"/>
    </row>
    <row r="304" spans="1:11">
      <c r="A304" s="17"/>
      <c r="B304" s="17"/>
      <c r="C304" s="17"/>
      <c r="D304" s="373"/>
      <c r="E304" s="17"/>
      <c r="G304" s="17"/>
      <c r="H304" s="17"/>
      <c r="I304" s="16"/>
      <c r="J304" s="16"/>
      <c r="K304" s="17"/>
    </row>
    <row r="305" spans="1:11">
      <c r="A305" s="530"/>
      <c r="B305" s="531">
        <v>0</v>
      </c>
      <c r="C305" s="530"/>
      <c r="D305" s="530" t="s">
        <v>2230</v>
      </c>
      <c r="E305" s="17"/>
      <c r="G305" s="17"/>
      <c r="H305" s="17"/>
      <c r="I305" s="16"/>
      <c r="J305" s="16"/>
      <c r="K305" s="17"/>
    </row>
    <row r="306" spans="1:11">
      <c r="A306" s="530" t="s">
        <v>2041</v>
      </c>
      <c r="B306" s="531" t="s">
        <v>814</v>
      </c>
      <c r="C306" s="566">
        <v>0.2</v>
      </c>
      <c r="D306" s="530" t="s">
        <v>22</v>
      </c>
      <c r="E306" s="567"/>
      <c r="F306" s="567"/>
      <c r="G306" s="17"/>
      <c r="H306" s="17"/>
      <c r="I306" s="16"/>
      <c r="J306" s="16"/>
      <c r="K306" s="17"/>
    </row>
    <row r="307" spans="1:11">
      <c r="A307" s="530" t="s">
        <v>2043</v>
      </c>
      <c r="B307" s="531" t="s">
        <v>815</v>
      </c>
      <c r="C307" s="566">
        <v>0.1</v>
      </c>
      <c r="D307" s="17" t="s">
        <v>1109</v>
      </c>
      <c r="E307" s="530" t="s">
        <v>653</v>
      </c>
      <c r="F307" s="567" t="s">
        <v>653</v>
      </c>
      <c r="G307" s="17"/>
      <c r="H307" s="17"/>
      <c r="I307" s="16"/>
      <c r="J307" s="16"/>
      <c r="K307" s="17"/>
    </row>
    <row r="308" spans="1:11">
      <c r="A308" s="530" t="s">
        <v>2044</v>
      </c>
      <c r="B308" s="531" t="s">
        <v>816</v>
      </c>
      <c r="C308" s="17"/>
      <c r="D308" s="371"/>
      <c r="E308" s="530"/>
      <c r="F308" s="567" t="s">
        <v>2861</v>
      </c>
      <c r="G308" s="17"/>
      <c r="H308" s="17"/>
      <c r="I308" s="16"/>
      <c r="J308" s="16"/>
      <c r="K308" s="17"/>
    </row>
    <row r="309" spans="1:11">
      <c r="A309" s="17"/>
      <c r="B309" s="17"/>
      <c r="C309" s="17"/>
      <c r="D309" s="371"/>
      <c r="E309" s="530" t="s">
        <v>2861</v>
      </c>
      <c r="F309" s="567" t="s">
        <v>837</v>
      </c>
      <c r="G309" s="17"/>
      <c r="H309" s="17"/>
      <c r="I309" s="16"/>
      <c r="J309" s="16"/>
      <c r="K309" s="17"/>
    </row>
    <row r="310" spans="1:11">
      <c r="A310" s="530"/>
      <c r="B310" s="531">
        <v>0</v>
      </c>
      <c r="C310" s="17"/>
      <c r="D310" s="371" t="s">
        <v>2231</v>
      </c>
      <c r="E310" s="530" t="s">
        <v>837</v>
      </c>
      <c r="G310" s="17"/>
      <c r="H310" s="17"/>
      <c r="I310" s="16"/>
      <c r="J310" s="16"/>
      <c r="K310" s="17"/>
    </row>
    <row r="311" spans="1:11">
      <c r="A311" s="530" t="s">
        <v>2708</v>
      </c>
      <c r="B311" s="531" t="s">
        <v>811</v>
      </c>
      <c r="C311" s="540">
        <v>35</v>
      </c>
      <c r="D311" s="371" t="s">
        <v>2232</v>
      </c>
      <c r="E311" s="530"/>
      <c r="G311" s="17"/>
      <c r="H311" s="17"/>
      <c r="I311" s="16"/>
      <c r="J311" s="16"/>
      <c r="K311" s="17"/>
    </row>
    <row r="312" spans="1:11">
      <c r="A312" s="530" t="s">
        <v>2057</v>
      </c>
      <c r="B312" s="531" t="s">
        <v>812</v>
      </c>
      <c r="C312" s="540">
        <v>25</v>
      </c>
      <c r="D312" s="371"/>
      <c r="E312" s="285">
        <v>2</v>
      </c>
      <c r="G312" s="17"/>
      <c r="H312" s="17"/>
      <c r="I312" s="16"/>
      <c r="J312" s="16"/>
      <c r="K312" s="17"/>
    </row>
    <row r="313" spans="1:11">
      <c r="A313" s="530"/>
      <c r="B313" s="531" t="s">
        <v>813</v>
      </c>
      <c r="C313" s="540">
        <v>20</v>
      </c>
      <c r="D313" s="371"/>
      <c r="E313" s="285">
        <v>3</v>
      </c>
      <c r="G313" s="17"/>
      <c r="H313" s="17"/>
      <c r="I313" s="16"/>
      <c r="J313" s="16"/>
      <c r="K313" s="17"/>
    </row>
    <row r="314" spans="1:11">
      <c r="A314" s="530" t="s">
        <v>2055</v>
      </c>
      <c r="B314" s="530"/>
      <c r="C314" s="540"/>
      <c r="D314" s="17"/>
      <c r="E314" s="17"/>
      <c r="G314" s="17"/>
      <c r="H314" s="17"/>
      <c r="I314" s="16"/>
      <c r="J314" s="16"/>
      <c r="K314" s="17"/>
    </row>
    <row r="315" spans="1:11">
      <c r="A315" s="530" t="s">
        <v>2058</v>
      </c>
      <c r="B315" s="530">
        <v>1.5</v>
      </c>
      <c r="C315" s="17"/>
      <c r="D315" s="565" t="s">
        <v>2709</v>
      </c>
      <c r="E315" s="17"/>
      <c r="G315" s="530" t="s">
        <v>590</v>
      </c>
      <c r="H315" s="17"/>
      <c r="I315" s="16"/>
      <c r="J315" s="16"/>
      <c r="K315" s="17"/>
    </row>
    <row r="316" spans="1:11">
      <c r="A316" s="530"/>
      <c r="B316" s="530">
        <v>1.6</v>
      </c>
      <c r="C316" s="17"/>
      <c r="D316" s="530"/>
      <c r="E316" s="568"/>
      <c r="F316" s="569"/>
      <c r="G316" s="530" t="s">
        <v>596</v>
      </c>
      <c r="H316" s="17"/>
      <c r="I316" s="16"/>
      <c r="J316" s="16"/>
      <c r="K316" s="17"/>
    </row>
    <row r="317" spans="1:11">
      <c r="A317" s="530" t="s">
        <v>2059</v>
      </c>
      <c r="B317" s="530">
        <v>1.7</v>
      </c>
      <c r="C317" s="17"/>
      <c r="D317" s="530" t="s">
        <v>2072</v>
      </c>
      <c r="E317" s="568" t="s">
        <v>2862</v>
      </c>
      <c r="F317" s="570" t="s">
        <v>2241</v>
      </c>
      <c r="G317" s="530" t="s">
        <v>2248</v>
      </c>
      <c r="H317" s="17"/>
      <c r="I317" s="16"/>
      <c r="J317" s="16"/>
      <c r="K317" s="17"/>
    </row>
    <row r="318" spans="1:11">
      <c r="A318" s="530" t="s">
        <v>2060</v>
      </c>
      <c r="B318" s="530">
        <v>1.8</v>
      </c>
      <c r="C318" s="17"/>
      <c r="D318" s="530" t="s">
        <v>2078</v>
      </c>
      <c r="E318" s="568" t="s">
        <v>833</v>
      </c>
      <c r="F318" s="571" t="s">
        <v>2242</v>
      </c>
      <c r="G318" s="530"/>
      <c r="H318" s="17"/>
      <c r="I318" s="16"/>
      <c r="J318" s="16"/>
      <c r="K318" s="17"/>
    </row>
    <row r="319" spans="1:11">
      <c r="A319" s="530" t="s">
        <v>2056</v>
      </c>
      <c r="B319" s="530">
        <v>1.9</v>
      </c>
      <c r="C319" s="17"/>
      <c r="D319" s="530" t="s">
        <v>2073</v>
      </c>
      <c r="E319" s="17"/>
      <c r="F319" s="571" t="s">
        <v>2687</v>
      </c>
      <c r="G319" s="530" t="s">
        <v>595</v>
      </c>
      <c r="H319" s="17"/>
      <c r="I319" s="16"/>
      <c r="J319" s="16"/>
      <c r="K319" s="17"/>
    </row>
    <row r="320" spans="1:11">
      <c r="A320" s="17"/>
      <c r="B320" s="567">
        <v>2</v>
      </c>
      <c r="C320" s="17"/>
      <c r="D320" s="530" t="s">
        <v>2079</v>
      </c>
      <c r="E320" s="17"/>
      <c r="F320" s="571" t="s">
        <v>2243</v>
      </c>
      <c r="G320" s="530" t="s">
        <v>425</v>
      </c>
      <c r="H320" s="17"/>
      <c r="I320" s="16"/>
      <c r="J320" s="16"/>
      <c r="K320" s="17"/>
    </row>
    <row r="321" spans="1:11">
      <c r="A321" s="530" t="s">
        <v>2708</v>
      </c>
      <c r="B321" s="567"/>
      <c r="C321" s="285"/>
      <c r="D321" s="530" t="s">
        <v>831</v>
      </c>
      <c r="E321" s="17"/>
      <c r="F321" s="571" t="s">
        <v>2244</v>
      </c>
      <c r="G321" s="530" t="s">
        <v>2480</v>
      </c>
      <c r="H321" s="17"/>
      <c r="I321" s="16"/>
      <c r="J321" s="16"/>
      <c r="K321" s="17"/>
    </row>
    <row r="322" spans="1:11">
      <c r="A322" s="540" t="s">
        <v>2064</v>
      </c>
      <c r="B322" s="579" t="s">
        <v>2863</v>
      </c>
      <c r="C322" s="572" t="s">
        <v>22</v>
      </c>
      <c r="D322" s="530" t="s">
        <v>832</v>
      </c>
      <c r="E322" s="17"/>
      <c r="G322" s="17"/>
      <c r="H322" s="17"/>
      <c r="I322" s="16"/>
      <c r="J322" s="16"/>
      <c r="K322" s="17"/>
    </row>
    <row r="323" spans="1:11">
      <c r="A323" s="540"/>
      <c r="B323" s="579" t="s">
        <v>2864</v>
      </c>
      <c r="C323" s="572" t="s">
        <v>943</v>
      </c>
      <c r="D323" s="565" t="s">
        <v>2709</v>
      </c>
      <c r="E323" s="17"/>
      <c r="G323" s="17" t="s">
        <v>592</v>
      </c>
      <c r="H323" s="17"/>
      <c r="I323" s="16"/>
      <c r="J323" s="16"/>
      <c r="K323" s="17"/>
    </row>
    <row r="324" spans="1:11">
      <c r="A324" s="540" t="s">
        <v>2065</v>
      </c>
      <c r="B324" s="530"/>
      <c r="C324" s="17"/>
      <c r="D324" s="530" t="s">
        <v>2073</v>
      </c>
      <c r="E324" s="17"/>
      <c r="G324" s="17" t="s">
        <v>2249</v>
      </c>
      <c r="H324" s="17"/>
      <c r="I324" s="16"/>
      <c r="J324" s="16"/>
      <c r="K324" s="17"/>
    </row>
    <row r="325" spans="1:11">
      <c r="A325" s="540"/>
      <c r="B325" s="17"/>
      <c r="C325" s="17"/>
      <c r="D325" s="530" t="s">
        <v>2079</v>
      </c>
      <c r="E325" s="17"/>
      <c r="G325" s="17"/>
      <c r="H325" s="17"/>
      <c r="I325" s="16"/>
      <c r="J325" s="16"/>
      <c r="K325" s="17"/>
    </row>
    <row r="326" spans="1:11">
      <c r="A326" s="540" t="s">
        <v>2066</v>
      </c>
      <c r="B326" s="530"/>
      <c r="C326" s="17"/>
      <c r="D326" s="530" t="s">
        <v>2074</v>
      </c>
      <c r="E326" s="17"/>
      <c r="G326" s="17"/>
      <c r="H326" s="17"/>
      <c r="I326" s="16"/>
      <c r="J326" s="16"/>
      <c r="K326" s="17"/>
    </row>
    <row r="327" spans="1:11">
      <c r="A327" s="530"/>
      <c r="B327" s="573" t="s">
        <v>2710</v>
      </c>
      <c r="C327" s="17"/>
      <c r="D327" s="530" t="s">
        <v>2080</v>
      </c>
      <c r="E327" s="17"/>
      <c r="G327" s="17"/>
      <c r="H327" s="17"/>
      <c r="I327" s="16"/>
      <c r="J327" s="16"/>
      <c r="K327" s="17"/>
    </row>
    <row r="328" spans="1:11">
      <c r="A328" s="530" t="s">
        <v>2276</v>
      </c>
      <c r="B328" s="573" t="s">
        <v>2711</v>
      </c>
      <c r="C328" s="17"/>
      <c r="D328" s="530" t="s">
        <v>2075</v>
      </c>
      <c r="E328" s="17"/>
      <c r="G328" s="17"/>
      <c r="H328" s="17"/>
      <c r="I328" s="16"/>
      <c r="J328" s="16"/>
      <c r="K328" s="17"/>
    </row>
    <row r="329" spans="1:11">
      <c r="A329" s="530" t="s">
        <v>2277</v>
      </c>
      <c r="B329" s="573" t="s">
        <v>2712</v>
      </c>
      <c r="C329" s="17"/>
      <c r="D329" s="530" t="s">
        <v>2081</v>
      </c>
      <c r="E329" s="17"/>
      <c r="G329" s="17"/>
      <c r="H329" s="17"/>
      <c r="I329" s="16"/>
      <c r="J329" s="16"/>
      <c r="K329" s="17"/>
    </row>
    <row r="330" spans="1:11">
      <c r="A330" s="530" t="s">
        <v>2278</v>
      </c>
      <c r="B330" s="530"/>
      <c r="C330" s="17"/>
      <c r="D330" s="530" t="s">
        <v>2076</v>
      </c>
      <c r="E330" s="17"/>
      <c r="G330" s="17"/>
      <c r="H330" s="17"/>
      <c r="I330" s="16"/>
      <c r="J330" s="16"/>
      <c r="K330" s="17"/>
    </row>
    <row r="331" spans="1:11" ht="30" customHeight="1">
      <c r="A331" s="530" t="s">
        <v>2279</v>
      </c>
      <c r="B331" s="574" t="s">
        <v>2713</v>
      </c>
      <c r="C331" s="17"/>
      <c r="D331" s="8" t="s">
        <v>2082</v>
      </c>
      <c r="E331" s="17"/>
      <c r="G331" s="17"/>
      <c r="H331" s="17"/>
      <c r="I331" s="16"/>
      <c r="J331" s="16"/>
      <c r="K331" s="17"/>
    </row>
    <row r="332" spans="1:11" ht="30" customHeight="1">
      <c r="A332" s="17"/>
      <c r="B332" s="574" t="s">
        <v>2714</v>
      </c>
      <c r="C332" s="17"/>
      <c r="D332" s="8" t="s">
        <v>2077</v>
      </c>
      <c r="E332" s="17"/>
      <c r="G332" s="17"/>
      <c r="H332" s="17"/>
      <c r="I332" s="16"/>
      <c r="J332" s="16"/>
      <c r="K332" s="17"/>
    </row>
    <row r="333" spans="1:11" ht="30" customHeight="1">
      <c r="A333" s="17"/>
      <c r="B333" s="573" t="s">
        <v>2715</v>
      </c>
      <c r="C333" s="17"/>
      <c r="D333" s="8" t="s">
        <v>2083</v>
      </c>
      <c r="E333" s="17"/>
      <c r="G333" s="17"/>
      <c r="H333" s="17"/>
      <c r="I333" s="16"/>
      <c r="J333" s="16"/>
      <c r="K333" s="17"/>
    </row>
    <row r="334" spans="1:11" ht="30" customHeight="1">
      <c r="A334" s="17"/>
      <c r="B334" s="573" t="s">
        <v>2716</v>
      </c>
      <c r="C334" s="17"/>
      <c r="D334" s="17"/>
      <c r="E334" s="17"/>
      <c r="G334" s="17"/>
      <c r="H334" s="17"/>
      <c r="I334" s="16"/>
      <c r="J334" s="16"/>
      <c r="K334" s="17"/>
    </row>
    <row r="335" spans="1:11">
      <c r="A335" s="371"/>
      <c r="B335" s="17"/>
      <c r="C335" s="371"/>
      <c r="D335" s="371"/>
      <c r="E335" s="371"/>
      <c r="F335" s="371"/>
      <c r="G335" s="371"/>
      <c r="H335" s="371"/>
      <c r="I335" s="230"/>
      <c r="J335" s="230"/>
      <c r="K335" s="371"/>
    </row>
    <row r="336" spans="1:11" ht="15" customHeight="1">
      <c r="A336" s="532"/>
      <c r="B336" s="17"/>
      <c r="C336" s="532"/>
      <c r="D336" s="532"/>
      <c r="E336" s="532"/>
      <c r="F336" s="371"/>
      <c r="G336" s="371"/>
      <c r="H336" s="371"/>
      <c r="I336" s="230"/>
      <c r="J336" s="230"/>
      <c r="K336" s="371"/>
    </row>
    <row r="337" spans="1:11" ht="15" customHeight="1">
      <c r="A337" s="532"/>
      <c r="B337" s="17"/>
      <c r="C337" s="371"/>
      <c r="D337" s="371"/>
      <c r="E337" s="371"/>
      <c r="F337" s="371"/>
      <c r="G337" s="371"/>
      <c r="H337" s="371"/>
      <c r="I337" s="230"/>
      <c r="J337" s="230"/>
      <c r="K337" s="371"/>
    </row>
    <row r="338" spans="1:11" ht="15" customHeight="1">
      <c r="A338" s="1694"/>
      <c r="B338" s="371"/>
      <c r="C338" s="371"/>
      <c r="D338" s="371"/>
      <c r="E338" s="371"/>
      <c r="F338" s="371"/>
      <c r="G338" s="371"/>
      <c r="H338" s="371"/>
      <c r="I338" s="230"/>
      <c r="J338" s="230"/>
      <c r="K338" s="371"/>
    </row>
    <row r="339" spans="1:11" ht="32.25" customHeight="1">
      <c r="A339" s="1694"/>
      <c r="B339" s="371"/>
      <c r="C339" s="371"/>
      <c r="D339" s="371"/>
      <c r="E339" s="371"/>
      <c r="F339" s="371"/>
      <c r="G339" s="371"/>
      <c r="H339" s="371"/>
      <c r="I339" s="230"/>
      <c r="J339" s="230"/>
      <c r="K339" s="371"/>
    </row>
    <row r="340" spans="1:11" ht="15" customHeight="1">
      <c r="A340" s="1694"/>
      <c r="B340" s="371"/>
      <c r="C340" s="371"/>
      <c r="D340" s="371"/>
      <c r="E340" s="371"/>
      <c r="F340" s="371"/>
      <c r="G340" s="371"/>
      <c r="H340" s="371"/>
      <c r="I340" s="230"/>
      <c r="J340" s="230"/>
      <c r="K340" s="371"/>
    </row>
    <row r="341" spans="1:11" ht="15" customHeight="1">
      <c r="A341" s="1694"/>
      <c r="B341" s="371"/>
      <c r="C341" s="371"/>
      <c r="D341" s="371"/>
      <c r="E341" s="371"/>
      <c r="F341" s="371"/>
      <c r="G341" s="371"/>
      <c r="H341" s="371"/>
      <c r="I341" s="230"/>
      <c r="J341" s="230"/>
      <c r="K341" s="371"/>
    </row>
    <row r="342" spans="1:11">
      <c r="A342" s="1694"/>
      <c r="B342" s="371"/>
      <c r="C342" s="371"/>
      <c r="D342" s="371"/>
      <c r="E342" s="371"/>
      <c r="F342" s="371"/>
      <c r="G342" s="371"/>
      <c r="H342" s="371"/>
      <c r="I342" s="230"/>
      <c r="J342" s="230"/>
      <c r="K342" s="371"/>
    </row>
    <row r="343" spans="1:11" ht="15" customHeight="1">
      <c r="A343" s="1694"/>
      <c r="B343" s="371"/>
      <c r="C343" s="371"/>
      <c r="D343" s="371"/>
      <c r="E343" s="371"/>
      <c r="F343" s="371"/>
      <c r="G343" s="371"/>
      <c r="H343" s="371"/>
      <c r="I343" s="230"/>
      <c r="J343" s="230"/>
      <c r="K343" s="371"/>
    </row>
    <row r="344" spans="1:11" ht="15" customHeight="1">
      <c r="A344" s="1694"/>
      <c r="B344" s="371"/>
      <c r="C344" s="371"/>
      <c r="D344" s="371"/>
      <c r="E344" s="371"/>
      <c r="F344" s="371"/>
      <c r="G344" s="371"/>
      <c r="H344" s="371"/>
      <c r="I344" s="230"/>
      <c r="J344" s="230"/>
      <c r="K344" s="371"/>
    </row>
    <row r="345" spans="1:11" ht="15" customHeight="1">
      <c r="A345" s="1694"/>
      <c r="B345" s="371"/>
      <c r="C345" s="371"/>
      <c r="D345" s="371"/>
      <c r="E345" s="371"/>
      <c r="F345" s="371"/>
      <c r="G345" s="371"/>
      <c r="H345" s="371"/>
      <c r="I345" s="230"/>
      <c r="J345" s="230"/>
      <c r="K345" s="371"/>
    </row>
    <row r="346" spans="1:11" ht="15" customHeight="1">
      <c r="A346" s="1694"/>
      <c r="B346" s="371"/>
      <c r="C346" s="371"/>
      <c r="D346" s="371"/>
      <c r="E346" s="371"/>
      <c r="F346" s="371"/>
      <c r="G346" s="371"/>
      <c r="H346" s="371"/>
      <c r="I346" s="230"/>
      <c r="J346" s="230"/>
      <c r="K346" s="371"/>
    </row>
    <row r="347" spans="1:11" ht="15" customHeight="1">
      <c r="A347" s="1694"/>
      <c r="B347" s="371"/>
      <c r="C347" s="371"/>
      <c r="D347" s="371"/>
      <c r="E347" s="371"/>
      <c r="F347" s="371"/>
      <c r="G347" s="371"/>
      <c r="H347" s="371"/>
      <c r="I347" s="230"/>
      <c r="J347" s="230"/>
      <c r="K347" s="371"/>
    </row>
    <row r="348" spans="1:11" ht="15" customHeight="1">
      <c r="A348" s="1694"/>
      <c r="B348" s="371"/>
      <c r="C348" s="371"/>
      <c r="D348" s="371"/>
      <c r="E348" s="371"/>
      <c r="F348" s="371"/>
      <c r="G348" s="371"/>
      <c r="H348" s="371"/>
      <c r="I348" s="230"/>
      <c r="J348" s="230"/>
      <c r="K348" s="371"/>
    </row>
    <row r="349" spans="1:11" ht="15" customHeight="1">
      <c r="A349" s="1694"/>
      <c r="B349" s="371"/>
      <c r="C349" s="371"/>
      <c r="D349" s="371"/>
      <c r="E349" s="371"/>
      <c r="F349" s="371"/>
      <c r="G349" s="371"/>
      <c r="H349" s="371"/>
      <c r="I349" s="230"/>
      <c r="J349" s="230"/>
      <c r="K349" s="371"/>
    </row>
    <row r="350" spans="1:11" ht="15" customHeight="1">
      <c r="A350" s="1694"/>
      <c r="B350" s="371"/>
      <c r="C350" s="371"/>
      <c r="D350" s="371"/>
      <c r="E350" s="371"/>
      <c r="F350" s="371"/>
      <c r="G350" s="371"/>
      <c r="H350" s="371"/>
      <c r="I350" s="230"/>
      <c r="J350" s="230"/>
      <c r="K350" s="371"/>
    </row>
    <row r="351" spans="1:11" ht="15" customHeight="1">
      <c r="A351" s="1694"/>
      <c r="B351" s="371"/>
      <c r="C351" s="371"/>
      <c r="D351" s="371"/>
      <c r="E351" s="371"/>
      <c r="F351" s="371"/>
      <c r="G351" s="371"/>
      <c r="H351" s="371"/>
      <c r="I351" s="230"/>
      <c r="J351" s="230"/>
      <c r="K351" s="371"/>
    </row>
    <row r="352" spans="1:11" ht="15" customHeight="1">
      <c r="A352" s="1694"/>
      <c r="B352" s="371"/>
      <c r="C352" s="371"/>
      <c r="D352" s="371"/>
      <c r="E352" s="371"/>
      <c r="F352" s="371"/>
      <c r="G352" s="371"/>
      <c r="H352" s="371"/>
      <c r="I352" s="230"/>
      <c r="J352" s="230"/>
      <c r="K352" s="371"/>
    </row>
    <row r="353" spans="1:11" ht="15" customHeight="1">
      <c r="A353" s="1694"/>
      <c r="B353" s="371"/>
      <c r="C353" s="371"/>
      <c r="D353" s="371"/>
      <c r="E353" s="371"/>
      <c r="F353" s="371"/>
      <c r="G353" s="371"/>
      <c r="H353" s="371"/>
      <c r="I353" s="230"/>
      <c r="J353" s="230"/>
      <c r="K353" s="371"/>
    </row>
    <row r="354" spans="1:11" ht="15" customHeight="1">
      <c r="A354" s="1694"/>
      <c r="B354" s="371"/>
      <c r="C354" s="371"/>
      <c r="D354" s="371"/>
      <c r="E354" s="371"/>
      <c r="F354" s="371"/>
      <c r="G354" s="371"/>
      <c r="H354" s="371"/>
      <c r="I354" s="230"/>
      <c r="J354" s="230"/>
      <c r="K354" s="371"/>
    </row>
    <row r="355" spans="1:11" ht="15" customHeight="1">
      <c r="A355" s="1694"/>
      <c r="B355" s="371"/>
      <c r="C355" s="371"/>
      <c r="D355" s="371"/>
      <c r="E355" s="371"/>
      <c r="F355" s="371"/>
      <c r="G355" s="371"/>
      <c r="H355" s="371"/>
      <c r="I355" s="230"/>
      <c r="J355" s="230"/>
      <c r="K355" s="371"/>
    </row>
    <row r="356" spans="1:11" ht="15" customHeight="1">
      <c r="A356" s="1694"/>
      <c r="B356" s="371"/>
      <c r="C356" s="371"/>
      <c r="D356" s="371"/>
      <c r="E356" s="371"/>
      <c r="F356" s="371"/>
      <c r="G356" s="371"/>
      <c r="H356" s="371"/>
      <c r="I356" s="230"/>
      <c r="J356" s="230"/>
      <c r="K356" s="371"/>
    </row>
    <row r="357" spans="1:11" ht="15" customHeight="1">
      <c r="A357" s="1694"/>
      <c r="B357" s="371"/>
      <c r="C357" s="371"/>
      <c r="D357" s="371"/>
      <c r="E357" s="371"/>
      <c r="F357" s="371"/>
      <c r="G357" s="371"/>
      <c r="H357" s="371"/>
      <c r="I357" s="230"/>
      <c r="J357" s="230"/>
      <c r="K357" s="371"/>
    </row>
    <row r="358" spans="1:11" ht="15" customHeight="1">
      <c r="A358" s="1694"/>
      <c r="B358" s="371"/>
      <c r="C358" s="371"/>
      <c r="D358" s="371"/>
      <c r="E358" s="371"/>
      <c r="F358" s="371"/>
      <c r="G358" s="371"/>
      <c r="H358" s="371"/>
      <c r="I358" s="230"/>
      <c r="J358" s="230"/>
      <c r="K358" s="371"/>
    </row>
    <row r="359" spans="1:11" ht="15" customHeight="1">
      <c r="A359" s="1694"/>
      <c r="B359" s="371"/>
      <c r="C359" s="371"/>
      <c r="D359" s="371"/>
      <c r="E359" s="371"/>
      <c r="F359" s="371"/>
      <c r="G359" s="371"/>
      <c r="H359" s="371"/>
      <c r="I359" s="230"/>
      <c r="J359" s="230"/>
      <c r="K359" s="371"/>
    </row>
    <row r="360" spans="1:11" ht="15" customHeight="1">
      <c r="A360" s="1694"/>
      <c r="B360" s="371"/>
      <c r="C360" s="371"/>
      <c r="D360" s="371"/>
      <c r="E360" s="371"/>
      <c r="F360" s="371"/>
      <c r="G360" s="371"/>
      <c r="H360" s="371"/>
      <c r="I360" s="230"/>
      <c r="J360" s="230"/>
      <c r="K360" s="371"/>
    </row>
    <row r="361" spans="1:11" ht="15" customHeight="1">
      <c r="A361" s="1694"/>
      <c r="B361" s="371"/>
      <c r="C361" s="371"/>
      <c r="D361" s="371"/>
      <c r="E361" s="371"/>
      <c r="F361" s="371"/>
      <c r="G361" s="371"/>
      <c r="H361" s="371"/>
      <c r="I361" s="230"/>
      <c r="J361" s="230"/>
      <c r="K361" s="371"/>
    </row>
    <row r="362" spans="1:11" ht="15" customHeight="1">
      <c r="A362" s="1694"/>
      <c r="B362" s="371"/>
      <c r="C362" s="371"/>
      <c r="D362" s="371"/>
      <c r="E362" s="371"/>
      <c r="F362" s="371"/>
      <c r="G362" s="371"/>
      <c r="H362" s="371"/>
      <c r="I362" s="230"/>
      <c r="J362" s="230"/>
      <c r="K362" s="371"/>
    </row>
    <row r="363" spans="1:11" ht="15" customHeight="1">
      <c r="A363" s="1694"/>
      <c r="B363" s="371"/>
      <c r="C363" s="371"/>
      <c r="D363" s="371"/>
      <c r="E363" s="371"/>
      <c r="F363" s="371"/>
      <c r="G363" s="371"/>
      <c r="H363" s="371"/>
      <c r="I363" s="230"/>
      <c r="J363" s="230"/>
      <c r="K363" s="371"/>
    </row>
    <row r="364" spans="1:11" ht="15" customHeight="1">
      <c r="A364" s="1694"/>
      <c r="B364" s="371"/>
      <c r="C364" s="371"/>
      <c r="D364" s="371"/>
      <c r="E364" s="371"/>
      <c r="F364" s="371"/>
      <c r="G364" s="371"/>
      <c r="H364" s="371"/>
      <c r="I364" s="230"/>
      <c r="J364" s="230"/>
      <c r="K364" s="371"/>
    </row>
    <row r="365" spans="1:11" ht="15" customHeight="1">
      <c r="A365" s="1694"/>
      <c r="B365" s="371"/>
      <c r="C365" s="371"/>
      <c r="D365" s="371"/>
      <c r="E365" s="371"/>
      <c r="F365" s="371"/>
      <c r="G365" s="371"/>
      <c r="H365" s="371"/>
      <c r="I365" s="230"/>
      <c r="J365" s="230"/>
      <c r="K365" s="371"/>
    </row>
    <row r="366" spans="1:11" ht="15" customHeight="1">
      <c r="A366" s="1694"/>
      <c r="B366" s="371"/>
      <c r="C366" s="371"/>
      <c r="D366" s="371"/>
      <c r="E366" s="371"/>
      <c r="F366" s="371"/>
      <c r="G366" s="371"/>
      <c r="H366" s="371"/>
      <c r="I366" s="230"/>
      <c r="J366" s="230"/>
      <c r="K366" s="371"/>
    </row>
    <row r="367" spans="1:11" ht="15" customHeight="1">
      <c r="A367" s="1694"/>
      <c r="B367" s="371"/>
      <c r="C367" s="371"/>
      <c r="D367" s="371"/>
      <c r="E367" s="371"/>
      <c r="F367" s="371"/>
      <c r="G367" s="371"/>
      <c r="H367" s="371"/>
      <c r="I367" s="230"/>
      <c r="J367" s="230"/>
      <c r="K367" s="371"/>
    </row>
    <row r="368" spans="1:11" ht="15" customHeight="1">
      <c r="A368" s="1694"/>
      <c r="B368" s="371"/>
      <c r="C368" s="371"/>
      <c r="D368" s="371"/>
      <c r="E368" s="371"/>
      <c r="F368" s="371"/>
      <c r="G368" s="371"/>
      <c r="H368" s="371"/>
      <c r="I368" s="230"/>
      <c r="J368" s="230"/>
      <c r="K368" s="371"/>
    </row>
    <row r="369" spans="1:11">
      <c r="A369" s="1694"/>
      <c r="B369" s="371"/>
      <c r="C369" s="371"/>
      <c r="D369" s="371"/>
      <c r="E369" s="371"/>
      <c r="F369" s="371"/>
      <c r="G369" s="371"/>
      <c r="H369" s="371"/>
      <c r="I369" s="230"/>
      <c r="J369" s="230"/>
      <c r="K369" s="371"/>
    </row>
    <row r="370" spans="1:11">
      <c r="A370" s="1694"/>
      <c r="B370" s="371"/>
      <c r="C370" s="371"/>
      <c r="D370" s="371"/>
      <c r="E370" s="371"/>
      <c r="F370" s="371"/>
      <c r="G370" s="371"/>
      <c r="H370" s="371"/>
      <c r="I370" s="230"/>
      <c r="J370" s="230"/>
      <c r="K370" s="371"/>
    </row>
    <row r="371" spans="1:11">
      <c r="A371" s="1694"/>
      <c r="B371" s="371"/>
      <c r="C371" s="371"/>
      <c r="D371" s="371"/>
      <c r="E371" s="371"/>
      <c r="F371" s="371"/>
      <c r="G371" s="371"/>
      <c r="H371" s="371"/>
      <c r="I371" s="230"/>
      <c r="J371" s="230"/>
      <c r="K371" s="371"/>
    </row>
    <row r="372" spans="1:11">
      <c r="A372" s="1694"/>
      <c r="B372" s="371"/>
      <c r="C372" s="371"/>
      <c r="D372" s="371"/>
      <c r="E372" s="371"/>
      <c r="F372" s="371"/>
      <c r="G372" s="371"/>
      <c r="H372" s="371"/>
      <c r="I372" s="230"/>
      <c r="J372" s="230"/>
      <c r="K372" s="371"/>
    </row>
    <row r="373" spans="1:11">
      <c r="A373" s="1694"/>
      <c r="B373" s="371"/>
      <c r="C373" s="371"/>
      <c r="D373" s="371"/>
      <c r="E373" s="371"/>
      <c r="F373" s="371"/>
      <c r="G373" s="371"/>
      <c r="H373" s="371"/>
      <c r="I373" s="230"/>
      <c r="J373" s="230"/>
      <c r="K373" s="371"/>
    </row>
    <row r="374" spans="1:11">
      <c r="A374" s="1694"/>
      <c r="B374" s="371"/>
      <c r="C374" s="371"/>
      <c r="D374" s="371"/>
      <c r="E374" s="371"/>
      <c r="F374" s="371"/>
      <c r="G374" s="371"/>
      <c r="H374" s="371"/>
      <c r="I374" s="230"/>
      <c r="J374" s="230"/>
      <c r="K374" s="371"/>
    </row>
    <row r="375" spans="1:11">
      <c r="A375" s="1694"/>
      <c r="B375" s="371"/>
      <c r="C375" s="371"/>
      <c r="D375" s="371"/>
      <c r="E375" s="371"/>
      <c r="F375" s="371"/>
      <c r="G375" s="371"/>
      <c r="H375" s="371"/>
      <c r="I375" s="230"/>
      <c r="J375" s="230"/>
      <c r="K375" s="371"/>
    </row>
    <row r="376" spans="1:11">
      <c r="A376" s="1694"/>
      <c r="B376" s="371"/>
      <c r="C376" s="371"/>
      <c r="D376" s="371"/>
      <c r="E376" s="371"/>
      <c r="F376" s="371"/>
      <c r="G376" s="371"/>
      <c r="H376" s="371"/>
      <c r="I376" s="230"/>
      <c r="J376" s="230"/>
      <c r="K376" s="371"/>
    </row>
    <row r="377" spans="1:11">
      <c r="A377" s="1694"/>
      <c r="B377" s="371"/>
      <c r="C377" s="371"/>
      <c r="D377" s="371"/>
      <c r="E377" s="371"/>
      <c r="F377" s="371"/>
      <c r="G377" s="371"/>
      <c r="H377" s="371"/>
      <c r="I377" s="230"/>
      <c r="J377" s="230"/>
      <c r="K377" s="371"/>
    </row>
    <row r="378" spans="1:11">
      <c r="A378" s="1694"/>
      <c r="B378" s="371"/>
      <c r="C378" s="371"/>
      <c r="D378" s="371"/>
      <c r="E378" s="371"/>
      <c r="F378" s="371"/>
      <c r="G378" s="371"/>
      <c r="H378" s="371"/>
      <c r="I378" s="230"/>
      <c r="J378" s="230"/>
      <c r="K378" s="371"/>
    </row>
    <row r="379" spans="1:11">
      <c r="A379" s="1694"/>
      <c r="B379" s="371"/>
      <c r="C379" s="371"/>
      <c r="D379" s="371"/>
      <c r="E379" s="371"/>
      <c r="F379" s="371"/>
      <c r="G379" s="371"/>
      <c r="H379" s="371"/>
      <c r="I379" s="230"/>
      <c r="J379" s="230"/>
      <c r="K379" s="371"/>
    </row>
    <row r="380" spans="1:11">
      <c r="A380" s="1694"/>
      <c r="B380" s="371"/>
      <c r="C380" s="371"/>
      <c r="D380" s="371"/>
      <c r="E380" s="371"/>
      <c r="F380" s="371"/>
      <c r="G380" s="371"/>
      <c r="H380" s="371"/>
      <c r="I380" s="230"/>
      <c r="J380" s="230"/>
      <c r="K380" s="371"/>
    </row>
    <row r="381" spans="1:11">
      <c r="A381" s="1694"/>
      <c r="B381" s="371"/>
      <c r="C381" s="371"/>
      <c r="D381" s="371"/>
      <c r="E381" s="371"/>
      <c r="F381" s="371"/>
      <c r="G381" s="371"/>
      <c r="H381" s="371"/>
      <c r="I381" s="230"/>
      <c r="J381" s="230"/>
      <c r="K381" s="371"/>
    </row>
    <row r="382" spans="1:11">
      <c r="A382" s="1694"/>
      <c r="B382" s="371"/>
      <c r="C382" s="371"/>
      <c r="D382" s="371"/>
      <c r="E382" s="371"/>
      <c r="F382" s="371"/>
      <c r="G382" s="371"/>
      <c r="H382" s="371"/>
      <c r="I382" s="230"/>
      <c r="J382" s="230"/>
      <c r="K382" s="371"/>
    </row>
    <row r="383" spans="1:11">
      <c r="A383" s="1694"/>
      <c r="B383" s="371"/>
      <c r="C383" s="371"/>
      <c r="D383" s="371"/>
      <c r="E383" s="371"/>
      <c r="F383" s="371"/>
      <c r="G383" s="371"/>
      <c r="H383" s="371"/>
      <c r="I383" s="230"/>
      <c r="J383" s="230"/>
      <c r="K383" s="371"/>
    </row>
    <row r="384" spans="1:11">
      <c r="A384" s="1694"/>
      <c r="B384" s="371"/>
      <c r="C384" s="371"/>
      <c r="D384" s="371"/>
      <c r="E384" s="371"/>
      <c r="F384" s="371"/>
      <c r="G384" s="371"/>
      <c r="H384" s="371"/>
      <c r="I384" s="230"/>
      <c r="J384" s="230"/>
      <c r="K384" s="371"/>
    </row>
    <row r="385" spans="1:11">
      <c r="A385" s="1694"/>
      <c r="B385" s="371"/>
      <c r="C385" s="371"/>
      <c r="D385" s="371"/>
      <c r="E385" s="371"/>
      <c r="F385" s="371"/>
      <c r="G385" s="371"/>
      <c r="H385" s="371"/>
      <c r="I385" s="230"/>
      <c r="J385" s="230"/>
      <c r="K385" s="371"/>
    </row>
    <row r="386" spans="1:11">
      <c r="A386" s="1694"/>
      <c r="B386" s="371"/>
      <c r="C386" s="371"/>
      <c r="D386" s="371"/>
      <c r="E386" s="371"/>
      <c r="F386" s="371"/>
      <c r="G386" s="371"/>
      <c r="H386" s="371"/>
      <c r="I386" s="230"/>
      <c r="J386" s="230"/>
      <c r="K386" s="371"/>
    </row>
    <row r="387" spans="1:11">
      <c r="A387" s="1694"/>
      <c r="B387" s="371"/>
      <c r="C387" s="371"/>
      <c r="D387" s="371"/>
      <c r="E387" s="371"/>
      <c r="F387" s="371"/>
      <c r="G387" s="371"/>
      <c r="H387" s="371"/>
      <c r="I387" s="230"/>
      <c r="J387" s="230"/>
      <c r="K387" s="371"/>
    </row>
    <row r="388" spans="1:11">
      <c r="A388" s="1694"/>
      <c r="B388" s="371"/>
      <c r="C388" s="371"/>
      <c r="D388" s="371"/>
      <c r="E388" s="371"/>
      <c r="F388" s="371"/>
      <c r="G388" s="371"/>
      <c r="H388" s="371"/>
      <c r="I388" s="230"/>
      <c r="J388" s="230"/>
      <c r="K388" s="371"/>
    </row>
    <row r="389" spans="1:11">
      <c r="A389" s="1694"/>
      <c r="B389" s="371"/>
      <c r="C389" s="371"/>
      <c r="D389" s="371"/>
      <c r="E389" s="371"/>
      <c r="F389" s="371"/>
      <c r="G389" s="371"/>
      <c r="H389" s="371"/>
      <c r="I389" s="230"/>
      <c r="J389" s="230"/>
      <c r="K389" s="371"/>
    </row>
    <row r="390" spans="1:11">
      <c r="A390" s="1694"/>
      <c r="B390" s="371"/>
      <c r="C390" s="371"/>
      <c r="D390" s="371"/>
      <c r="E390" s="371"/>
      <c r="F390" s="371"/>
      <c r="G390" s="371"/>
      <c r="H390" s="371"/>
      <c r="I390" s="230"/>
      <c r="J390" s="230"/>
      <c r="K390" s="371"/>
    </row>
    <row r="391" spans="1:11">
      <c r="A391" s="1694"/>
      <c r="B391" s="371"/>
      <c r="C391" s="371"/>
      <c r="D391" s="371"/>
      <c r="E391" s="371"/>
      <c r="F391" s="371"/>
      <c r="G391" s="371"/>
      <c r="H391" s="371"/>
      <c r="I391" s="230"/>
      <c r="J391" s="230"/>
      <c r="K391" s="371"/>
    </row>
    <row r="392" spans="1:11">
      <c r="A392" s="1694"/>
      <c r="B392" s="371"/>
      <c r="C392" s="371"/>
      <c r="D392" s="371"/>
      <c r="E392" s="371"/>
      <c r="F392" s="371"/>
      <c r="G392" s="371"/>
      <c r="H392" s="371"/>
      <c r="I392" s="230"/>
      <c r="J392" s="230"/>
      <c r="K392" s="371"/>
    </row>
    <row r="393" spans="1:11">
      <c r="A393" s="1694"/>
      <c r="B393" s="371"/>
      <c r="C393" s="371"/>
      <c r="D393" s="371"/>
      <c r="E393" s="371"/>
      <c r="F393" s="371"/>
      <c r="G393" s="371"/>
      <c r="H393" s="371"/>
      <c r="I393" s="230"/>
      <c r="J393" s="230"/>
      <c r="K393" s="371"/>
    </row>
    <row r="394" spans="1:11">
      <c r="A394" s="1694"/>
      <c r="B394" s="371"/>
      <c r="C394" s="371"/>
      <c r="D394" s="371"/>
      <c r="E394" s="371"/>
      <c r="F394" s="371"/>
      <c r="G394" s="371"/>
      <c r="H394" s="371"/>
      <c r="I394" s="230"/>
      <c r="J394" s="230"/>
      <c r="K394" s="371"/>
    </row>
    <row r="395" spans="1:11">
      <c r="A395" s="1694"/>
      <c r="B395" s="371"/>
      <c r="C395" s="371"/>
      <c r="D395" s="371"/>
      <c r="E395" s="371"/>
      <c r="F395" s="371"/>
      <c r="G395" s="371"/>
      <c r="H395" s="371"/>
      <c r="I395" s="230"/>
      <c r="J395" s="230"/>
      <c r="K395" s="371"/>
    </row>
    <row r="396" spans="1:11">
      <c r="A396" s="1694"/>
      <c r="B396" s="371"/>
      <c r="C396" s="371"/>
      <c r="D396" s="371"/>
      <c r="E396" s="371"/>
      <c r="F396" s="371"/>
      <c r="G396" s="371"/>
      <c r="H396" s="371"/>
      <c r="I396" s="230"/>
      <c r="J396" s="230"/>
      <c r="K396" s="371"/>
    </row>
    <row r="397" spans="1:11">
      <c r="A397" s="1694"/>
      <c r="B397" s="371"/>
      <c r="C397" s="371"/>
      <c r="D397" s="371"/>
      <c r="E397" s="371"/>
      <c r="F397" s="371"/>
      <c r="G397" s="371"/>
      <c r="H397" s="371"/>
      <c r="I397" s="230"/>
      <c r="J397" s="230"/>
      <c r="K397" s="371"/>
    </row>
    <row r="398" spans="1:11">
      <c r="A398" s="1694"/>
      <c r="B398" s="371"/>
      <c r="C398" s="371"/>
      <c r="D398" s="371"/>
      <c r="E398" s="371"/>
      <c r="F398" s="371"/>
      <c r="G398" s="371"/>
      <c r="H398" s="371"/>
      <c r="I398" s="230"/>
      <c r="J398" s="230"/>
      <c r="K398" s="371"/>
    </row>
    <row r="399" spans="1:11">
      <c r="A399" s="1694"/>
      <c r="B399" s="371"/>
      <c r="C399" s="371"/>
      <c r="D399" s="371"/>
      <c r="E399" s="371"/>
      <c r="F399" s="371"/>
      <c r="G399" s="371"/>
      <c r="H399" s="371"/>
      <c r="I399" s="230"/>
      <c r="J399" s="230"/>
      <c r="K399" s="371"/>
    </row>
    <row r="400" spans="1:11">
      <c r="A400" s="1694"/>
      <c r="B400" s="371"/>
      <c r="C400" s="371"/>
      <c r="D400" s="371"/>
      <c r="E400" s="371"/>
      <c r="F400" s="371"/>
      <c r="G400" s="371"/>
      <c r="H400" s="371"/>
      <c r="I400" s="230"/>
      <c r="J400" s="230"/>
      <c r="K400" s="371"/>
    </row>
    <row r="401" spans="1:11">
      <c r="A401" s="1694"/>
      <c r="B401" s="371"/>
      <c r="C401" s="371"/>
      <c r="D401" s="371"/>
      <c r="E401" s="371"/>
      <c r="F401" s="371"/>
      <c r="G401" s="371"/>
      <c r="H401" s="371"/>
      <c r="I401" s="230"/>
      <c r="J401" s="230"/>
      <c r="K401" s="371"/>
    </row>
    <row r="402" spans="1:11">
      <c r="A402" s="1694"/>
      <c r="B402" s="371"/>
      <c r="C402" s="371"/>
      <c r="D402" s="371"/>
      <c r="E402" s="371"/>
      <c r="F402" s="371"/>
      <c r="G402" s="371"/>
      <c r="H402" s="371"/>
      <c r="I402" s="230"/>
      <c r="J402" s="230"/>
      <c r="K402" s="371"/>
    </row>
    <row r="403" spans="1:11">
      <c r="A403" s="1694"/>
      <c r="B403" s="371"/>
      <c r="C403" s="371"/>
      <c r="D403" s="371"/>
      <c r="E403" s="371"/>
      <c r="F403" s="371"/>
      <c r="G403" s="371"/>
      <c r="H403" s="371"/>
      <c r="I403" s="230"/>
      <c r="J403" s="230"/>
      <c r="K403" s="371"/>
    </row>
    <row r="404" spans="1:11">
      <c r="A404" s="1694"/>
      <c r="B404" s="371"/>
      <c r="C404" s="371"/>
      <c r="D404" s="371"/>
      <c r="E404" s="371"/>
      <c r="F404" s="371"/>
      <c r="G404" s="371"/>
      <c r="H404" s="371"/>
      <c r="I404" s="230"/>
      <c r="J404" s="230"/>
      <c r="K404" s="371"/>
    </row>
    <row r="405" spans="1:11">
      <c r="A405" s="1694"/>
      <c r="B405" s="371"/>
      <c r="C405" s="371"/>
      <c r="D405" s="371"/>
      <c r="E405" s="371"/>
      <c r="F405" s="371"/>
      <c r="G405" s="371"/>
      <c r="H405" s="371"/>
      <c r="I405" s="230"/>
      <c r="J405" s="230"/>
      <c r="K405" s="371"/>
    </row>
    <row r="406" spans="1:11">
      <c r="A406" s="1694"/>
      <c r="B406" s="371"/>
      <c r="C406" s="371"/>
      <c r="D406" s="371"/>
      <c r="E406" s="371"/>
      <c r="F406" s="371"/>
      <c r="G406" s="371"/>
      <c r="H406" s="371"/>
      <c r="I406" s="230"/>
      <c r="J406" s="230"/>
      <c r="K406" s="371"/>
    </row>
    <row r="407" spans="1:11">
      <c r="A407" s="1694"/>
      <c r="B407" s="371"/>
      <c r="C407" s="371"/>
      <c r="D407" s="371"/>
      <c r="E407" s="371"/>
      <c r="F407" s="371"/>
      <c r="G407" s="371"/>
      <c r="H407" s="371"/>
      <c r="I407" s="230"/>
      <c r="J407" s="230"/>
      <c r="K407" s="371"/>
    </row>
    <row r="408" spans="1:11">
      <c r="A408" s="1694"/>
      <c r="B408" s="371"/>
      <c r="C408" s="371"/>
      <c r="D408" s="371"/>
      <c r="E408" s="371"/>
      <c r="F408" s="371"/>
      <c r="G408" s="371"/>
      <c r="H408" s="371"/>
      <c r="I408" s="230"/>
      <c r="J408" s="230"/>
      <c r="K408" s="371"/>
    </row>
    <row r="409" spans="1:11">
      <c r="A409" s="1694"/>
      <c r="B409" s="371"/>
      <c r="C409" s="371"/>
      <c r="D409" s="371"/>
      <c r="E409" s="371"/>
      <c r="F409" s="371"/>
      <c r="G409" s="371"/>
      <c r="H409" s="371"/>
      <c r="I409" s="230"/>
      <c r="J409" s="230"/>
      <c r="K409" s="371"/>
    </row>
    <row r="410" spans="1:11">
      <c r="A410" s="222"/>
      <c r="B410" s="371"/>
      <c r="C410" s="371"/>
      <c r="D410" s="371"/>
      <c r="E410" s="371"/>
      <c r="F410" s="371"/>
      <c r="G410" s="371"/>
      <c r="H410" s="371"/>
      <c r="I410" s="230"/>
      <c r="J410" s="230"/>
      <c r="K410" s="371"/>
    </row>
    <row r="411" spans="1:11">
      <c r="A411" s="222"/>
      <c r="B411" s="371"/>
      <c r="C411" s="371"/>
      <c r="D411" s="371"/>
      <c r="E411" s="371"/>
      <c r="F411" s="371"/>
      <c r="G411" s="371"/>
      <c r="H411" s="371"/>
      <c r="I411" s="230"/>
      <c r="J411" s="230"/>
      <c r="K411" s="371"/>
    </row>
    <row r="412" spans="1:11">
      <c r="A412" s="222"/>
      <c r="B412" s="371"/>
      <c r="C412" s="371"/>
      <c r="D412" s="371"/>
      <c r="E412" s="371"/>
      <c r="F412" s="371"/>
      <c r="G412" s="371"/>
      <c r="H412" s="371"/>
      <c r="I412" s="230"/>
      <c r="J412" s="230"/>
      <c r="K412" s="371"/>
    </row>
    <row r="413" spans="1:11">
      <c r="A413" s="222"/>
      <c r="B413" s="371"/>
      <c r="C413" s="371"/>
      <c r="D413" s="371"/>
      <c r="E413" s="371"/>
      <c r="F413" s="371"/>
      <c r="G413" s="371"/>
      <c r="H413" s="371"/>
      <c r="I413" s="230"/>
      <c r="J413" s="230"/>
      <c r="K413" s="371"/>
    </row>
    <row r="414" spans="1:11">
      <c r="A414" s="222"/>
      <c r="B414" s="371"/>
      <c r="C414" s="371"/>
      <c r="D414" s="371"/>
      <c r="E414" s="371"/>
      <c r="F414" s="371"/>
      <c r="G414" s="371"/>
      <c r="H414" s="371"/>
      <c r="I414" s="230"/>
      <c r="J414" s="230"/>
      <c r="K414" s="371"/>
    </row>
    <row r="415" spans="1:11">
      <c r="A415" s="371"/>
      <c r="B415" s="371"/>
      <c r="C415" s="371"/>
      <c r="D415" s="371"/>
      <c r="E415" s="371"/>
      <c r="F415" s="371"/>
      <c r="G415" s="188"/>
      <c r="H415" s="371"/>
      <c r="I415" s="230"/>
      <c r="J415" s="230"/>
      <c r="K415" s="371"/>
    </row>
    <row r="416" spans="1:11">
      <c r="A416" s="371"/>
      <c r="B416" s="371"/>
      <c r="C416" s="371"/>
      <c r="D416" s="371"/>
      <c r="E416" s="371"/>
      <c r="F416" s="371"/>
      <c r="G416" s="371"/>
      <c r="H416" s="371"/>
      <c r="I416" s="230"/>
      <c r="J416" s="230"/>
      <c r="K416" s="371"/>
    </row>
    <row r="417" spans="1:11">
      <c r="A417" s="371"/>
      <c r="B417" s="371"/>
      <c r="C417" s="371"/>
      <c r="D417" s="371"/>
      <c r="E417" s="371"/>
      <c r="F417" s="371"/>
      <c r="G417" s="371"/>
      <c r="H417" s="371"/>
      <c r="I417" s="230"/>
      <c r="J417" s="230"/>
      <c r="K417" s="371"/>
    </row>
  </sheetData>
  <mergeCells count="164">
    <mergeCell ref="B102:B107"/>
    <mergeCell ref="D102:D103"/>
    <mergeCell ref="E102:E103"/>
    <mergeCell ref="E76:E77"/>
    <mergeCell ref="E78:E79"/>
    <mergeCell ref="D50:D53"/>
    <mergeCell ref="F290:F291"/>
    <mergeCell ref="F288:F289"/>
    <mergeCell ref="F292:F295"/>
    <mergeCell ref="E292:E295"/>
    <mergeCell ref="E60:E61"/>
    <mergeCell ref="E90:E91"/>
    <mergeCell ref="E82:E83"/>
    <mergeCell ref="E66:E67"/>
    <mergeCell ref="E68:E69"/>
    <mergeCell ref="E70:E71"/>
    <mergeCell ref="E72:E73"/>
    <mergeCell ref="E80:E81"/>
    <mergeCell ref="B54:B73"/>
    <mergeCell ref="D54:D55"/>
    <mergeCell ref="E54:E55"/>
    <mergeCell ref="D56:D63"/>
    <mergeCell ref="E62:E63"/>
    <mergeCell ref="D64:D65"/>
    <mergeCell ref="E64:E65"/>
    <mergeCell ref="D66:D73"/>
    <mergeCell ref="E56:E57"/>
    <mergeCell ref="E58:E59"/>
    <mergeCell ref="B74:B85"/>
    <mergeCell ref="D74:D75"/>
    <mergeCell ref="E74:E75"/>
    <mergeCell ref="D76:D85"/>
    <mergeCell ref="E84:E85"/>
    <mergeCell ref="E92:E93"/>
    <mergeCell ref="E94:E95"/>
    <mergeCell ref="E96:E97"/>
    <mergeCell ref="E98:E99"/>
    <mergeCell ref="F168:F201"/>
    <mergeCell ref="E288:E289"/>
    <mergeCell ref="E290:E291"/>
    <mergeCell ref="E277:E280"/>
    <mergeCell ref="E281:E284"/>
    <mergeCell ref="E285:E287"/>
    <mergeCell ref="A113:G113"/>
    <mergeCell ref="B133:B207"/>
    <mergeCell ref="D133:D136"/>
    <mergeCell ref="D167:D201"/>
    <mergeCell ref="F163:F166"/>
    <mergeCell ref="D104:D107"/>
    <mergeCell ref="D86:D93"/>
    <mergeCell ref="D94:D101"/>
    <mergeCell ref="B86:B101"/>
    <mergeCell ref="E100:E101"/>
    <mergeCell ref="E104:E105"/>
    <mergeCell ref="E106:E107"/>
    <mergeCell ref="E86:E87"/>
    <mergeCell ref="E88:E89"/>
    <mergeCell ref="L172:L177"/>
    <mergeCell ref="D202:D207"/>
    <mergeCell ref="F202:F203"/>
    <mergeCell ref="F204:F207"/>
    <mergeCell ref="F133:F134"/>
    <mergeCell ref="F135:F136"/>
    <mergeCell ref="D137:D160"/>
    <mergeCell ref="F156:F160"/>
    <mergeCell ref="D161:D166"/>
    <mergeCell ref="F161:F162"/>
    <mergeCell ref="L124:L171"/>
    <mergeCell ref="F125:F127"/>
    <mergeCell ref="F128:F130"/>
    <mergeCell ref="F131:F132"/>
    <mergeCell ref="F123:F124"/>
    <mergeCell ref="A400:A409"/>
    <mergeCell ref="A338:A339"/>
    <mergeCell ref="A340:A347"/>
    <mergeCell ref="A348:A355"/>
    <mergeCell ref="A356:A375"/>
    <mergeCell ref="A376:A385"/>
    <mergeCell ref="A386:A399"/>
    <mergeCell ref="F277:F280"/>
    <mergeCell ref="F281:F284"/>
    <mergeCell ref="F285:F287"/>
    <mergeCell ref="F296:F297"/>
    <mergeCell ref="F298:F301"/>
    <mergeCell ref="E296:E297"/>
    <mergeCell ref="E298:E301"/>
    <mergeCell ref="B240:B266"/>
    <mergeCell ref="D240:D243"/>
    <mergeCell ref="F240:F243"/>
    <mergeCell ref="D244:D266"/>
    <mergeCell ref="F244:F248"/>
    <mergeCell ref="F267:F270"/>
    <mergeCell ref="B292:B301"/>
    <mergeCell ref="D292:D295"/>
    <mergeCell ref="D296:D301"/>
    <mergeCell ref="B267:B291"/>
    <mergeCell ref="D267:D280"/>
    <mergeCell ref="D281:D291"/>
    <mergeCell ref="F271:F274"/>
    <mergeCell ref="F275:F276"/>
    <mergeCell ref="F258:F266"/>
    <mergeCell ref="F249:F253"/>
    <mergeCell ref="E267:E270"/>
    <mergeCell ref="E271:E274"/>
    <mergeCell ref="E275:E276"/>
    <mergeCell ref="F256:F257"/>
    <mergeCell ref="F254:F255"/>
    <mergeCell ref="B115:B122"/>
    <mergeCell ref="F228:F229"/>
    <mergeCell ref="F237:F239"/>
    <mergeCell ref="F208:F211"/>
    <mergeCell ref="F218:F220"/>
    <mergeCell ref="F221:F227"/>
    <mergeCell ref="F212:F213"/>
    <mergeCell ref="F214:F215"/>
    <mergeCell ref="F216:F217"/>
    <mergeCell ref="F230:F234"/>
    <mergeCell ref="D228:D239"/>
    <mergeCell ref="B208:B239"/>
    <mergeCell ref="D208:D211"/>
    <mergeCell ref="D212:D220"/>
    <mergeCell ref="D221:D227"/>
    <mergeCell ref="B123:B132"/>
    <mergeCell ref="D115:D122"/>
    <mergeCell ref="E115:E122"/>
    <mergeCell ref="F115:F122"/>
    <mergeCell ref="F235:F236"/>
    <mergeCell ref="D123:D132"/>
    <mergeCell ref="E123:E177"/>
    <mergeCell ref="F137:F155"/>
    <mergeCell ref="A1:K1"/>
    <mergeCell ref="A2:K2"/>
    <mergeCell ref="A3:K3"/>
    <mergeCell ref="A4:K4"/>
    <mergeCell ref="E35:E37"/>
    <mergeCell ref="E38:E39"/>
    <mergeCell ref="A26:A27"/>
    <mergeCell ref="B26:B27"/>
    <mergeCell ref="A28:A29"/>
    <mergeCell ref="B28:B29"/>
    <mergeCell ref="A12:D12"/>
    <mergeCell ref="A17:A19"/>
    <mergeCell ref="B17:B19"/>
    <mergeCell ref="A20:A23"/>
    <mergeCell ref="B20:B23"/>
    <mergeCell ref="A24:A25"/>
    <mergeCell ref="B24:B25"/>
    <mergeCell ref="B35:B41"/>
    <mergeCell ref="D35:D41"/>
    <mergeCell ref="A31:F31"/>
    <mergeCell ref="B33:B34"/>
    <mergeCell ref="D33:D34"/>
    <mergeCell ref="E33:E34"/>
    <mergeCell ref="E40:E41"/>
    <mergeCell ref="E42:E43"/>
    <mergeCell ref="B42:B53"/>
    <mergeCell ref="D42:D45"/>
    <mergeCell ref="C46:C53"/>
    <mergeCell ref="D46:D49"/>
    <mergeCell ref="E44:E45"/>
    <mergeCell ref="E46:E47"/>
    <mergeCell ref="E48:E49"/>
    <mergeCell ref="E50:E51"/>
    <mergeCell ref="E52:E53"/>
  </mergeCells>
  <pageMargins left="0.7" right="0.7" top="0.75" bottom="0.75" header="0.3" footer="0.3"/>
  <pageSetup paperSize="9" scale="68" orientation="portrait" r:id="rId1"/>
  <colBreaks count="1" manualBreakCount="1">
    <brk id="4" min="4" max="218"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dimension ref="A2:BB42"/>
  <sheetViews>
    <sheetView view="pageBreakPreview" zoomScale="55" zoomScaleNormal="70" zoomScaleSheetLayoutView="55" workbookViewId="0">
      <selection activeCell="A3" sqref="A3"/>
    </sheetView>
  </sheetViews>
  <sheetFormatPr baseColWidth="10" defaultRowHeight="15"/>
  <cols>
    <col min="1" max="1" width="6.5703125" customWidth="1"/>
    <col min="2" max="2" width="12.7109375" customWidth="1"/>
    <col min="3" max="3" width="13" style="132" customWidth="1"/>
    <col min="4" max="4" width="17.5703125" customWidth="1"/>
    <col min="5" max="5" width="11" customWidth="1"/>
    <col min="6" max="6" width="9.140625" customWidth="1"/>
    <col min="7" max="7" width="9.5703125" customWidth="1"/>
    <col min="8" max="8" width="10.140625" customWidth="1"/>
    <col min="9" max="9" width="14.28515625" customWidth="1"/>
    <col min="10" max="10" width="15.140625" customWidth="1"/>
    <col min="11" max="11" width="13.42578125" customWidth="1"/>
    <col min="12" max="12" width="13.7109375" customWidth="1"/>
    <col min="13" max="13" width="12.7109375" customWidth="1"/>
    <col min="14" max="17" width="9.7109375" customWidth="1"/>
    <col min="18" max="18" width="8" customWidth="1"/>
    <col min="22" max="22" width="8.7109375" customWidth="1"/>
    <col min="23" max="23" width="5.85546875" customWidth="1"/>
    <col min="24" max="24" width="15.42578125" style="207" customWidth="1"/>
    <col min="25" max="26" width="12" customWidth="1"/>
    <col min="27" max="27" width="11.85546875" customWidth="1"/>
    <col min="28" max="28" width="36.5703125" customWidth="1"/>
    <col min="29" max="29" width="18.140625" customWidth="1"/>
    <col min="30" max="30" width="19.85546875" customWidth="1"/>
    <col min="31" max="31" width="20.85546875" customWidth="1"/>
    <col min="32" max="32" width="12.28515625" customWidth="1"/>
  </cols>
  <sheetData>
    <row r="2" spans="1:54" ht="33.75">
      <c r="A2" s="1702" t="s">
        <v>2149</v>
      </c>
      <c r="B2" s="1702"/>
      <c r="C2" s="1702"/>
      <c r="D2" s="1702"/>
      <c r="E2" s="1702"/>
      <c r="F2" s="1702"/>
      <c r="G2" s="1702"/>
      <c r="H2" s="1702"/>
      <c r="I2" s="1702"/>
      <c r="J2" s="1702"/>
      <c r="K2" s="1702"/>
      <c r="L2" s="1702"/>
      <c r="M2" s="1702"/>
      <c r="N2" s="1702"/>
      <c r="O2" s="1702"/>
      <c r="P2" s="1702"/>
      <c r="Q2" s="1702"/>
      <c r="R2" s="1702"/>
      <c r="S2" s="1702"/>
      <c r="T2" s="1702"/>
      <c r="U2" s="1702"/>
      <c r="V2" s="1702"/>
      <c r="W2" s="1702"/>
      <c r="X2" s="1702"/>
      <c r="Y2" s="1702"/>
      <c r="Z2" s="1702"/>
      <c r="AA2" s="1702"/>
      <c r="AB2" s="207"/>
      <c r="AC2" s="207"/>
      <c r="AD2" s="207"/>
      <c r="AE2" s="207"/>
      <c r="AF2" s="207"/>
    </row>
    <row r="3" spans="1:54" ht="21" customHeight="1">
      <c r="A3" s="278"/>
      <c r="B3" s="278"/>
      <c r="C3" s="278"/>
      <c r="D3" s="278"/>
      <c r="E3" s="278"/>
      <c r="F3" s="278"/>
      <c r="G3" s="278"/>
      <c r="H3" s="278"/>
      <c r="I3" s="278"/>
      <c r="J3" s="278"/>
      <c r="K3" s="278"/>
      <c r="L3" s="278"/>
      <c r="M3" s="278"/>
      <c r="N3" s="278"/>
      <c r="O3" s="278"/>
      <c r="P3" s="278"/>
      <c r="Q3" s="278"/>
      <c r="R3" s="278"/>
      <c r="S3" s="278"/>
      <c r="T3" s="278"/>
      <c r="U3" s="278"/>
      <c r="V3" s="278"/>
      <c r="W3" s="278"/>
      <c r="X3" s="278"/>
      <c r="Y3" s="278"/>
      <c r="Z3" s="278"/>
      <c r="AA3" s="278"/>
      <c r="AB3" s="207"/>
      <c r="AC3" s="207"/>
      <c r="AD3" s="207"/>
      <c r="AE3" s="207"/>
      <c r="AF3" s="207"/>
    </row>
    <row r="4" spans="1:54" ht="21" customHeight="1">
      <c r="A4" s="278"/>
      <c r="B4" s="278"/>
      <c r="C4" s="278"/>
      <c r="D4" s="278"/>
      <c r="E4" s="278"/>
      <c r="F4" s="278"/>
      <c r="G4" s="278"/>
      <c r="H4" s="278"/>
      <c r="I4" s="278"/>
      <c r="J4" s="278"/>
      <c r="K4" s="278"/>
      <c r="L4" s="278"/>
      <c r="M4" s="278"/>
      <c r="N4" s="278"/>
      <c r="O4" s="278"/>
      <c r="P4" s="278"/>
      <c r="Q4" s="278"/>
      <c r="R4" s="278"/>
      <c r="S4" s="278"/>
      <c r="T4" s="278"/>
      <c r="U4" s="278"/>
      <c r="V4" s="278"/>
      <c r="W4" s="278"/>
      <c r="X4" s="278"/>
      <c r="Y4" s="278"/>
      <c r="Z4" s="278"/>
      <c r="AA4" s="278"/>
      <c r="AB4" s="207"/>
      <c r="AC4" s="207"/>
      <c r="AD4" s="207"/>
      <c r="AE4" s="207"/>
      <c r="AF4" s="207"/>
    </row>
    <row r="5" spans="1:54" ht="15.75">
      <c r="B5" s="208"/>
      <c r="C5" s="209"/>
      <c r="Y5" s="207"/>
      <c r="Z5" s="207"/>
      <c r="AA5" s="207"/>
      <c r="AB5" s="207"/>
      <c r="AC5" s="207"/>
      <c r="AD5" s="207"/>
      <c r="AE5" s="207"/>
      <c r="AF5" s="207"/>
      <c r="AG5" s="207"/>
      <c r="AH5" s="207"/>
      <c r="AI5" s="207"/>
      <c r="AJ5" s="207"/>
      <c r="AK5" s="207"/>
      <c r="AL5" s="207"/>
    </row>
    <row r="6" spans="1:54">
      <c r="C6"/>
      <c r="Y6" s="207"/>
      <c r="Z6" s="207"/>
      <c r="AA6" s="207"/>
      <c r="AB6" s="207"/>
      <c r="AC6" s="207"/>
      <c r="AD6" s="207"/>
      <c r="AE6" s="207"/>
      <c r="AF6" s="207"/>
      <c r="AG6" s="207"/>
      <c r="AH6" s="207"/>
      <c r="AI6" s="207"/>
      <c r="AJ6" s="207"/>
      <c r="AK6" s="207"/>
      <c r="AL6" s="207"/>
      <c r="AQ6" s="207"/>
      <c r="AR6" s="207"/>
      <c r="AS6" s="207"/>
      <c r="AT6" s="207"/>
      <c r="AU6" s="207"/>
      <c r="AV6" s="207"/>
      <c r="AW6" s="207"/>
      <c r="AX6" s="207"/>
      <c r="AY6" s="207"/>
      <c r="AZ6" s="207"/>
      <c r="BA6" s="207"/>
      <c r="BB6" s="207"/>
    </row>
    <row r="7" spans="1:54" ht="18.75">
      <c r="A7" s="210"/>
      <c r="B7" s="211"/>
      <c r="C7" s="211"/>
      <c r="D7" s="211"/>
      <c r="E7" s="211"/>
      <c r="F7" s="211"/>
      <c r="G7" s="211"/>
      <c r="H7" s="211"/>
      <c r="I7" s="211"/>
      <c r="J7" s="212"/>
      <c r="K7" s="212"/>
      <c r="L7" s="212"/>
      <c r="M7" s="212"/>
      <c r="N7" s="212"/>
      <c r="O7" s="212"/>
      <c r="P7" s="212"/>
      <c r="Q7" s="212"/>
      <c r="R7" s="212"/>
      <c r="S7" s="212"/>
      <c r="T7" s="212"/>
      <c r="U7" s="212"/>
      <c r="V7" s="212"/>
      <c r="W7" s="212"/>
      <c r="X7" s="213"/>
      <c r="Y7" s="213"/>
      <c r="Z7" s="213"/>
      <c r="AA7" s="213"/>
      <c r="AB7" s="207"/>
      <c r="AC7" s="207"/>
      <c r="AD7" s="207"/>
      <c r="AE7" s="207"/>
      <c r="AF7" s="207"/>
      <c r="AG7" s="207"/>
      <c r="AH7" s="207"/>
      <c r="AI7" s="207"/>
      <c r="AJ7" s="207"/>
      <c r="AK7" s="207"/>
      <c r="AL7" s="207"/>
      <c r="AQ7" s="207"/>
      <c r="AR7" s="207"/>
      <c r="AS7" s="207"/>
      <c r="AT7" s="207"/>
      <c r="AU7" s="207"/>
      <c r="AV7" s="207"/>
      <c r="AW7" s="207"/>
      <c r="AX7" s="207"/>
      <c r="AY7" s="207"/>
      <c r="AZ7" s="207"/>
      <c r="BA7" s="207"/>
      <c r="BB7" s="207"/>
    </row>
    <row r="8" spans="1:54" ht="15.75" customHeight="1">
      <c r="A8" s="210"/>
      <c r="B8" s="211"/>
      <c r="C8" s="211"/>
      <c r="D8" s="211"/>
      <c r="E8" s="211"/>
      <c r="F8" s="211"/>
      <c r="G8" s="211"/>
      <c r="H8" s="211"/>
      <c r="I8" s="211"/>
      <c r="J8" s="212"/>
      <c r="K8" s="212"/>
      <c r="L8" s="212"/>
      <c r="M8" s="212"/>
      <c r="N8" s="212"/>
      <c r="O8" s="212"/>
      <c r="P8" s="212"/>
      <c r="Q8" s="212"/>
      <c r="R8" s="212"/>
      <c r="S8" s="212"/>
      <c r="T8" s="212"/>
      <c r="U8" s="212"/>
      <c r="V8" s="212"/>
      <c r="W8" s="212"/>
      <c r="X8" s="213"/>
      <c r="Y8" s="213"/>
      <c r="Z8" s="213"/>
      <c r="AA8" s="213"/>
      <c r="AB8" s="207"/>
      <c r="AC8" s="207"/>
      <c r="AD8" s="207"/>
      <c r="AE8" s="207"/>
      <c r="AF8" s="207"/>
      <c r="AG8" s="207"/>
      <c r="AH8" s="207"/>
      <c r="AI8" s="207"/>
      <c r="AJ8" s="207"/>
      <c r="AK8" s="207"/>
      <c r="AL8" s="207"/>
      <c r="AQ8" s="207"/>
      <c r="AR8" s="207"/>
      <c r="AS8" s="207"/>
      <c r="AT8" s="207"/>
      <c r="AU8" s="207"/>
      <c r="AV8" s="207"/>
      <c r="AW8" s="207"/>
      <c r="AX8" s="207"/>
      <c r="AY8" s="207"/>
      <c r="AZ8" s="207"/>
      <c r="BA8" s="207"/>
      <c r="BB8" s="207"/>
    </row>
    <row r="9" spans="1:54" ht="18.75">
      <c r="A9" s="210"/>
      <c r="B9" s="211"/>
      <c r="C9" s="211"/>
      <c r="D9" s="211"/>
      <c r="E9" s="211"/>
      <c r="F9" s="211"/>
      <c r="G9" s="211"/>
      <c r="H9" s="211"/>
      <c r="I9" s="211"/>
      <c r="J9" s="212"/>
      <c r="K9" s="212"/>
      <c r="L9" s="212"/>
      <c r="M9" s="212"/>
      <c r="N9" s="212"/>
      <c r="O9" s="212"/>
      <c r="P9" s="212"/>
      <c r="Q9" s="212"/>
      <c r="R9" s="212"/>
      <c r="S9" s="212"/>
      <c r="T9" s="212"/>
      <c r="U9" s="212"/>
      <c r="V9" s="212"/>
      <c r="W9" s="212"/>
      <c r="X9" s="212"/>
      <c r="Y9" s="213"/>
      <c r="Z9" s="213"/>
      <c r="AA9" s="213"/>
      <c r="AB9" s="207"/>
      <c r="AC9" s="207"/>
      <c r="AD9" s="207"/>
      <c r="AE9" s="207"/>
      <c r="AF9" s="207"/>
      <c r="AG9" s="207"/>
      <c r="AH9" s="207"/>
      <c r="AI9" s="207"/>
      <c r="AJ9" s="207"/>
      <c r="AK9" s="207"/>
      <c r="AL9" s="207"/>
      <c r="AQ9" s="207"/>
      <c r="AR9" s="207"/>
      <c r="AS9" s="207"/>
      <c r="AT9" s="207"/>
      <c r="AU9" s="207"/>
      <c r="AV9" s="207"/>
      <c r="AW9" s="207"/>
      <c r="AX9" s="207"/>
      <c r="AY9" s="207"/>
      <c r="AZ9" s="207"/>
      <c r="BA9" s="207"/>
      <c r="BB9" s="207"/>
    </row>
    <row r="10" spans="1:54" ht="18.75">
      <c r="A10" s="210"/>
      <c r="B10" s="211"/>
      <c r="C10" s="211"/>
      <c r="D10" s="211"/>
      <c r="E10" s="211"/>
      <c r="F10" s="211"/>
      <c r="G10" s="211"/>
      <c r="H10" s="211"/>
      <c r="I10" s="211"/>
      <c r="J10" s="212"/>
      <c r="K10" s="212"/>
      <c r="L10" s="212"/>
      <c r="M10" s="212"/>
      <c r="N10" s="212"/>
      <c r="O10" s="212"/>
      <c r="P10" s="212"/>
      <c r="Q10" s="212"/>
      <c r="R10" s="212"/>
      <c r="S10" s="212"/>
      <c r="T10" s="212"/>
      <c r="U10" s="212"/>
      <c r="V10" s="212"/>
      <c r="W10" s="212"/>
      <c r="X10" s="213"/>
      <c r="Y10" s="213"/>
      <c r="Z10" s="213"/>
      <c r="AA10" s="213"/>
      <c r="AB10" s="207"/>
      <c r="AC10" s="207"/>
      <c r="AD10" s="207"/>
      <c r="AE10" s="207"/>
      <c r="AF10" s="207"/>
      <c r="AG10" s="207"/>
      <c r="AH10" s="207"/>
      <c r="AI10" s="207"/>
      <c r="AJ10" s="207"/>
      <c r="AK10" s="207"/>
      <c r="AL10" s="207"/>
      <c r="AQ10" s="207"/>
      <c r="AR10" s="207"/>
      <c r="AS10" s="207"/>
      <c r="AT10" s="207"/>
      <c r="AU10" s="207"/>
      <c r="AV10" s="207"/>
      <c r="AW10" s="207"/>
      <c r="AX10" s="207"/>
      <c r="AY10" s="207"/>
      <c r="AZ10" s="207"/>
      <c r="BA10" s="207"/>
      <c r="BB10" s="207"/>
    </row>
    <row r="11" spans="1:54" ht="18.75">
      <c r="A11" s="210"/>
      <c r="B11" s="211"/>
      <c r="C11" s="211"/>
      <c r="D11" s="211"/>
      <c r="E11" s="211"/>
      <c r="F11" s="211"/>
      <c r="G11" s="211"/>
      <c r="H11" s="211"/>
      <c r="I11" s="211"/>
      <c r="J11" s="212"/>
      <c r="K11" s="212"/>
      <c r="L11" s="212"/>
      <c r="M11" s="212"/>
      <c r="N11" s="212"/>
      <c r="O11" s="212"/>
      <c r="P11" s="212"/>
      <c r="Q11" s="212"/>
      <c r="R11" s="212"/>
      <c r="S11" s="212"/>
      <c r="T11" s="212"/>
      <c r="U11" s="212"/>
      <c r="V11" s="212"/>
      <c r="W11" s="212"/>
      <c r="X11" s="213"/>
      <c r="Y11" s="213"/>
      <c r="Z11" s="213"/>
      <c r="AA11" s="213"/>
      <c r="AB11" s="207"/>
      <c r="AC11" s="207"/>
      <c r="AD11" s="207"/>
      <c r="AE11" s="207"/>
      <c r="AF11" s="207"/>
      <c r="AG11" s="207"/>
      <c r="AH11" s="207"/>
      <c r="AI11" s="207"/>
      <c r="AJ11" s="207"/>
      <c r="AK11" s="207"/>
      <c r="AL11" s="207"/>
      <c r="AQ11" s="207"/>
      <c r="AR11" s="207"/>
      <c r="AS11" s="207"/>
      <c r="AT11" s="207"/>
      <c r="AU11" s="207"/>
      <c r="AV11" s="207"/>
      <c r="AW11" s="207"/>
      <c r="AX11" s="207"/>
      <c r="AY11" s="207"/>
      <c r="AZ11" s="207"/>
      <c r="BA11" s="207"/>
      <c r="BB11" s="207"/>
    </row>
    <row r="12" spans="1:54" ht="18.75">
      <c r="A12" s="210"/>
      <c r="B12" s="211"/>
      <c r="C12" s="211"/>
      <c r="D12" s="211"/>
      <c r="E12" s="211"/>
      <c r="F12" s="211"/>
      <c r="G12" s="211"/>
      <c r="H12" s="211"/>
      <c r="I12" s="211"/>
      <c r="J12" s="212"/>
      <c r="K12" s="212"/>
      <c r="L12" s="212"/>
      <c r="M12" s="212"/>
      <c r="N12" s="212"/>
      <c r="O12" s="212"/>
      <c r="P12" s="212"/>
      <c r="Q12" s="212"/>
      <c r="R12" s="212"/>
      <c r="S12" s="212"/>
      <c r="T12" s="212"/>
      <c r="U12" s="212"/>
      <c r="V12" s="212"/>
      <c r="W12" s="212"/>
      <c r="X12" s="213"/>
      <c r="Y12" s="213"/>
      <c r="Z12" s="213"/>
      <c r="AA12" s="213"/>
      <c r="AB12" s="207"/>
      <c r="AC12" s="207"/>
      <c r="AD12" s="207"/>
      <c r="AE12" s="207"/>
      <c r="AF12" s="207"/>
      <c r="AG12" s="207"/>
      <c r="AH12" s="207"/>
      <c r="AI12" s="207"/>
      <c r="AJ12" s="207"/>
      <c r="AK12" s="207"/>
      <c r="AL12" s="207"/>
      <c r="AQ12" s="207"/>
      <c r="AR12" s="207"/>
      <c r="AS12" s="207"/>
      <c r="AT12" s="207"/>
      <c r="AU12" s="207"/>
      <c r="AV12" s="207"/>
      <c r="AW12" s="207"/>
      <c r="AX12" s="207"/>
      <c r="AY12" s="207"/>
      <c r="AZ12" s="207"/>
      <c r="BA12" s="207"/>
      <c r="BB12" s="207"/>
    </row>
    <row r="13" spans="1:54" ht="18.75">
      <c r="A13" s="210"/>
      <c r="B13" s="211"/>
      <c r="C13" s="211"/>
      <c r="D13" s="211"/>
      <c r="E13" s="211"/>
      <c r="F13" s="211"/>
      <c r="G13" s="211"/>
      <c r="H13" s="211"/>
      <c r="I13" s="211"/>
      <c r="J13" s="212"/>
      <c r="K13" s="212"/>
      <c r="L13" s="212"/>
      <c r="M13" s="212"/>
      <c r="N13" s="212"/>
      <c r="O13" s="212"/>
      <c r="P13" s="212"/>
      <c r="Q13" s="212"/>
      <c r="R13" s="212"/>
      <c r="S13" s="212"/>
      <c r="T13" s="212"/>
      <c r="U13" s="212"/>
      <c r="V13" s="212"/>
      <c r="W13" s="212"/>
      <c r="X13" s="213"/>
      <c r="Y13" s="213"/>
      <c r="Z13" s="213"/>
      <c r="AA13" s="213"/>
      <c r="AB13" s="207"/>
      <c r="AC13" s="207"/>
      <c r="AD13" s="207"/>
      <c r="AE13" s="207"/>
      <c r="AF13" s="207"/>
      <c r="AG13" s="207"/>
      <c r="AH13" s="207"/>
      <c r="AI13" s="207"/>
      <c r="AJ13" s="207"/>
      <c r="AK13" s="207"/>
      <c r="AL13" s="207"/>
      <c r="AQ13" s="207"/>
      <c r="AR13" s="207"/>
      <c r="AS13" s="207"/>
      <c r="AT13" s="207"/>
      <c r="AU13" s="207"/>
      <c r="AV13" s="207"/>
      <c r="AW13" s="207"/>
      <c r="AX13" s="207"/>
      <c r="AY13" s="207"/>
      <c r="AZ13" s="207"/>
      <c r="BA13" s="207"/>
      <c r="BB13" s="207"/>
    </row>
    <row r="14" spans="1:54" ht="18.75">
      <c r="A14" s="210"/>
      <c r="B14" s="211"/>
      <c r="C14" s="211"/>
      <c r="D14" s="211"/>
      <c r="E14" s="211"/>
      <c r="F14" s="211"/>
      <c r="G14" s="211"/>
      <c r="H14" s="211"/>
      <c r="I14" s="211"/>
      <c r="J14" s="212"/>
      <c r="K14" s="212"/>
      <c r="L14" s="212"/>
      <c r="M14" s="212"/>
      <c r="N14" s="212"/>
      <c r="O14" s="212"/>
      <c r="P14" s="212"/>
      <c r="Q14" s="212"/>
      <c r="R14" s="212"/>
      <c r="S14" s="212"/>
      <c r="T14" s="212"/>
      <c r="U14" s="212"/>
      <c r="V14" s="212"/>
      <c r="W14" s="212"/>
      <c r="X14" s="213"/>
      <c r="Y14" s="213"/>
      <c r="Z14" s="213"/>
      <c r="AA14" s="213"/>
      <c r="AB14" s="207"/>
      <c r="AC14" s="207"/>
      <c r="AD14" s="207"/>
      <c r="AE14" s="207"/>
      <c r="AF14" s="207"/>
      <c r="AG14" s="207"/>
      <c r="AH14" s="207"/>
      <c r="AI14" s="207"/>
      <c r="AJ14" s="207"/>
      <c r="AK14" s="207"/>
      <c r="AL14" s="207"/>
      <c r="AQ14" s="207"/>
      <c r="AR14" s="207"/>
      <c r="AS14" s="207"/>
      <c r="AT14" s="207"/>
      <c r="AU14" s="207"/>
      <c r="AV14" s="207"/>
      <c r="AW14" s="207"/>
      <c r="AX14" s="207"/>
      <c r="AY14" s="207"/>
      <c r="AZ14" s="207"/>
      <c r="BA14" s="207"/>
      <c r="BB14" s="207"/>
    </row>
    <row r="15" spans="1:54" ht="18.75">
      <c r="A15" s="210"/>
      <c r="B15" s="211"/>
      <c r="C15" s="211"/>
      <c r="D15" s="211"/>
      <c r="E15" s="211"/>
      <c r="F15" s="211"/>
      <c r="G15" s="211"/>
      <c r="H15" s="211"/>
      <c r="I15" s="211"/>
      <c r="J15" s="212"/>
      <c r="K15" s="212"/>
      <c r="L15" s="212"/>
      <c r="M15" s="212"/>
      <c r="N15" s="212"/>
      <c r="O15" s="212"/>
      <c r="P15" s="212"/>
      <c r="Q15" s="212"/>
      <c r="R15" s="212"/>
      <c r="S15" s="212"/>
      <c r="T15" s="212"/>
      <c r="U15" s="212"/>
      <c r="V15" s="212"/>
      <c r="W15" s="212"/>
      <c r="X15" s="213"/>
      <c r="Y15" s="213"/>
      <c r="Z15" s="213"/>
      <c r="AA15" s="213"/>
      <c r="AB15" s="207"/>
      <c r="AC15" s="207"/>
      <c r="AD15" s="207"/>
      <c r="AE15" s="207"/>
      <c r="AF15" s="207"/>
      <c r="AG15" s="207"/>
      <c r="AH15" s="207"/>
      <c r="AI15" s="207"/>
      <c r="AJ15" s="207"/>
      <c r="AK15" s="207"/>
      <c r="AL15" s="207"/>
      <c r="AQ15" s="207"/>
      <c r="AR15" s="207"/>
      <c r="AS15" s="207"/>
      <c r="AT15" s="207"/>
      <c r="AU15" s="207"/>
      <c r="AV15" s="207"/>
      <c r="AW15" s="207"/>
      <c r="AX15" s="207"/>
      <c r="AY15" s="207"/>
      <c r="AZ15" s="207"/>
      <c r="BA15" s="207"/>
      <c r="BB15" s="207"/>
    </row>
    <row r="16" spans="1:54" ht="15.75" customHeight="1">
      <c r="A16" s="210"/>
      <c r="B16" s="211"/>
      <c r="C16" s="211"/>
      <c r="D16" s="211"/>
      <c r="E16" s="211"/>
      <c r="F16" s="211"/>
      <c r="G16" s="211"/>
      <c r="H16" s="211"/>
      <c r="I16" s="211"/>
      <c r="J16" s="212"/>
      <c r="K16" s="212"/>
      <c r="L16" s="212"/>
      <c r="M16" s="212"/>
      <c r="N16" s="212"/>
      <c r="O16" s="212"/>
      <c r="P16" s="212"/>
      <c r="Q16" s="212"/>
      <c r="R16" s="212"/>
      <c r="S16" s="212"/>
      <c r="T16" s="212"/>
      <c r="U16" s="212"/>
      <c r="V16" s="212"/>
      <c r="W16" s="212"/>
      <c r="X16" s="213"/>
      <c r="Y16" s="213"/>
      <c r="Z16" s="213"/>
      <c r="AA16" s="213"/>
      <c r="AB16" s="207"/>
      <c r="AC16" s="207"/>
      <c r="AD16" s="207"/>
      <c r="AE16" s="207"/>
      <c r="AF16" s="207"/>
      <c r="AG16" s="207"/>
      <c r="AH16" s="207"/>
      <c r="AI16" s="207"/>
      <c r="AJ16" s="207"/>
      <c r="AK16" s="207"/>
      <c r="AL16" s="207"/>
      <c r="AQ16" s="207"/>
      <c r="AR16" s="207"/>
      <c r="AS16" s="207"/>
      <c r="AT16" s="207"/>
      <c r="AU16" s="207"/>
      <c r="AV16" s="207"/>
      <c r="AW16" s="207"/>
      <c r="AX16" s="207"/>
      <c r="AY16" s="207"/>
      <c r="AZ16" s="207"/>
      <c r="BA16" s="207"/>
      <c r="BB16" s="207"/>
    </row>
    <row r="17" spans="1:54" ht="18.75">
      <c r="A17" s="210"/>
      <c r="B17" s="211"/>
      <c r="C17" s="211"/>
      <c r="D17" s="211"/>
      <c r="E17" s="211"/>
      <c r="F17" s="211"/>
      <c r="G17" s="211"/>
      <c r="H17" s="211"/>
      <c r="I17" s="211"/>
      <c r="J17" s="212"/>
      <c r="K17" s="212"/>
      <c r="L17" s="212"/>
      <c r="M17" s="212"/>
      <c r="N17" s="212"/>
      <c r="O17" s="212"/>
      <c r="P17" s="212"/>
      <c r="Q17" s="212"/>
      <c r="R17" s="212"/>
      <c r="S17" s="212"/>
      <c r="T17" s="212"/>
      <c r="U17" s="212"/>
      <c r="V17" s="212"/>
      <c r="W17" s="212"/>
      <c r="X17" s="213"/>
      <c r="Y17" s="213"/>
      <c r="Z17" s="213"/>
      <c r="AA17" s="213"/>
      <c r="AB17" s="207"/>
      <c r="AC17" s="207"/>
      <c r="AD17" s="207"/>
      <c r="AE17" s="207"/>
      <c r="AF17" s="207"/>
      <c r="AG17" s="207"/>
      <c r="AH17" s="207"/>
      <c r="AI17" s="207"/>
      <c r="AJ17" s="207"/>
      <c r="AK17" s="207"/>
      <c r="AL17" s="207"/>
      <c r="AQ17" s="207"/>
      <c r="AR17" s="207"/>
      <c r="AS17" s="207"/>
      <c r="AT17" s="207"/>
      <c r="AU17" s="207"/>
      <c r="AV17" s="207"/>
      <c r="AW17" s="207"/>
      <c r="AX17" s="207"/>
      <c r="AY17" s="207"/>
      <c r="AZ17" s="207"/>
      <c r="BA17" s="207"/>
      <c r="BB17" s="207"/>
    </row>
    <row r="18" spans="1:54" ht="18.75">
      <c r="A18" s="210"/>
      <c r="B18" s="211"/>
      <c r="C18" s="211"/>
      <c r="D18" s="211"/>
      <c r="E18" s="211"/>
      <c r="F18" s="211"/>
      <c r="G18" s="211"/>
      <c r="H18" s="211"/>
      <c r="I18" s="211"/>
      <c r="J18" s="212"/>
      <c r="K18" s="212"/>
      <c r="L18" s="212"/>
      <c r="M18" s="212"/>
      <c r="N18" s="212"/>
      <c r="O18" s="212"/>
      <c r="P18" s="212"/>
      <c r="Q18" s="212"/>
      <c r="R18" s="212"/>
      <c r="S18" s="212"/>
      <c r="T18" s="212"/>
      <c r="U18" s="212"/>
      <c r="V18" s="212"/>
      <c r="W18" s="212"/>
      <c r="X18" s="213"/>
      <c r="Y18" s="213"/>
      <c r="Z18" s="213"/>
      <c r="AA18" s="213"/>
      <c r="AB18" s="207"/>
      <c r="AC18" s="207"/>
      <c r="AD18" s="207"/>
      <c r="AE18" s="207"/>
      <c r="AF18" s="207"/>
      <c r="AG18" s="207"/>
      <c r="AH18" s="207"/>
      <c r="AI18" s="207"/>
      <c r="AJ18" s="207"/>
      <c r="AK18" s="207"/>
      <c r="AL18" s="207"/>
      <c r="AQ18" s="207"/>
      <c r="AR18" s="207"/>
      <c r="AS18" s="207"/>
      <c r="AT18" s="207"/>
      <c r="AU18" s="207"/>
      <c r="AV18" s="207"/>
      <c r="AW18" s="207"/>
      <c r="AX18" s="207"/>
      <c r="AY18" s="207"/>
      <c r="AZ18" s="207"/>
      <c r="BA18" s="207"/>
      <c r="BB18" s="207"/>
    </row>
    <row r="19" spans="1:54" ht="18.75">
      <c r="A19" s="210"/>
      <c r="B19" s="211"/>
      <c r="C19" s="211"/>
      <c r="D19" s="211"/>
      <c r="E19" s="211"/>
      <c r="F19" s="211"/>
      <c r="G19" s="211"/>
      <c r="H19" s="211"/>
      <c r="I19" s="211"/>
      <c r="J19" s="212"/>
      <c r="K19" s="212"/>
      <c r="L19" s="212"/>
      <c r="M19" s="212"/>
      <c r="N19" s="212"/>
      <c r="O19" s="212"/>
      <c r="P19" s="212"/>
      <c r="Q19" s="212"/>
      <c r="R19" s="212"/>
      <c r="S19" s="212"/>
      <c r="T19" s="212"/>
      <c r="U19" s="212"/>
      <c r="V19" s="212"/>
      <c r="W19" s="212"/>
      <c r="X19" s="213"/>
      <c r="Y19" s="213"/>
      <c r="Z19" s="213"/>
      <c r="AA19" s="213"/>
      <c r="AB19" s="207"/>
      <c r="AC19" s="207"/>
      <c r="AD19" s="207"/>
      <c r="AE19" s="207"/>
      <c r="AF19" s="207"/>
      <c r="AG19" s="207"/>
      <c r="AH19" s="207"/>
      <c r="AI19" s="207"/>
      <c r="AJ19" s="207"/>
      <c r="AK19" s="207"/>
      <c r="AL19" s="207"/>
      <c r="AQ19" s="207"/>
      <c r="AR19" s="207"/>
      <c r="AS19" s="207"/>
      <c r="AT19" s="207"/>
      <c r="AU19" s="207"/>
      <c r="AV19" s="207"/>
      <c r="AW19" s="207"/>
      <c r="AX19" s="207"/>
      <c r="AY19" s="207"/>
      <c r="AZ19" s="207"/>
      <c r="BA19" s="207"/>
      <c r="BB19" s="207"/>
    </row>
    <row r="20" spans="1:54" ht="18.75">
      <c r="A20" s="210"/>
      <c r="B20" s="211"/>
      <c r="C20" s="211"/>
      <c r="D20" s="211"/>
      <c r="E20" s="211"/>
      <c r="F20" s="211"/>
      <c r="G20" s="211"/>
      <c r="H20" s="211"/>
      <c r="I20" s="211"/>
      <c r="J20" s="212"/>
      <c r="K20" s="212"/>
      <c r="L20" s="212"/>
      <c r="M20" s="212"/>
      <c r="N20" s="212"/>
      <c r="O20" s="212"/>
      <c r="P20" s="212"/>
      <c r="Q20" s="212"/>
      <c r="R20" s="212"/>
      <c r="S20" s="212"/>
      <c r="T20" s="212"/>
      <c r="U20" s="212"/>
      <c r="V20" s="212"/>
      <c r="W20" s="212"/>
      <c r="X20" s="213"/>
      <c r="Y20" s="213"/>
      <c r="Z20" s="213"/>
      <c r="AA20" s="213"/>
      <c r="AB20" s="207"/>
      <c r="AC20" s="207"/>
      <c r="AD20" s="207"/>
      <c r="AE20" s="207"/>
      <c r="AF20" s="207"/>
      <c r="AG20" s="207"/>
      <c r="AH20" s="207"/>
      <c r="AI20" s="207"/>
      <c r="AJ20" s="207"/>
      <c r="AK20" s="207"/>
      <c r="AL20" s="207"/>
      <c r="AQ20" s="207"/>
      <c r="AR20" s="207"/>
      <c r="AS20" s="207"/>
      <c r="AT20" s="207"/>
      <c r="AU20" s="207"/>
      <c r="AV20" s="207"/>
      <c r="AW20" s="207"/>
      <c r="AX20" s="207"/>
      <c r="AY20" s="207"/>
      <c r="AZ20" s="207"/>
      <c r="BA20" s="207"/>
      <c r="BB20" s="207"/>
    </row>
    <row r="21" spans="1:54" ht="18.75">
      <c r="A21" s="210"/>
      <c r="B21" s="211"/>
      <c r="C21" s="211"/>
      <c r="D21" s="211"/>
      <c r="E21" s="211"/>
      <c r="F21" s="211"/>
      <c r="G21" s="211"/>
      <c r="H21" s="211"/>
      <c r="I21" s="211"/>
      <c r="J21" s="212"/>
      <c r="K21" s="212"/>
      <c r="L21" s="212"/>
      <c r="M21" s="212"/>
      <c r="N21" s="212"/>
      <c r="O21" s="212"/>
      <c r="P21" s="212"/>
      <c r="Q21" s="212"/>
      <c r="R21" s="212"/>
      <c r="S21" s="212"/>
      <c r="T21" s="212"/>
      <c r="U21" s="212"/>
      <c r="V21" s="212"/>
      <c r="W21" s="212"/>
      <c r="X21" s="213"/>
      <c r="Y21" s="212"/>
      <c r="Z21" s="213"/>
      <c r="AA21" s="213"/>
      <c r="AB21" s="207"/>
      <c r="AC21" s="207"/>
      <c r="AD21" s="207"/>
      <c r="AE21" s="207"/>
      <c r="AF21" s="207"/>
      <c r="AG21" s="207"/>
      <c r="AH21" s="207"/>
      <c r="AI21" s="207"/>
      <c r="AJ21" s="207"/>
      <c r="AK21" s="207"/>
      <c r="AL21" s="207"/>
      <c r="AQ21" s="207"/>
      <c r="AR21" s="207"/>
      <c r="AS21" s="207"/>
      <c r="AT21" s="207"/>
      <c r="AU21" s="207"/>
      <c r="AV21" s="207"/>
      <c r="AW21" s="207"/>
      <c r="AX21" s="207"/>
      <c r="AY21" s="207"/>
      <c r="AZ21" s="207"/>
      <c r="BA21" s="207"/>
      <c r="BB21" s="207"/>
    </row>
    <row r="22" spans="1:54" ht="18.75">
      <c r="A22" s="210"/>
      <c r="B22" s="211"/>
      <c r="C22" s="211"/>
      <c r="D22" s="211"/>
      <c r="E22" s="211"/>
      <c r="F22" s="211"/>
      <c r="G22" s="211"/>
      <c r="H22" s="211"/>
      <c r="I22" s="211"/>
      <c r="J22" s="212"/>
      <c r="K22" s="212"/>
      <c r="L22" s="212"/>
      <c r="M22" s="212"/>
      <c r="N22" s="212"/>
      <c r="O22" s="212"/>
      <c r="P22" s="212"/>
      <c r="Q22" s="212"/>
      <c r="R22" s="212"/>
      <c r="S22" s="212"/>
      <c r="T22" s="212"/>
      <c r="U22" s="212"/>
      <c r="V22" s="212"/>
      <c r="W22" s="212"/>
      <c r="X22" s="213"/>
      <c r="Y22" s="213"/>
      <c r="Z22" s="213"/>
      <c r="AA22" s="213"/>
      <c r="AB22" s="207"/>
      <c r="AC22" s="207"/>
      <c r="AD22" s="207"/>
      <c r="AE22" s="207"/>
      <c r="AF22" s="207"/>
      <c r="AG22" s="207"/>
      <c r="AH22" s="207"/>
      <c r="AI22" s="207"/>
      <c r="AJ22" s="207"/>
      <c r="AK22" s="207"/>
      <c r="AL22" s="207"/>
      <c r="AQ22" s="207"/>
      <c r="AR22" s="207"/>
      <c r="AS22" s="207"/>
      <c r="AT22" s="207"/>
      <c r="AU22" s="207"/>
      <c r="AV22" s="207"/>
      <c r="AW22" s="207"/>
      <c r="AX22" s="207"/>
      <c r="AY22" s="207"/>
      <c r="AZ22" s="207"/>
      <c r="BA22" s="207"/>
      <c r="BB22" s="207"/>
    </row>
    <row r="23" spans="1:54" ht="18.75">
      <c r="A23" s="210"/>
      <c r="B23" s="211"/>
      <c r="C23" s="211"/>
      <c r="D23" s="211"/>
      <c r="E23" s="211"/>
      <c r="F23" s="211"/>
      <c r="G23" s="211"/>
      <c r="H23" s="211"/>
      <c r="I23" s="211"/>
      <c r="J23" s="212"/>
      <c r="K23" s="212"/>
      <c r="L23" s="212"/>
      <c r="M23" s="212"/>
      <c r="N23" s="212"/>
      <c r="O23" s="212"/>
      <c r="P23" s="212"/>
      <c r="Q23" s="212"/>
      <c r="R23" s="212"/>
      <c r="S23" s="212"/>
      <c r="T23" s="212"/>
      <c r="U23" s="212"/>
      <c r="V23" s="212"/>
      <c r="W23" s="212"/>
      <c r="X23" s="213"/>
      <c r="Y23" s="213"/>
      <c r="Z23" s="213"/>
      <c r="AA23" s="213"/>
      <c r="AB23" s="207"/>
      <c r="AC23" s="207"/>
      <c r="AD23" s="207"/>
      <c r="AE23" s="207"/>
      <c r="AF23" s="207"/>
      <c r="AG23" s="207"/>
      <c r="AH23" s="207"/>
      <c r="AI23" s="207"/>
      <c r="AJ23" s="207"/>
      <c r="AK23" s="207"/>
      <c r="AL23" s="207"/>
      <c r="AQ23" s="207"/>
      <c r="AR23" s="207"/>
      <c r="AS23" s="207"/>
      <c r="AT23" s="207"/>
      <c r="AU23" s="207"/>
      <c r="AV23" s="207"/>
      <c r="AW23" s="207"/>
      <c r="AX23" s="207"/>
      <c r="AY23" s="207"/>
      <c r="AZ23" s="207"/>
      <c r="BA23" s="207"/>
      <c r="BB23" s="207"/>
    </row>
    <row r="24" spans="1:54" ht="18.75">
      <c r="A24" s="210"/>
      <c r="B24" s="211"/>
      <c r="C24" s="211"/>
      <c r="D24" s="211"/>
      <c r="E24" s="211"/>
      <c r="F24" s="211"/>
      <c r="G24" s="211"/>
      <c r="H24" s="211"/>
      <c r="I24" s="211"/>
      <c r="J24" s="212"/>
      <c r="K24" s="212"/>
      <c r="L24" s="212"/>
      <c r="M24" s="212"/>
      <c r="N24" s="212"/>
      <c r="O24" s="212"/>
      <c r="P24" s="212"/>
      <c r="Q24" s="212"/>
      <c r="R24" s="212"/>
      <c r="S24" s="212"/>
      <c r="T24" s="212"/>
      <c r="U24" s="212"/>
      <c r="V24" s="212"/>
      <c r="W24" s="212"/>
      <c r="X24" s="212"/>
      <c r="Y24" s="213"/>
      <c r="Z24" s="213"/>
      <c r="AA24" s="213"/>
      <c r="AB24" s="207"/>
      <c r="AC24" s="207"/>
      <c r="AD24" s="207"/>
      <c r="AE24" s="207"/>
      <c r="AF24" s="207"/>
      <c r="AG24" s="207"/>
      <c r="AH24" s="207"/>
      <c r="AI24" s="207"/>
      <c r="AJ24" s="207"/>
      <c r="AK24" s="207"/>
      <c r="AL24" s="207"/>
      <c r="AQ24" s="207"/>
      <c r="AR24" s="207"/>
      <c r="AS24" s="207"/>
      <c r="AT24" s="207"/>
      <c r="AU24" s="207"/>
      <c r="AV24" s="207"/>
      <c r="AW24" s="207"/>
      <c r="AX24" s="207"/>
      <c r="AY24" s="207"/>
      <c r="AZ24" s="207"/>
      <c r="BA24" s="207"/>
      <c r="BB24" s="207"/>
    </row>
    <row r="25" spans="1:54" ht="18.75">
      <c r="A25" s="210"/>
      <c r="B25" s="211"/>
      <c r="C25" s="211"/>
      <c r="D25" s="211"/>
      <c r="E25" s="211"/>
      <c r="F25" s="211"/>
      <c r="G25" s="211"/>
      <c r="H25" s="211"/>
      <c r="I25" s="211"/>
      <c r="J25" s="212"/>
      <c r="K25" s="212"/>
      <c r="L25" s="212"/>
      <c r="M25" s="212"/>
      <c r="N25" s="212"/>
      <c r="O25" s="212"/>
      <c r="P25" s="212"/>
      <c r="Q25" s="212"/>
      <c r="R25" s="212"/>
      <c r="S25" s="212"/>
      <c r="T25" s="212"/>
      <c r="U25" s="212"/>
      <c r="V25" s="212"/>
      <c r="W25" s="212"/>
      <c r="X25" s="213"/>
      <c r="Y25" s="213"/>
      <c r="Z25" s="213"/>
      <c r="AA25" s="213"/>
      <c r="AB25" s="207"/>
      <c r="AC25" s="207"/>
      <c r="AD25" s="207"/>
      <c r="AE25" s="207"/>
      <c r="AF25" s="207"/>
      <c r="AG25" s="207"/>
      <c r="AH25" s="207"/>
      <c r="AI25" s="207"/>
      <c r="AJ25" s="207"/>
      <c r="AK25" s="207"/>
      <c r="AL25" s="207"/>
      <c r="AQ25" s="207"/>
      <c r="AR25" s="207"/>
      <c r="AS25" s="207"/>
      <c r="AT25" s="207"/>
      <c r="AU25" s="207"/>
      <c r="AV25" s="207"/>
      <c r="AW25" s="207"/>
      <c r="AX25" s="207"/>
      <c r="AY25" s="207"/>
      <c r="AZ25" s="207"/>
      <c r="BA25" s="207"/>
      <c r="BB25" s="207"/>
    </row>
    <row r="26" spans="1:54" ht="18.75">
      <c r="A26" s="210"/>
      <c r="B26" s="211"/>
      <c r="C26" s="211"/>
      <c r="D26" s="211"/>
      <c r="E26" s="211"/>
      <c r="F26" s="211"/>
      <c r="G26" s="211"/>
      <c r="H26" s="211"/>
      <c r="I26" s="211"/>
      <c r="J26" s="212"/>
      <c r="K26" s="212"/>
      <c r="L26" s="212"/>
      <c r="M26" s="212"/>
      <c r="N26" s="212"/>
      <c r="O26" s="212"/>
      <c r="P26" s="212"/>
      <c r="Q26" s="212"/>
      <c r="R26" s="212"/>
      <c r="S26" s="212"/>
      <c r="T26" s="212"/>
      <c r="U26" s="212"/>
      <c r="V26" s="212"/>
      <c r="W26" s="212"/>
      <c r="X26" s="213"/>
      <c r="Y26" s="213"/>
      <c r="Z26" s="213"/>
      <c r="AA26" s="213"/>
      <c r="AB26" s="207"/>
      <c r="AC26" s="207"/>
      <c r="AD26" s="207"/>
      <c r="AE26" s="207"/>
      <c r="AF26" s="207"/>
      <c r="AG26" s="207"/>
      <c r="AH26" s="207"/>
      <c r="AI26" s="207"/>
      <c r="AJ26" s="207"/>
      <c r="AK26" s="207"/>
      <c r="AL26" s="207"/>
      <c r="AQ26" s="207"/>
      <c r="AR26" s="207"/>
      <c r="AS26" s="207"/>
      <c r="AT26" s="207"/>
      <c r="AU26" s="207"/>
      <c r="AV26" s="207"/>
      <c r="AW26" s="207"/>
      <c r="AX26" s="207"/>
      <c r="AY26" s="207"/>
      <c r="AZ26" s="207"/>
      <c r="BA26" s="207"/>
      <c r="BB26" s="207"/>
    </row>
    <row r="27" spans="1:54" ht="18.75">
      <c r="A27" s="210"/>
      <c r="B27" s="211"/>
      <c r="C27" s="211"/>
      <c r="D27" s="211"/>
      <c r="E27" s="211"/>
      <c r="F27" s="211"/>
      <c r="G27" s="211"/>
      <c r="H27" s="211"/>
      <c r="I27" s="211"/>
      <c r="J27" s="212"/>
      <c r="K27" s="212"/>
      <c r="L27" s="212"/>
      <c r="M27" s="212"/>
      <c r="N27" s="212"/>
      <c r="O27" s="212"/>
      <c r="P27" s="212"/>
      <c r="Q27" s="212"/>
      <c r="R27" s="212"/>
      <c r="S27" s="212"/>
      <c r="T27" s="212"/>
      <c r="U27" s="212"/>
      <c r="V27" s="212"/>
      <c r="W27" s="212"/>
      <c r="X27" s="213"/>
      <c r="Y27" s="213"/>
      <c r="Z27" s="213"/>
      <c r="AA27" s="213"/>
      <c r="AB27" s="207"/>
      <c r="AC27" s="207"/>
      <c r="AD27" s="207"/>
      <c r="AE27" s="207"/>
      <c r="AF27" s="207"/>
      <c r="AG27" s="207"/>
      <c r="AH27" s="207"/>
      <c r="AI27" s="207"/>
      <c r="AJ27" s="207"/>
      <c r="AK27" s="207"/>
      <c r="AL27" s="207"/>
      <c r="AQ27" s="207"/>
      <c r="AR27" s="207"/>
      <c r="AS27" s="207"/>
      <c r="AT27" s="207"/>
      <c r="AU27" s="207"/>
      <c r="AV27" s="207"/>
      <c r="AW27" s="207"/>
      <c r="AX27" s="207"/>
      <c r="AY27" s="207"/>
      <c r="AZ27" s="207"/>
      <c r="BA27" s="207"/>
      <c r="BB27" s="207"/>
    </row>
    <row r="28" spans="1:54" ht="18.75">
      <c r="A28" s="210"/>
      <c r="B28" s="211"/>
      <c r="C28" s="211"/>
      <c r="D28" s="211"/>
      <c r="E28" s="211"/>
      <c r="F28" s="211"/>
      <c r="G28" s="211"/>
      <c r="H28" s="211"/>
      <c r="I28" s="211"/>
      <c r="J28" s="212"/>
      <c r="K28" s="212"/>
      <c r="L28" s="212"/>
      <c r="M28" s="212"/>
      <c r="N28" s="212"/>
      <c r="O28" s="212"/>
      <c r="P28" s="212"/>
      <c r="Q28" s="212"/>
      <c r="R28" s="212"/>
      <c r="S28" s="212"/>
      <c r="T28" s="212"/>
      <c r="U28" s="212"/>
      <c r="V28" s="212"/>
      <c r="W28" s="212"/>
      <c r="X28" s="213"/>
      <c r="Y28" s="213"/>
      <c r="Z28" s="213"/>
      <c r="AA28" s="213"/>
      <c r="AB28" s="207"/>
      <c r="AC28" s="207"/>
      <c r="AD28" s="207"/>
      <c r="AE28" s="207"/>
      <c r="AF28" s="207"/>
      <c r="AG28" s="207"/>
      <c r="AH28" s="207"/>
      <c r="AI28" s="207"/>
      <c r="AJ28" s="207"/>
      <c r="AK28" s="207"/>
      <c r="AL28" s="207"/>
      <c r="AQ28" s="207"/>
      <c r="AR28" s="207"/>
      <c r="AS28" s="207"/>
      <c r="AT28" s="207"/>
      <c r="AU28" s="207"/>
      <c r="AV28" s="207"/>
      <c r="AW28" s="207"/>
      <c r="AX28" s="207"/>
      <c r="AY28" s="207"/>
      <c r="AZ28" s="207"/>
      <c r="BA28" s="207"/>
      <c r="BB28" s="207"/>
    </row>
    <row r="29" spans="1:54" ht="18.75">
      <c r="A29" s="210"/>
      <c r="B29" s="211"/>
      <c r="C29" s="211"/>
      <c r="D29" s="211"/>
      <c r="E29" s="211"/>
      <c r="F29" s="211"/>
      <c r="G29" s="211"/>
      <c r="H29" s="211"/>
      <c r="I29" s="211"/>
      <c r="J29" s="212"/>
      <c r="K29" s="212"/>
      <c r="L29" s="212"/>
      <c r="M29" s="212"/>
      <c r="N29" s="212"/>
      <c r="O29" s="212"/>
      <c r="P29" s="212"/>
      <c r="Q29" s="212"/>
      <c r="R29" s="212"/>
      <c r="S29" s="212"/>
      <c r="T29" s="212"/>
      <c r="U29" s="212"/>
      <c r="V29" s="212"/>
      <c r="W29" s="212"/>
      <c r="X29" s="213"/>
      <c r="Y29" s="213"/>
      <c r="Z29" s="213"/>
      <c r="AA29" s="213"/>
      <c r="AB29" s="207"/>
      <c r="AC29" s="207"/>
      <c r="AD29" s="207"/>
      <c r="AE29" s="207"/>
      <c r="AF29" s="207"/>
      <c r="AG29" s="207"/>
      <c r="AH29" s="207"/>
      <c r="AI29" s="207"/>
      <c r="AJ29" s="207"/>
      <c r="AK29" s="207"/>
      <c r="AL29" s="207"/>
      <c r="AQ29" s="207"/>
      <c r="AR29" s="207"/>
      <c r="AS29" s="207"/>
      <c r="AT29" s="207"/>
      <c r="AU29" s="207"/>
      <c r="AV29" s="207"/>
      <c r="AW29" s="207"/>
      <c r="AX29" s="207"/>
      <c r="AY29" s="207"/>
      <c r="AZ29" s="207"/>
      <c r="BA29" s="207"/>
      <c r="BB29" s="207"/>
    </row>
    <row r="30" spans="1:54" ht="18.75">
      <c r="A30" s="210"/>
      <c r="B30" s="211"/>
      <c r="C30" s="211"/>
      <c r="D30" s="211"/>
      <c r="E30" s="211"/>
      <c r="F30" s="211"/>
      <c r="G30" s="211"/>
      <c r="H30" s="211"/>
      <c r="I30" s="211"/>
      <c r="J30" s="212"/>
      <c r="K30" s="212"/>
      <c r="L30" s="212"/>
      <c r="M30" s="212"/>
      <c r="N30" s="212"/>
      <c r="O30" s="212"/>
      <c r="P30" s="212"/>
      <c r="Q30" s="212"/>
      <c r="R30" s="212"/>
      <c r="S30" s="212"/>
      <c r="T30" s="212"/>
      <c r="U30" s="212"/>
      <c r="V30" s="212"/>
      <c r="W30" s="212"/>
      <c r="X30" s="213"/>
      <c r="Y30" s="213"/>
      <c r="Z30" s="213"/>
      <c r="AA30" s="213"/>
      <c r="AB30" s="207"/>
      <c r="AC30" s="207"/>
      <c r="AD30" s="207"/>
      <c r="AE30" s="207"/>
      <c r="AF30" s="207"/>
      <c r="AG30" s="207"/>
      <c r="AH30" s="207"/>
      <c r="AI30" s="207"/>
      <c r="AJ30" s="207"/>
      <c r="AK30" s="207"/>
      <c r="AL30" s="207"/>
      <c r="AQ30" s="207"/>
      <c r="AR30" s="207"/>
      <c r="AS30" s="207"/>
      <c r="AT30" s="207"/>
      <c r="AU30" s="207"/>
      <c r="AV30" s="207"/>
      <c r="AW30" s="207"/>
      <c r="AX30" s="207"/>
      <c r="AY30" s="207"/>
      <c r="AZ30" s="207"/>
      <c r="BA30" s="207"/>
      <c r="BB30" s="207"/>
    </row>
    <row r="31" spans="1:54" ht="18.75">
      <c r="A31" s="210"/>
      <c r="B31" s="211"/>
      <c r="C31" s="211"/>
      <c r="D31" s="211"/>
      <c r="E31" s="211"/>
      <c r="F31" s="211"/>
      <c r="G31" s="211"/>
      <c r="H31" s="211"/>
      <c r="I31" s="211"/>
      <c r="J31" s="212"/>
      <c r="K31" s="212"/>
      <c r="L31" s="212"/>
      <c r="M31" s="212"/>
      <c r="N31" s="212"/>
      <c r="O31" s="212"/>
      <c r="P31" s="212"/>
      <c r="Q31" s="212"/>
      <c r="R31" s="212"/>
      <c r="S31" s="212"/>
      <c r="T31" s="212"/>
      <c r="U31" s="212"/>
      <c r="V31" s="212"/>
      <c r="W31" s="212"/>
      <c r="X31" s="213"/>
      <c r="Y31" s="213"/>
      <c r="Z31" s="213"/>
      <c r="AA31" s="213"/>
      <c r="AB31" s="207"/>
      <c r="AC31" s="207"/>
      <c r="AD31" s="207"/>
      <c r="AE31" s="207"/>
      <c r="AF31" s="207"/>
      <c r="AG31" s="207"/>
      <c r="AH31" s="207"/>
      <c r="AI31" s="207"/>
      <c r="AJ31" s="207"/>
      <c r="AK31" s="207"/>
      <c r="AL31" s="207"/>
      <c r="AQ31" s="207"/>
      <c r="AR31" s="207"/>
      <c r="AS31" s="207"/>
      <c r="AT31" s="207"/>
      <c r="AU31" s="207"/>
      <c r="AV31" s="207"/>
      <c r="AW31" s="207"/>
      <c r="AX31" s="207"/>
      <c r="AY31" s="207"/>
      <c r="AZ31" s="207"/>
      <c r="BA31" s="207"/>
      <c r="BB31" s="207"/>
    </row>
    <row r="32" spans="1:54" ht="18.75">
      <c r="A32" s="210"/>
      <c r="B32" s="211"/>
      <c r="C32" s="211"/>
      <c r="D32" s="211"/>
      <c r="E32" s="211"/>
      <c r="F32" s="211"/>
      <c r="G32" s="211"/>
      <c r="H32" s="211"/>
      <c r="I32" s="211"/>
      <c r="J32" s="212"/>
      <c r="K32" s="212"/>
      <c r="L32" s="212"/>
      <c r="M32" s="212"/>
      <c r="N32" s="212"/>
      <c r="O32" s="212"/>
      <c r="P32" s="212"/>
      <c r="Q32" s="212"/>
      <c r="R32" s="212"/>
      <c r="S32" s="212"/>
      <c r="T32" s="212"/>
      <c r="U32" s="212"/>
      <c r="V32" s="212"/>
      <c r="W32" s="212"/>
      <c r="X32" s="213"/>
      <c r="Y32" s="213"/>
      <c r="Z32" s="213"/>
      <c r="AA32" s="213"/>
      <c r="AB32" s="207"/>
      <c r="AC32" s="207"/>
      <c r="AD32" s="207"/>
      <c r="AE32" s="207"/>
      <c r="AF32" s="207"/>
      <c r="AG32" s="207"/>
      <c r="AH32" s="207"/>
      <c r="AI32" s="207"/>
      <c r="AJ32" s="207"/>
      <c r="AK32" s="207"/>
      <c r="AL32" s="207"/>
      <c r="AQ32" s="207"/>
      <c r="AR32" s="207"/>
      <c r="AS32" s="207"/>
      <c r="AT32" s="207"/>
      <c r="AU32" s="207"/>
      <c r="AV32" s="207"/>
      <c r="AW32" s="207"/>
      <c r="AX32" s="207"/>
      <c r="AY32" s="207"/>
      <c r="AZ32" s="207"/>
      <c r="BA32" s="207"/>
      <c r="BB32" s="207"/>
    </row>
    <row r="33" spans="1:43" ht="18.75">
      <c r="A33" s="210"/>
      <c r="B33" s="211"/>
      <c r="C33" s="211"/>
      <c r="D33" s="211"/>
      <c r="E33" s="211"/>
      <c r="F33" s="211"/>
      <c r="G33" s="211"/>
      <c r="H33" s="211"/>
      <c r="I33" s="211"/>
      <c r="J33" s="212"/>
      <c r="K33" s="212"/>
      <c r="L33" s="212"/>
      <c r="M33" s="212"/>
      <c r="N33" s="212"/>
      <c r="O33" s="212"/>
      <c r="P33" s="212"/>
      <c r="Q33" s="212"/>
      <c r="R33" s="212"/>
      <c r="S33" s="212"/>
      <c r="T33" s="212"/>
      <c r="U33" s="212"/>
      <c r="V33" s="212"/>
      <c r="W33" s="212"/>
      <c r="X33" s="213"/>
      <c r="Y33" s="213"/>
      <c r="Z33" s="213"/>
      <c r="AA33" s="213"/>
      <c r="AB33" s="207"/>
      <c r="AC33" s="207"/>
      <c r="AD33" s="207"/>
      <c r="AE33" s="207"/>
      <c r="AF33" s="207"/>
      <c r="AG33" s="207"/>
      <c r="AH33" s="207"/>
      <c r="AI33" s="207"/>
      <c r="AJ33" s="207"/>
      <c r="AK33" s="207"/>
      <c r="AL33" s="207"/>
      <c r="AQ33" s="207"/>
    </row>
    <row r="34" spans="1:43" ht="18.75">
      <c r="A34" s="210"/>
      <c r="B34" s="211"/>
      <c r="C34" s="211"/>
      <c r="D34" s="211"/>
      <c r="E34" s="211"/>
      <c r="F34" s="211"/>
      <c r="G34" s="211"/>
      <c r="H34" s="211"/>
      <c r="I34" s="211"/>
      <c r="J34" s="212"/>
      <c r="K34" s="212"/>
      <c r="L34" s="212"/>
      <c r="M34" s="212"/>
      <c r="N34" s="212"/>
      <c r="O34" s="212"/>
      <c r="P34" s="212"/>
      <c r="Q34" s="212"/>
      <c r="R34" s="212"/>
      <c r="S34" s="212"/>
      <c r="T34" s="212"/>
      <c r="U34" s="212"/>
      <c r="V34" s="212"/>
      <c r="W34" s="212"/>
      <c r="X34" s="213"/>
      <c r="Y34" s="213"/>
      <c r="Z34" s="213"/>
      <c r="AA34" s="213"/>
      <c r="AB34" s="207"/>
      <c r="AC34" s="207"/>
      <c r="AD34" s="207"/>
      <c r="AE34" s="207"/>
      <c r="AF34" s="207"/>
      <c r="AG34" s="207"/>
      <c r="AH34" s="207"/>
      <c r="AI34" s="207"/>
      <c r="AJ34" s="207"/>
      <c r="AK34" s="207"/>
      <c r="AL34" s="207"/>
      <c r="AQ34" s="207"/>
    </row>
    <row r="35" spans="1:43" ht="18.75">
      <c r="A35" s="210"/>
      <c r="B35" s="211"/>
      <c r="C35" s="211"/>
      <c r="D35" s="211"/>
      <c r="E35" s="212"/>
      <c r="F35" s="211"/>
      <c r="G35" s="211"/>
      <c r="H35" s="211"/>
      <c r="I35" s="211"/>
      <c r="J35" s="212"/>
      <c r="K35" s="212"/>
      <c r="L35" s="212"/>
      <c r="M35" s="212"/>
      <c r="N35" s="212"/>
      <c r="O35" s="212"/>
      <c r="P35" s="212"/>
      <c r="Q35" s="212"/>
      <c r="R35" s="212"/>
      <c r="S35" s="212"/>
      <c r="T35" s="212"/>
      <c r="U35" s="212"/>
      <c r="V35" s="212"/>
      <c r="W35" s="212"/>
      <c r="X35" s="213"/>
      <c r="Y35" s="213"/>
      <c r="Z35" s="213"/>
      <c r="AA35" s="213"/>
      <c r="AB35" s="207"/>
      <c r="AC35" s="207"/>
      <c r="AD35" s="207"/>
      <c r="AE35" s="207"/>
      <c r="AF35" s="207"/>
      <c r="AG35" s="207"/>
      <c r="AH35" s="207"/>
      <c r="AI35" s="207"/>
      <c r="AJ35" s="207"/>
      <c r="AK35" s="207"/>
      <c r="AL35" s="207"/>
      <c r="AQ35" s="207"/>
    </row>
    <row r="36" spans="1:43" ht="23.25">
      <c r="A36" s="210"/>
      <c r="B36" s="211"/>
      <c r="C36" s="211"/>
      <c r="D36" s="211"/>
      <c r="E36" s="214"/>
      <c r="F36" s="211"/>
      <c r="G36" s="211"/>
      <c r="H36" s="211"/>
      <c r="I36" s="211"/>
      <c r="J36" s="212"/>
      <c r="K36" s="212"/>
      <c r="L36" s="212"/>
      <c r="M36" s="212"/>
      <c r="N36" s="212"/>
      <c r="O36" s="212"/>
      <c r="P36" s="212"/>
      <c r="Q36" s="212"/>
      <c r="R36" s="212"/>
      <c r="S36" s="212"/>
      <c r="T36" s="212"/>
      <c r="U36" s="212"/>
      <c r="V36" s="212"/>
      <c r="W36" s="212"/>
      <c r="X36" s="213"/>
      <c r="Y36" s="213"/>
      <c r="Z36" s="213"/>
      <c r="AA36" s="213"/>
      <c r="AB36" s="207"/>
      <c r="AC36" s="207"/>
      <c r="AD36" s="207"/>
      <c r="AE36" s="207"/>
      <c r="AF36" s="207"/>
      <c r="AG36" s="207"/>
      <c r="AH36" s="207"/>
      <c r="AI36" s="207"/>
      <c r="AJ36" s="207"/>
      <c r="AK36" s="207"/>
      <c r="AL36" s="207"/>
      <c r="AQ36" s="207"/>
    </row>
    <row r="37" spans="1:43" ht="26.25">
      <c r="A37" s="210"/>
      <c r="B37" s="211"/>
      <c r="C37" s="211"/>
      <c r="D37" s="211"/>
      <c r="E37" s="215" t="s">
        <v>2150</v>
      </c>
      <c r="F37" s="211"/>
      <c r="G37" s="211"/>
      <c r="H37" s="211"/>
      <c r="I37" s="211"/>
      <c r="J37" s="212"/>
      <c r="K37" s="212"/>
      <c r="L37" s="212"/>
      <c r="M37" s="212"/>
      <c r="N37" s="212"/>
      <c r="O37" s="212"/>
      <c r="P37" s="212"/>
      <c r="Q37" s="212"/>
      <c r="R37" s="212"/>
      <c r="S37" s="212"/>
      <c r="T37" s="212"/>
      <c r="U37" s="212"/>
      <c r="V37" s="212"/>
      <c r="W37" s="212"/>
      <c r="X37" s="213"/>
      <c r="Y37" s="213"/>
      <c r="Z37" s="213"/>
      <c r="AA37" s="213"/>
      <c r="AB37" s="207"/>
      <c r="AC37" s="207"/>
      <c r="AD37" s="207"/>
      <c r="AE37" s="207"/>
      <c r="AF37" s="207"/>
      <c r="AG37" s="207"/>
      <c r="AH37" s="207"/>
      <c r="AI37" s="207"/>
      <c r="AJ37" s="207"/>
      <c r="AK37" s="207"/>
      <c r="AL37" s="207"/>
      <c r="AQ37" s="207"/>
    </row>
    <row r="38" spans="1:43" ht="18.75">
      <c r="A38" s="210"/>
      <c r="B38" s="211"/>
      <c r="C38" s="211"/>
      <c r="D38" s="211"/>
      <c r="E38" s="211"/>
      <c r="F38" s="211"/>
      <c r="G38" s="211"/>
      <c r="H38" s="211"/>
      <c r="I38" s="211"/>
      <c r="J38" s="212"/>
      <c r="K38" s="212"/>
      <c r="L38" s="212"/>
      <c r="M38" s="212"/>
      <c r="N38" s="212"/>
      <c r="O38" s="212"/>
      <c r="P38" s="212"/>
      <c r="Q38" s="212"/>
      <c r="R38" s="212"/>
      <c r="S38" s="212"/>
      <c r="T38" s="212"/>
      <c r="U38" s="212"/>
      <c r="V38" s="212"/>
      <c r="W38" s="212"/>
      <c r="X38" s="213"/>
      <c r="Y38" s="213"/>
      <c r="Z38" s="213"/>
      <c r="AA38" s="213"/>
      <c r="AB38" s="207"/>
      <c r="AC38" s="207"/>
      <c r="AD38" s="207"/>
      <c r="AE38" s="207"/>
      <c r="AF38" s="207"/>
      <c r="AG38" s="207"/>
      <c r="AH38" s="207"/>
      <c r="AI38" s="207"/>
      <c r="AJ38" s="207"/>
      <c r="AK38" s="207"/>
      <c r="AL38" s="207"/>
      <c r="AQ38" s="207"/>
    </row>
    <row r="39" spans="1:43">
      <c r="A39" s="207"/>
      <c r="B39" s="207"/>
      <c r="C39" s="207"/>
      <c r="D39" s="207"/>
      <c r="E39" s="207"/>
      <c r="F39" s="207"/>
      <c r="G39" s="207"/>
      <c r="H39" s="207"/>
      <c r="I39" s="207"/>
      <c r="J39" s="207"/>
      <c r="K39" s="207"/>
      <c r="L39" s="207"/>
      <c r="M39" s="207"/>
      <c r="N39" s="207"/>
      <c r="O39" s="207"/>
      <c r="P39" s="207"/>
      <c r="Q39" s="207"/>
      <c r="R39" s="207"/>
      <c r="S39" s="207"/>
      <c r="T39" s="207"/>
      <c r="U39" s="207"/>
      <c r="V39" s="207"/>
      <c r="Y39" s="207"/>
      <c r="Z39" s="207"/>
      <c r="AA39" s="207"/>
      <c r="AB39" s="207"/>
      <c r="AC39" s="207"/>
      <c r="AD39" s="207"/>
      <c r="AE39" s="207"/>
      <c r="AF39" s="207"/>
      <c r="AG39" s="207"/>
      <c r="AH39" s="207"/>
      <c r="AI39" s="207"/>
      <c r="AJ39" s="207"/>
      <c r="AK39" s="207"/>
      <c r="AL39" s="207"/>
      <c r="AQ39" s="207"/>
    </row>
    <row r="40" spans="1:43">
      <c r="A40" s="279"/>
      <c r="B40" s="279"/>
      <c r="C40" s="279"/>
      <c r="D40" s="279"/>
      <c r="E40" s="279"/>
      <c r="F40" s="279"/>
      <c r="G40" s="279"/>
      <c r="H40" s="279"/>
      <c r="I40" s="279"/>
      <c r="J40" s="279"/>
      <c r="K40" s="279"/>
      <c r="L40" s="279"/>
      <c r="M40" s="279"/>
      <c r="N40" s="279"/>
      <c r="O40" s="279"/>
      <c r="P40" s="279"/>
      <c r="Q40" s="279"/>
      <c r="R40" s="279"/>
      <c r="S40" s="279"/>
      <c r="T40" s="279"/>
      <c r="U40" s="279"/>
      <c r="V40" s="279"/>
      <c r="W40" s="280"/>
      <c r="X40" s="279"/>
      <c r="Y40" s="279"/>
      <c r="Z40" s="279"/>
      <c r="AA40" s="279"/>
      <c r="AB40" s="279"/>
      <c r="AC40" s="207"/>
      <c r="AD40" s="207"/>
      <c r="AE40" s="207"/>
      <c r="AF40" s="207"/>
      <c r="AG40" s="207"/>
      <c r="AH40" s="207"/>
      <c r="AI40" s="207"/>
      <c r="AJ40" s="207"/>
      <c r="AK40" s="207"/>
      <c r="AL40" s="207"/>
      <c r="AQ40" s="207"/>
    </row>
    <row r="41" spans="1:43">
      <c r="A41" s="280"/>
      <c r="B41" s="280"/>
      <c r="C41" s="280"/>
      <c r="D41" s="280"/>
      <c r="E41" s="280"/>
      <c r="F41" s="280"/>
      <c r="G41" s="280"/>
      <c r="H41" s="280"/>
      <c r="I41" s="280"/>
      <c r="J41" s="280"/>
      <c r="K41" s="280"/>
      <c r="L41" s="280"/>
      <c r="M41" s="280"/>
      <c r="N41" s="280"/>
      <c r="O41" s="280"/>
      <c r="P41" s="280"/>
      <c r="Q41" s="280"/>
      <c r="R41" s="280"/>
      <c r="S41" s="280"/>
      <c r="T41" s="280"/>
      <c r="U41" s="280"/>
      <c r="V41" s="280"/>
      <c r="W41" s="280"/>
      <c r="X41" s="279"/>
      <c r="Y41" s="280"/>
      <c r="Z41" s="280"/>
      <c r="AA41" s="280"/>
      <c r="AB41" s="280"/>
    </row>
    <row r="42" spans="1:43">
      <c r="A42" s="280"/>
      <c r="B42" s="280"/>
      <c r="C42" s="280"/>
      <c r="D42" s="280"/>
      <c r="E42" s="280"/>
      <c r="F42" s="280"/>
      <c r="G42" s="280"/>
      <c r="H42" s="280"/>
      <c r="I42" s="280"/>
      <c r="J42" s="280"/>
      <c r="K42" s="280"/>
      <c r="L42" s="280"/>
      <c r="M42" s="280"/>
      <c r="N42" s="280"/>
      <c r="O42" s="280"/>
      <c r="P42" s="280"/>
      <c r="Q42" s="280"/>
      <c r="R42" s="280"/>
      <c r="S42" s="280"/>
      <c r="T42" s="280"/>
      <c r="U42" s="280"/>
      <c r="V42" s="280"/>
      <c r="W42" s="280"/>
      <c r="X42" s="279"/>
      <c r="Y42" s="280"/>
      <c r="Z42" s="280"/>
      <c r="AA42" s="280"/>
      <c r="AB42" s="280"/>
    </row>
  </sheetData>
  <mergeCells count="1">
    <mergeCell ref="A2:AA2"/>
  </mergeCells>
  <pageMargins left="0.7" right="0.7" top="0.75" bottom="0.75" header="0.3" footer="0.3"/>
  <pageSetup paperSize="9" scale="28" orientation="portrait" r:id="rId1"/>
  <colBreaks count="1" manualBreakCount="1">
    <brk id="27" max="1048575" man="1"/>
  </colBreaks>
  <drawing r:id="rId2"/>
  <legacyDrawing r:id="rId3"/>
  <controls>
    <mc:AlternateContent xmlns:mc="http://schemas.openxmlformats.org/markup-compatibility/2006">
      <mc:Choice Requires="x14">
        <control shapeId="82945" r:id="rId4" name="CommandButton1">
          <controlPr defaultSize="0" autoLine="0" r:id="rId5">
            <anchor moveWithCells="1" sizeWithCells="1">
              <from>
                <xdr:col>0</xdr:col>
                <xdr:colOff>38100</xdr:colOff>
                <xdr:row>2</xdr:row>
                <xdr:rowOff>219075</xdr:rowOff>
              </from>
              <to>
                <xdr:col>2</xdr:col>
                <xdr:colOff>657225</xdr:colOff>
                <xdr:row>4</xdr:row>
                <xdr:rowOff>0</xdr:rowOff>
              </to>
            </anchor>
          </controlPr>
        </control>
      </mc:Choice>
      <mc:Fallback>
        <control shapeId="82945" r:id="rId4" name="CommandButton1"/>
      </mc:Fallback>
    </mc:AlternateContent>
    <mc:AlternateContent xmlns:mc="http://schemas.openxmlformats.org/markup-compatibility/2006">
      <mc:Choice Requires="x14">
        <control shapeId="82946" r:id="rId6" name="CommandButton2">
          <controlPr defaultSize="0" autoLine="0" r:id="rId7">
            <anchor moveWithCells="1" sizeWithCells="1">
              <from>
                <xdr:col>0</xdr:col>
                <xdr:colOff>38100</xdr:colOff>
                <xdr:row>40</xdr:row>
                <xdr:rowOff>38100</xdr:rowOff>
              </from>
              <to>
                <xdr:col>2</xdr:col>
                <xdr:colOff>657225</xdr:colOff>
                <xdr:row>41</xdr:row>
                <xdr:rowOff>161925</xdr:rowOff>
              </to>
            </anchor>
          </controlPr>
        </control>
      </mc:Choice>
      <mc:Fallback>
        <control shapeId="82946" r:id="rId6"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BV280"/>
  <sheetViews>
    <sheetView showGridLines="0" showZeros="0" view="pageBreakPreview" zoomScale="85" zoomScaleNormal="25" zoomScaleSheetLayoutView="85" workbookViewId="0">
      <selection activeCell="W21" sqref="W21"/>
    </sheetView>
  </sheetViews>
  <sheetFormatPr baseColWidth="10" defaultColWidth="11.42578125" defaultRowHeight="15"/>
  <cols>
    <col min="1" max="1" width="5.85546875" style="33" customWidth="1"/>
    <col min="2" max="3" width="4" style="33" customWidth="1"/>
    <col min="4" max="4" width="3" style="33" customWidth="1"/>
    <col min="5" max="8" width="3.42578125" style="33" customWidth="1"/>
    <col min="9" max="12" width="3" style="33" customWidth="1"/>
    <col min="13" max="13" width="4.42578125" style="33" customWidth="1"/>
    <col min="14" max="16" width="3" style="33" customWidth="1"/>
    <col min="17" max="19" width="3.42578125" style="33" customWidth="1"/>
    <col min="20" max="22" width="5" style="33" customWidth="1"/>
    <col min="23" max="23" width="3.85546875" style="33" customWidth="1"/>
    <col min="24" max="25" width="3" style="33" customWidth="1"/>
    <col min="26" max="26" width="4" style="33" customWidth="1"/>
    <col min="27" max="28" width="3" style="33" customWidth="1"/>
    <col min="29" max="32" width="3.28515625" style="33" customWidth="1"/>
    <col min="33" max="34" width="3" style="33" customWidth="1"/>
    <col min="35" max="35" width="4.28515625" style="33" customWidth="1"/>
    <col min="36" max="40" width="3" style="33" customWidth="1"/>
    <col min="41" max="43" width="3.28515625" style="33" customWidth="1"/>
    <col min="44" max="44" width="7.7109375" style="33" customWidth="1"/>
    <col min="45" max="45" width="3" style="33" customWidth="1"/>
    <col min="46" max="48" width="4" style="33" customWidth="1"/>
    <col min="49" max="55" width="3" style="33" customWidth="1"/>
    <col min="56" max="62" width="3" style="19" customWidth="1"/>
    <col min="63" max="71" width="11.42578125" style="19"/>
    <col min="72" max="16384" width="11.42578125" style="33"/>
  </cols>
  <sheetData>
    <row r="1" spans="1:74" s="19" customFormat="1" ht="22.5" customHeight="1">
      <c r="A1" s="1751" t="s">
        <v>3257</v>
      </c>
      <c r="B1" s="1752"/>
      <c r="C1" s="1752"/>
      <c r="D1" s="1752"/>
      <c r="E1" s="1752"/>
      <c r="F1" s="1752"/>
      <c r="G1" s="1752"/>
      <c r="H1" s="1752"/>
      <c r="I1" s="1752"/>
      <c r="J1" s="1752"/>
      <c r="K1" s="1752"/>
      <c r="L1" s="1752"/>
      <c r="M1" s="1752"/>
      <c r="N1" s="1752"/>
      <c r="O1" s="1752"/>
      <c r="P1" s="1752"/>
      <c r="Q1" s="1752"/>
      <c r="R1" s="1752"/>
      <c r="S1" s="1752"/>
      <c r="T1" s="1752"/>
      <c r="U1" s="1752"/>
      <c r="V1" s="1752"/>
      <c r="W1" s="1752"/>
      <c r="X1" s="1752"/>
      <c r="Y1" s="1752"/>
      <c r="Z1" s="1752"/>
      <c r="AA1" s="1752"/>
      <c r="AB1" s="1752"/>
      <c r="AC1" s="1752"/>
      <c r="AD1" s="1752"/>
      <c r="AE1" s="1752"/>
      <c r="AF1" s="1752"/>
      <c r="AG1" s="1752"/>
      <c r="AH1" s="1752"/>
      <c r="AI1" s="1752"/>
      <c r="AJ1" s="1752"/>
      <c r="AK1" s="1752"/>
      <c r="AL1" s="1752"/>
      <c r="AM1" s="1752"/>
      <c r="AN1" s="1752"/>
      <c r="AO1" s="1752"/>
      <c r="AP1" s="1752"/>
      <c r="AQ1" s="1752"/>
      <c r="AR1" s="1752"/>
      <c r="AS1" s="1752"/>
      <c r="AT1" s="1752"/>
      <c r="AU1" s="1752"/>
      <c r="AV1" s="1752"/>
      <c r="AW1" s="1752"/>
      <c r="AX1" s="1752"/>
      <c r="AY1" s="1752"/>
      <c r="AZ1" s="1753"/>
      <c r="BT1" s="33"/>
      <c r="BU1" s="33"/>
      <c r="BV1" s="33"/>
    </row>
    <row r="2" spans="1:74" s="19" customFormat="1" ht="22.5" customHeight="1">
      <c r="A2" s="847"/>
      <c r="B2" s="847"/>
      <c r="C2" s="847"/>
      <c r="D2" s="847"/>
      <c r="E2" s="847"/>
      <c r="F2" s="847"/>
      <c r="G2" s="847"/>
      <c r="H2" s="847"/>
      <c r="I2" s="847"/>
      <c r="J2" s="847"/>
      <c r="K2" s="847"/>
      <c r="L2" s="847"/>
      <c r="M2" s="847"/>
      <c r="N2" s="847"/>
      <c r="O2" s="847"/>
      <c r="P2" s="847"/>
      <c r="Q2" s="847"/>
      <c r="R2" s="847"/>
      <c r="S2" s="847"/>
      <c r="T2" s="847"/>
      <c r="U2" s="847"/>
      <c r="V2" s="847"/>
      <c r="W2" s="847"/>
      <c r="X2" s="847"/>
      <c r="Y2" s="847"/>
      <c r="Z2" s="847"/>
      <c r="AA2" s="847"/>
      <c r="AB2" s="847"/>
      <c r="AC2" s="847"/>
      <c r="AD2" s="847"/>
      <c r="AE2" s="847"/>
      <c r="AF2" s="847"/>
      <c r="AG2" s="847"/>
      <c r="AH2" s="847"/>
      <c r="AI2" s="847"/>
      <c r="AJ2" s="847"/>
      <c r="AK2" s="847"/>
      <c r="AL2" s="847"/>
      <c r="AM2" s="847"/>
      <c r="AN2" s="847"/>
      <c r="AO2" s="847"/>
      <c r="AP2" s="847"/>
      <c r="AQ2" s="847"/>
      <c r="AR2" s="847"/>
      <c r="AS2" s="847"/>
      <c r="AT2" s="847"/>
      <c r="AU2" s="847"/>
      <c r="AV2" s="847"/>
      <c r="AW2" s="847"/>
      <c r="AX2" s="847"/>
      <c r="AY2" s="847"/>
      <c r="AZ2" s="847"/>
      <c r="BT2" s="33"/>
      <c r="BU2" s="33"/>
      <c r="BV2" s="33"/>
    </row>
    <row r="3" spans="1:74" s="19" customFormat="1" ht="22.5" customHeight="1">
      <c r="A3" s="847"/>
      <c r="B3" s="847"/>
      <c r="C3" s="847"/>
      <c r="D3" s="847"/>
      <c r="E3" s="847"/>
      <c r="F3" s="847"/>
      <c r="G3" s="847"/>
      <c r="H3" s="847"/>
      <c r="I3" s="847"/>
      <c r="J3" s="847"/>
      <c r="K3" s="847"/>
      <c r="L3" s="847"/>
      <c r="M3" s="847"/>
      <c r="N3" s="847"/>
      <c r="O3" s="847"/>
      <c r="P3" s="847"/>
      <c r="Q3" s="847"/>
      <c r="R3" s="847"/>
      <c r="S3" s="847"/>
      <c r="T3" s="847"/>
      <c r="U3" s="847"/>
      <c r="V3" s="847"/>
      <c r="W3" s="847"/>
      <c r="X3" s="847"/>
      <c r="Y3" s="847"/>
      <c r="Z3" s="847"/>
      <c r="AA3" s="847"/>
      <c r="AB3" s="847"/>
      <c r="AC3" s="847"/>
      <c r="AD3" s="847"/>
      <c r="AE3" s="847"/>
      <c r="AF3" s="847"/>
      <c r="AG3" s="847"/>
      <c r="AH3" s="847"/>
      <c r="AI3" s="847"/>
      <c r="AJ3" s="847"/>
      <c r="AK3" s="847"/>
      <c r="AL3" s="847"/>
      <c r="AM3" s="847"/>
      <c r="AN3" s="847"/>
      <c r="AO3" s="847"/>
      <c r="AP3" s="847"/>
      <c r="AQ3" s="847"/>
      <c r="AR3" s="847"/>
      <c r="AS3" s="847"/>
      <c r="AT3" s="847"/>
      <c r="AU3" s="847"/>
      <c r="AV3" s="847"/>
      <c r="AW3" s="847"/>
      <c r="AX3" s="847"/>
      <c r="AY3" s="847"/>
      <c r="AZ3" s="847"/>
      <c r="BT3" s="33"/>
      <c r="BU3" s="33"/>
      <c r="BV3" s="33"/>
    </row>
    <row r="4" spans="1:74" s="19" customFormat="1" ht="17.25" customHeight="1" thickBot="1">
      <c r="A4" s="277"/>
      <c r="B4" s="277"/>
      <c r="C4" s="277"/>
      <c r="D4" s="277"/>
      <c r="E4" s="277"/>
      <c r="F4" s="277"/>
      <c r="G4" s="277"/>
      <c r="H4" s="277"/>
      <c r="I4" s="277"/>
      <c r="J4" s="277"/>
      <c r="K4" s="277"/>
      <c r="L4" s="277"/>
      <c r="M4" s="277"/>
      <c r="N4" s="277"/>
      <c r="O4" s="277"/>
      <c r="P4" s="277"/>
      <c r="Q4" s="277"/>
      <c r="R4" s="277"/>
      <c r="S4" s="277"/>
      <c r="T4" s="277"/>
      <c r="U4" s="277"/>
      <c r="V4" s="277"/>
      <c r="W4" s="277"/>
      <c r="X4" s="277"/>
      <c r="Y4" s="277"/>
      <c r="Z4" s="277"/>
      <c r="AA4" s="277"/>
      <c r="AB4" s="277"/>
      <c r="AC4" s="277"/>
      <c r="AD4" s="277"/>
      <c r="AE4" s="277"/>
      <c r="AF4" s="277"/>
      <c r="AG4" s="277"/>
      <c r="AH4" s="277"/>
      <c r="AI4" s="277"/>
      <c r="AJ4" s="277"/>
      <c r="AK4" s="277"/>
      <c r="AL4" s="277"/>
      <c r="AM4" s="277"/>
      <c r="AN4" s="277"/>
      <c r="AO4" s="277"/>
      <c r="AP4" s="277"/>
      <c r="AQ4" s="277"/>
      <c r="AR4" s="277"/>
      <c r="AS4" s="277"/>
      <c r="AT4" s="277"/>
      <c r="AU4" s="277"/>
      <c r="AV4" s="277"/>
      <c r="AW4" s="277"/>
      <c r="AX4" s="277"/>
      <c r="AY4" s="277"/>
      <c r="AZ4" s="277"/>
      <c r="BT4" s="33"/>
      <c r="BU4" s="33"/>
      <c r="BV4" s="33"/>
    </row>
    <row r="5" spans="1:74" ht="16.5" customHeight="1">
      <c r="A5" s="34" t="s">
        <v>410</v>
      </c>
      <c r="B5" s="35" t="s">
        <v>709</v>
      </c>
      <c r="C5" s="20"/>
      <c r="D5" s="20"/>
      <c r="E5" s="20"/>
      <c r="F5" s="20"/>
      <c r="G5" s="20"/>
      <c r="H5" s="20"/>
      <c r="I5" s="20"/>
      <c r="J5" s="20"/>
      <c r="K5" s="20"/>
      <c r="L5" s="20"/>
      <c r="M5" s="20"/>
      <c r="N5" s="20"/>
      <c r="O5" s="20"/>
      <c r="P5" s="20"/>
      <c r="Q5" s="36"/>
      <c r="R5" s="36"/>
      <c r="S5" s="36"/>
      <c r="T5" s="36"/>
      <c r="U5" s="36"/>
      <c r="V5" s="1807" t="s">
        <v>3210</v>
      </c>
      <c r="W5" s="1808"/>
      <c r="X5" s="1808"/>
      <c r="Y5" s="1808"/>
      <c r="Z5" s="1808"/>
      <c r="AA5" s="1808"/>
      <c r="AB5" s="1808"/>
      <c r="AC5" s="1808"/>
      <c r="AD5" s="1808"/>
      <c r="AE5" s="1808"/>
      <c r="AF5" s="1808"/>
      <c r="AG5" s="1808"/>
      <c r="AH5" s="1808"/>
      <c r="AI5" s="1808"/>
      <c r="AJ5" s="1808"/>
      <c r="AK5" s="1808"/>
      <c r="AL5" s="1808"/>
      <c r="AM5" s="1808"/>
      <c r="AN5" s="1808"/>
      <c r="AO5" s="1808"/>
      <c r="AP5" s="1809"/>
      <c r="AQ5" s="36"/>
      <c r="AR5" s="36"/>
      <c r="AS5" s="36"/>
      <c r="AT5" s="36"/>
      <c r="AU5" s="36"/>
      <c r="AV5" s="36"/>
      <c r="AW5" s="36"/>
      <c r="AX5" s="36"/>
      <c r="AY5" s="36"/>
      <c r="AZ5" s="36"/>
      <c r="BA5" s="19"/>
      <c r="BB5" s="19"/>
      <c r="BC5" s="19"/>
    </row>
    <row r="6" spans="1:74" ht="8.25" customHeight="1">
      <c r="A6" s="34"/>
      <c r="B6" s="35"/>
      <c r="C6" s="20"/>
      <c r="D6" s="20"/>
      <c r="E6" s="20"/>
      <c r="F6" s="20"/>
      <c r="G6" s="20"/>
      <c r="H6" s="20"/>
      <c r="I6" s="20"/>
      <c r="J6" s="20"/>
      <c r="K6" s="20"/>
      <c r="L6" s="20"/>
      <c r="M6" s="20"/>
      <c r="N6" s="20"/>
      <c r="O6" s="20"/>
      <c r="P6" s="20"/>
      <c r="Q6" s="36"/>
      <c r="R6" s="36"/>
      <c r="S6" s="36"/>
      <c r="T6" s="36"/>
      <c r="U6" s="36"/>
      <c r="V6" s="1810"/>
      <c r="W6" s="1811"/>
      <c r="X6" s="1811"/>
      <c r="Y6" s="1811"/>
      <c r="Z6" s="1811"/>
      <c r="AA6" s="1811"/>
      <c r="AB6" s="1811"/>
      <c r="AC6" s="1811"/>
      <c r="AD6" s="1811"/>
      <c r="AE6" s="1811"/>
      <c r="AF6" s="1811"/>
      <c r="AG6" s="1811"/>
      <c r="AH6" s="1811"/>
      <c r="AI6" s="1811"/>
      <c r="AJ6" s="1811"/>
      <c r="AK6" s="1811"/>
      <c r="AL6" s="1811"/>
      <c r="AM6" s="1811"/>
      <c r="AN6" s="1811"/>
      <c r="AO6" s="1811"/>
      <c r="AP6" s="1812"/>
      <c r="AQ6" s="36"/>
      <c r="AR6" s="36"/>
      <c r="AS6" s="36"/>
      <c r="AT6" s="36"/>
      <c r="AU6" s="36"/>
      <c r="AV6" s="36"/>
      <c r="AW6" s="36"/>
      <c r="AX6" s="36"/>
      <c r="AY6" s="36"/>
      <c r="AZ6" s="36"/>
      <c r="BA6" s="19"/>
      <c r="BB6" s="19"/>
      <c r="BC6" s="19"/>
    </row>
    <row r="7" spans="1:74" ht="15.75" customHeight="1">
      <c r="A7" s="34"/>
      <c r="B7" s="1703" t="s">
        <v>707</v>
      </c>
      <c r="C7" s="1703"/>
      <c r="D7" s="1703"/>
      <c r="E7" s="1703"/>
      <c r="F7" s="1703"/>
      <c r="G7" s="1703"/>
      <c r="H7" s="1703"/>
      <c r="I7" s="1703"/>
      <c r="J7" s="1703"/>
      <c r="K7" s="1703"/>
      <c r="L7" s="1703"/>
      <c r="M7" s="1703"/>
      <c r="N7" s="1704"/>
      <c r="O7" s="1704"/>
      <c r="P7" s="1704"/>
      <c r="Q7" s="1704"/>
      <c r="R7" s="1704"/>
      <c r="S7" s="36"/>
      <c r="T7" s="36"/>
      <c r="U7" s="36"/>
      <c r="V7" s="1810"/>
      <c r="W7" s="1811"/>
      <c r="X7" s="1811"/>
      <c r="Y7" s="1811"/>
      <c r="Z7" s="1811"/>
      <c r="AA7" s="1811"/>
      <c r="AB7" s="1811"/>
      <c r="AC7" s="1811"/>
      <c r="AD7" s="1811"/>
      <c r="AE7" s="1811"/>
      <c r="AF7" s="1811"/>
      <c r="AG7" s="1811"/>
      <c r="AH7" s="1811"/>
      <c r="AI7" s="1811"/>
      <c r="AJ7" s="1811"/>
      <c r="AK7" s="1811"/>
      <c r="AL7" s="1811"/>
      <c r="AM7" s="1811"/>
      <c r="AN7" s="1811"/>
      <c r="AO7" s="1811"/>
      <c r="AP7" s="1812"/>
      <c r="AW7" s="36"/>
      <c r="AX7" s="36"/>
      <c r="AY7" s="36"/>
      <c r="AZ7" s="36"/>
      <c r="BA7" s="19"/>
      <c r="BB7" s="19"/>
      <c r="BC7" s="19"/>
    </row>
    <row r="8" spans="1:74" ht="15.75" customHeight="1" thickBot="1">
      <c r="A8" s="34"/>
      <c r="B8" s="1703" t="s">
        <v>2998</v>
      </c>
      <c r="C8" s="1703"/>
      <c r="D8" s="1703"/>
      <c r="E8" s="1703"/>
      <c r="F8" s="1703"/>
      <c r="G8" s="1703"/>
      <c r="H8" s="1703"/>
      <c r="I8" s="1703"/>
      <c r="J8" s="1703"/>
      <c r="K8" s="1703"/>
      <c r="L8" s="1703"/>
      <c r="M8" s="1703"/>
      <c r="N8" s="1704"/>
      <c r="O8" s="1704"/>
      <c r="P8" s="1704"/>
      <c r="Q8" s="1704"/>
      <c r="R8" s="1704"/>
      <c r="S8" s="36"/>
      <c r="T8" s="36"/>
      <c r="U8" s="36"/>
      <c r="V8" s="1813"/>
      <c r="W8" s="1814"/>
      <c r="X8" s="1814"/>
      <c r="Y8" s="1814"/>
      <c r="Z8" s="1814"/>
      <c r="AA8" s="1814"/>
      <c r="AB8" s="1814"/>
      <c r="AC8" s="1814"/>
      <c r="AD8" s="1814"/>
      <c r="AE8" s="1814"/>
      <c r="AF8" s="1814"/>
      <c r="AG8" s="1814"/>
      <c r="AH8" s="1814"/>
      <c r="AI8" s="1814"/>
      <c r="AJ8" s="1814"/>
      <c r="AK8" s="1814"/>
      <c r="AL8" s="1814"/>
      <c r="AM8" s="1814"/>
      <c r="AN8" s="1814"/>
      <c r="AO8" s="1814"/>
      <c r="AP8" s="1815"/>
      <c r="AW8" s="36"/>
      <c r="AX8" s="36"/>
      <c r="AY8" s="36"/>
      <c r="AZ8" s="36"/>
      <c r="BA8" s="19"/>
      <c r="BB8" s="19"/>
      <c r="BC8" s="19"/>
    </row>
    <row r="9" spans="1:74" ht="15.75" customHeight="1">
      <c r="A9" s="34"/>
      <c r="B9" s="1703" t="s">
        <v>2751</v>
      </c>
      <c r="C9" s="1703"/>
      <c r="D9" s="1703"/>
      <c r="E9" s="1703"/>
      <c r="F9" s="1703"/>
      <c r="G9" s="1703"/>
      <c r="H9" s="1703"/>
      <c r="I9" s="1703"/>
      <c r="J9" s="1703"/>
      <c r="K9" s="1703"/>
      <c r="L9" s="1703"/>
      <c r="M9" s="1703"/>
      <c r="N9" s="1704"/>
      <c r="O9" s="1704"/>
      <c r="P9" s="1704"/>
      <c r="Q9" s="1704"/>
      <c r="R9" s="1704"/>
      <c r="S9" s="36"/>
      <c r="T9" s="36"/>
      <c r="U9" s="36"/>
      <c r="V9" s="36"/>
      <c r="W9" s="36"/>
      <c r="X9" s="36"/>
      <c r="Y9" s="36"/>
      <c r="Z9" s="36"/>
      <c r="AA9" s="36"/>
      <c r="AB9" s="36"/>
      <c r="AC9" s="36"/>
      <c r="AD9" s="36"/>
      <c r="AE9" s="36"/>
      <c r="AF9" s="36"/>
      <c r="AG9" s="36"/>
      <c r="AW9" s="36"/>
      <c r="AX9" s="36"/>
      <c r="AY9" s="36"/>
      <c r="AZ9" s="36"/>
      <c r="BA9" s="19"/>
      <c r="BB9" s="19"/>
      <c r="BC9" s="19"/>
    </row>
    <row r="10" spans="1:74" ht="15.75" customHeight="1">
      <c r="A10" s="34"/>
      <c r="B10" s="35"/>
      <c r="C10" s="20"/>
      <c r="D10" s="20"/>
      <c r="E10" s="20"/>
      <c r="F10" s="20"/>
      <c r="G10" s="20"/>
      <c r="H10" s="20"/>
      <c r="I10" s="20"/>
      <c r="J10" s="20"/>
      <c r="K10" s="20"/>
      <c r="L10" s="20"/>
      <c r="M10" s="20"/>
      <c r="N10" s="20"/>
      <c r="O10" s="20"/>
      <c r="P10" s="20"/>
      <c r="Q10" s="36"/>
      <c r="R10" s="36"/>
      <c r="S10" s="36"/>
      <c r="T10" s="36"/>
      <c r="U10" s="36"/>
      <c r="V10" s="36"/>
      <c r="W10" s="36"/>
      <c r="X10" s="36"/>
      <c r="Y10" s="36"/>
      <c r="Z10" s="36"/>
      <c r="AA10" s="36"/>
      <c r="AB10" s="36"/>
      <c r="AC10" s="36"/>
      <c r="AD10" s="36"/>
      <c r="AE10" s="36"/>
      <c r="AF10" s="36"/>
      <c r="AG10" s="36"/>
      <c r="AW10" s="36"/>
      <c r="AX10" s="36"/>
      <c r="AY10" s="36"/>
      <c r="AZ10" s="36"/>
      <c r="BA10" s="19"/>
      <c r="BB10" s="19"/>
      <c r="BC10" s="19"/>
    </row>
    <row r="11" spans="1:74" ht="6" customHeight="1">
      <c r="A11" s="34"/>
      <c r="B11" s="35"/>
      <c r="C11" s="20"/>
      <c r="D11" s="20"/>
      <c r="E11" s="20"/>
      <c r="F11" s="20"/>
      <c r="G11" s="20"/>
      <c r="H11" s="20"/>
      <c r="I11" s="20"/>
      <c r="J11" s="20"/>
      <c r="K11" s="20"/>
      <c r="L11" s="20"/>
      <c r="M11" s="20"/>
      <c r="N11" s="20"/>
      <c r="O11" s="20"/>
      <c r="P11" s="20"/>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19"/>
      <c r="BB11" s="19"/>
      <c r="BC11" s="19"/>
    </row>
    <row r="12" spans="1:74" ht="12.75" customHeight="1">
      <c r="A12" s="34" t="s">
        <v>631</v>
      </c>
      <c r="B12" s="35" t="s">
        <v>708</v>
      </c>
      <c r="C12" s="20"/>
      <c r="D12" s="20"/>
      <c r="E12" s="20"/>
      <c r="F12" s="20"/>
      <c r="G12" s="20"/>
      <c r="H12" s="20"/>
      <c r="I12" s="20"/>
      <c r="J12" s="20"/>
      <c r="K12" s="20"/>
      <c r="L12" s="20"/>
      <c r="M12" s="20"/>
      <c r="N12" s="20"/>
      <c r="O12" s="20"/>
      <c r="P12" s="20"/>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19"/>
      <c r="BB12" s="19"/>
      <c r="BC12" s="19"/>
    </row>
    <row r="13" spans="1:74" ht="6" customHeight="1">
      <c r="A13" s="34"/>
      <c r="B13" s="35"/>
      <c r="C13" s="20"/>
      <c r="D13" s="20"/>
      <c r="E13" s="20"/>
      <c r="F13" s="20"/>
      <c r="G13" s="20"/>
      <c r="H13" s="20"/>
      <c r="I13" s="20"/>
      <c r="J13" s="20"/>
      <c r="K13" s="20"/>
      <c r="L13" s="20"/>
      <c r="M13" s="20"/>
      <c r="N13" s="20"/>
      <c r="O13" s="20"/>
      <c r="P13" s="20"/>
      <c r="Q13" s="36"/>
      <c r="R13" s="36"/>
      <c r="S13" s="36"/>
      <c r="T13" s="36"/>
      <c r="U13" s="36"/>
      <c r="V13" s="36"/>
      <c r="W13" s="36"/>
      <c r="X13" s="36"/>
      <c r="Y13" s="36"/>
      <c r="Z13" s="36"/>
      <c r="AA13" s="36"/>
      <c r="AB13" s="36"/>
      <c r="AC13" s="36"/>
      <c r="AD13" s="36"/>
      <c r="AE13" s="36"/>
      <c r="AF13" s="36"/>
      <c r="AG13" s="36"/>
      <c r="AH13" s="36"/>
      <c r="AI13" s="36"/>
      <c r="AJ13" s="36"/>
      <c r="AK13" s="36"/>
      <c r="AL13" s="36"/>
      <c r="AM13" s="36"/>
      <c r="AN13" s="36"/>
      <c r="AO13" s="36"/>
      <c r="AP13" s="36"/>
      <c r="AQ13" s="36"/>
      <c r="AR13" s="36"/>
      <c r="AS13" s="36"/>
      <c r="AT13" s="36"/>
      <c r="AU13" s="36"/>
      <c r="AV13" s="36"/>
      <c r="AW13" s="36"/>
      <c r="AX13" s="36"/>
      <c r="AY13" s="36"/>
      <c r="AZ13" s="36"/>
      <c r="BA13" s="19"/>
      <c r="BB13" s="19"/>
      <c r="BC13" s="19"/>
    </row>
    <row r="14" spans="1:74">
      <c r="B14" s="1715" t="str">
        <f>B10&amp;"Poblacion distrital total "&amp;N7&amp;""</f>
        <v xml:space="preserve">Poblacion distrital total </v>
      </c>
      <c r="C14" s="1715"/>
      <c r="D14" s="1715"/>
      <c r="E14" s="1715"/>
      <c r="F14" s="1715"/>
      <c r="G14" s="1715"/>
      <c r="H14" s="1715"/>
      <c r="I14" s="1715"/>
      <c r="J14" s="1715"/>
      <c r="K14" s="1715"/>
      <c r="L14" s="1715"/>
      <c r="M14" s="1715"/>
      <c r="N14" s="1715"/>
      <c r="O14" s="1715"/>
      <c r="P14" s="1715"/>
      <c r="Q14" s="1704"/>
      <c r="R14" s="1704"/>
      <c r="S14" s="1704"/>
      <c r="T14" s="1710"/>
      <c r="U14" s="1710"/>
      <c r="V14" s="1710"/>
      <c r="W14" s="20"/>
      <c r="X14" s="20"/>
      <c r="Y14" s="1703" t="s">
        <v>385</v>
      </c>
      <c r="Z14" s="1703"/>
      <c r="AA14" s="1703"/>
      <c r="AB14" s="1703"/>
      <c r="AC14" s="1703"/>
      <c r="AD14" s="1703"/>
      <c r="AE14" s="1703"/>
      <c r="AF14" s="1703"/>
      <c r="AG14" s="1703"/>
      <c r="AH14" s="1703"/>
      <c r="AI14" s="1703"/>
      <c r="AJ14" s="1703"/>
      <c r="AK14" s="1703"/>
      <c r="AL14" s="1703"/>
      <c r="AM14" s="1703"/>
      <c r="AN14" s="1703"/>
      <c r="AO14" s="1703"/>
      <c r="AP14" s="1703"/>
      <c r="AQ14" s="1706"/>
      <c r="AR14" s="1707"/>
      <c r="AS14" s="1708"/>
      <c r="AT14" s="20"/>
      <c r="AU14" s="20"/>
      <c r="AV14" s="20"/>
      <c r="AW14" s="20"/>
      <c r="AX14" s="20"/>
      <c r="AY14" s="20"/>
      <c r="AZ14" s="20"/>
      <c r="BA14" s="19"/>
      <c r="BB14" s="19"/>
      <c r="BC14" s="19"/>
    </row>
    <row r="15" spans="1:74">
      <c r="A15" s="34"/>
      <c r="B15" s="1715" t="str">
        <f>B11&amp;"Poblacion beneficiaria total "&amp;N7&amp;""</f>
        <v xml:space="preserve">Poblacion beneficiaria total </v>
      </c>
      <c r="C15" s="1715"/>
      <c r="D15" s="1715"/>
      <c r="E15" s="1715"/>
      <c r="F15" s="1715"/>
      <c r="G15" s="1715"/>
      <c r="H15" s="1715"/>
      <c r="I15" s="1715"/>
      <c r="J15" s="1715"/>
      <c r="K15" s="1715"/>
      <c r="L15" s="1715"/>
      <c r="M15" s="1715"/>
      <c r="N15" s="1715"/>
      <c r="O15" s="1715"/>
      <c r="P15" s="1715"/>
      <c r="Q15" s="1704"/>
      <c r="R15" s="1704"/>
      <c r="S15" s="1704"/>
      <c r="T15" s="1710"/>
      <c r="U15" s="1710"/>
      <c r="V15" s="171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19"/>
      <c r="BB15" s="19"/>
      <c r="BC15" s="19"/>
    </row>
    <row r="16" spans="1:74">
      <c r="A16" s="34"/>
      <c r="B16" s="1715" t="str">
        <f>B10&amp;"N° total de viviendas urbanas (unidades) "&amp;N7&amp;""</f>
        <v xml:space="preserve">N° total de viviendas urbanas (unidades) </v>
      </c>
      <c r="C16" s="1715"/>
      <c r="D16" s="1715"/>
      <c r="E16" s="1715"/>
      <c r="F16" s="1715"/>
      <c r="G16" s="1715"/>
      <c r="H16" s="1715"/>
      <c r="I16" s="1715"/>
      <c r="J16" s="1715"/>
      <c r="K16" s="1715"/>
      <c r="L16" s="1715"/>
      <c r="M16" s="1715"/>
      <c r="N16" s="1715"/>
      <c r="O16" s="1715"/>
      <c r="P16" s="1715"/>
      <c r="Q16" s="1704"/>
      <c r="R16" s="1704"/>
      <c r="S16" s="1704"/>
      <c r="T16" s="1710"/>
      <c r="U16" s="1710"/>
      <c r="V16" s="1710"/>
      <c r="W16" s="20"/>
      <c r="X16" s="20"/>
      <c r="Y16" s="1703" t="s">
        <v>399</v>
      </c>
      <c r="Z16" s="1703"/>
      <c r="AA16" s="1703"/>
      <c r="AB16" s="1703"/>
      <c r="AC16" s="1703"/>
      <c r="AD16" s="1703"/>
      <c r="AE16" s="1703"/>
      <c r="AF16" s="1703"/>
      <c r="AG16" s="1703"/>
      <c r="AH16" s="1703"/>
      <c r="AI16" s="1703"/>
      <c r="AJ16" s="1703"/>
      <c r="AK16" s="1703"/>
      <c r="AL16" s="1703"/>
      <c r="AM16" s="1703"/>
      <c r="AN16" s="1703"/>
      <c r="AO16" s="1703"/>
      <c r="AP16" s="1703"/>
      <c r="AQ16" s="1706"/>
      <c r="AR16" s="1707"/>
      <c r="AS16" s="1708"/>
      <c r="AT16" s="20"/>
      <c r="AU16" s="20"/>
      <c r="AV16" s="20"/>
      <c r="AW16" s="20"/>
      <c r="AX16" s="20"/>
      <c r="AY16" s="20"/>
      <c r="AZ16" s="20"/>
      <c r="BA16" s="19"/>
      <c r="BB16" s="19"/>
      <c r="BC16" s="19"/>
    </row>
    <row r="17" spans="1:55">
      <c r="A17" s="34"/>
      <c r="B17" s="1716" t="s">
        <v>383</v>
      </c>
      <c r="C17" s="1717"/>
      <c r="D17" s="1717"/>
      <c r="E17" s="1717"/>
      <c r="F17" s="1717"/>
      <c r="G17" s="1717"/>
      <c r="H17" s="1717"/>
      <c r="I17" s="1717"/>
      <c r="J17" s="1717"/>
      <c r="K17" s="1717"/>
      <c r="L17" s="1717"/>
      <c r="M17" s="1717"/>
      <c r="N17" s="1717"/>
      <c r="O17" s="1717"/>
      <c r="P17" s="1718"/>
      <c r="Q17" s="1806" t="str">
        <f>IFERROR(ROUNDUP(Q15/Q16,0),"")</f>
        <v/>
      </c>
      <c r="R17" s="1806"/>
      <c r="S17" s="1806"/>
      <c r="T17" s="1710" t="s">
        <v>425</v>
      </c>
      <c r="U17" s="1710"/>
      <c r="V17" s="1710"/>
      <c r="W17" s="20"/>
      <c r="X17" s="20"/>
      <c r="Y17" s="1703" t="s">
        <v>460</v>
      </c>
      <c r="Z17" s="1703"/>
      <c r="AA17" s="1703"/>
      <c r="AB17" s="1703"/>
      <c r="AC17" s="1703"/>
      <c r="AD17" s="1703"/>
      <c r="AE17" s="1703"/>
      <c r="AF17" s="1703"/>
      <c r="AG17" s="1703"/>
      <c r="AH17" s="1703"/>
      <c r="AI17" s="1703"/>
      <c r="AJ17" s="1703"/>
      <c r="AK17" s="1703"/>
      <c r="AL17" s="1703"/>
      <c r="AM17" s="1703"/>
      <c r="AN17" s="1703"/>
      <c r="AO17" s="1703"/>
      <c r="AP17" s="1703"/>
      <c r="AQ17" s="1706"/>
      <c r="AR17" s="1707"/>
      <c r="AS17" s="1708"/>
      <c r="AT17" s="20"/>
      <c r="AU17" s="20"/>
      <c r="AV17" s="20"/>
      <c r="AW17" s="20"/>
      <c r="AX17" s="20"/>
      <c r="AY17" s="20"/>
      <c r="AZ17" s="20"/>
      <c r="BA17" s="19"/>
      <c r="BB17" s="19"/>
      <c r="BC17" s="19"/>
    </row>
    <row r="18" spans="1:55">
      <c r="A18" s="34"/>
      <c r="B18" s="1716" t="s">
        <v>398</v>
      </c>
      <c r="C18" s="1717"/>
      <c r="D18" s="1717"/>
      <c r="E18" s="1717"/>
      <c r="F18" s="1717"/>
      <c r="G18" s="1717"/>
      <c r="H18" s="1717"/>
      <c r="I18" s="1717"/>
      <c r="J18" s="1717"/>
      <c r="K18" s="1717"/>
      <c r="L18" s="1717"/>
      <c r="M18" s="1717"/>
      <c r="N18" s="1717"/>
      <c r="O18" s="1717"/>
      <c r="P18" s="1718"/>
      <c r="Q18" s="1709"/>
      <c r="R18" s="1709"/>
      <c r="S18" s="1709"/>
      <c r="T18" s="1710"/>
      <c r="U18" s="1710"/>
      <c r="V18" s="1710"/>
      <c r="W18" s="20"/>
      <c r="X18" s="20"/>
      <c r="Y18" s="1703" t="s">
        <v>461</v>
      </c>
      <c r="Z18" s="1703"/>
      <c r="AA18" s="1703"/>
      <c r="AB18" s="1703"/>
      <c r="AC18" s="1703"/>
      <c r="AD18" s="1703"/>
      <c r="AE18" s="1703"/>
      <c r="AF18" s="1703"/>
      <c r="AG18" s="1703"/>
      <c r="AH18" s="1703"/>
      <c r="AI18" s="1703"/>
      <c r="AJ18" s="1703"/>
      <c r="AK18" s="1703"/>
      <c r="AL18" s="1703"/>
      <c r="AM18" s="1703"/>
      <c r="AN18" s="1703"/>
      <c r="AO18" s="1703"/>
      <c r="AP18" s="1703"/>
      <c r="AQ18" s="1706"/>
      <c r="AR18" s="1707"/>
      <c r="AS18" s="1708"/>
      <c r="AT18" s="20"/>
      <c r="AU18" s="20"/>
      <c r="AV18" s="20"/>
      <c r="AW18" s="20"/>
      <c r="AX18" s="20"/>
      <c r="AY18" s="20"/>
      <c r="AZ18" s="20"/>
      <c r="BA18" s="19"/>
      <c r="BB18" s="19"/>
      <c r="BC18" s="19"/>
    </row>
    <row r="19" spans="1:55">
      <c r="A19" s="34"/>
      <c r="B19" s="1715" t="s">
        <v>130</v>
      </c>
      <c r="C19" s="1715"/>
      <c r="D19" s="1715"/>
      <c r="E19" s="1715"/>
      <c r="F19" s="1715"/>
      <c r="G19" s="1715"/>
      <c r="H19" s="1715"/>
      <c r="I19" s="1715"/>
      <c r="J19" s="1715"/>
      <c r="K19" s="1715"/>
      <c r="L19" s="1715"/>
      <c r="M19" s="1715"/>
      <c r="N19" s="1715"/>
      <c r="O19" s="1715"/>
      <c r="P19" s="1715"/>
      <c r="Q19" s="1712">
        <v>0.01</v>
      </c>
      <c r="R19" s="1713"/>
      <c r="S19" s="1713"/>
      <c r="T19" s="1710"/>
      <c r="U19" s="1710"/>
      <c r="V19" s="1710"/>
      <c r="W19" s="20"/>
      <c r="X19" s="20"/>
      <c r="Y19" s="1703" t="s">
        <v>462</v>
      </c>
      <c r="Z19" s="1703"/>
      <c r="AA19" s="1703"/>
      <c r="AB19" s="1703"/>
      <c r="AC19" s="1703"/>
      <c r="AD19" s="1703"/>
      <c r="AE19" s="1703"/>
      <c r="AF19" s="1703"/>
      <c r="AG19" s="1703"/>
      <c r="AH19" s="1703"/>
      <c r="AI19" s="1703"/>
      <c r="AJ19" s="1703"/>
      <c r="AK19" s="1703"/>
      <c r="AL19" s="1703"/>
      <c r="AM19" s="1703"/>
      <c r="AN19" s="1703"/>
      <c r="AO19" s="1703"/>
      <c r="AP19" s="1703"/>
      <c r="AQ19" s="1706"/>
      <c r="AR19" s="1707"/>
      <c r="AS19" s="1708"/>
      <c r="AT19" s="20"/>
      <c r="AU19" s="20"/>
      <c r="AV19" s="20"/>
      <c r="AW19" s="20"/>
      <c r="AX19" s="20"/>
      <c r="AY19" s="20"/>
      <c r="AZ19" s="20"/>
      <c r="BA19" s="19"/>
      <c r="BB19" s="19"/>
      <c r="BC19" s="19"/>
    </row>
    <row r="20" spans="1:55" ht="18.75" customHeight="1">
      <c r="A20" s="34"/>
      <c r="Q20" s="37"/>
      <c r="R20" s="37"/>
      <c r="S20" s="37"/>
      <c r="T20" s="363"/>
      <c r="U20" s="363"/>
      <c r="V20" s="363"/>
      <c r="W20" s="20"/>
      <c r="X20" s="20"/>
      <c r="Y20" s="38"/>
      <c r="Z20" s="38"/>
      <c r="AA20" s="38"/>
      <c r="AB20" s="38"/>
      <c r="AC20" s="38"/>
      <c r="AD20" s="38"/>
      <c r="AE20" s="38"/>
      <c r="AF20" s="38"/>
      <c r="AG20" s="38"/>
      <c r="AH20" s="38"/>
      <c r="AI20" s="38"/>
      <c r="AJ20" s="38"/>
      <c r="AK20" s="38"/>
      <c r="AL20" s="38"/>
      <c r="AM20" s="38"/>
      <c r="AN20" s="38"/>
      <c r="AO20" s="38"/>
      <c r="AP20" s="38"/>
      <c r="AQ20" s="364"/>
      <c r="AR20" s="364"/>
      <c r="AS20" s="364"/>
      <c r="AT20" s="20"/>
      <c r="AU20" s="20"/>
      <c r="AV20" s="20"/>
      <c r="AW20" s="20"/>
      <c r="AX20" s="20"/>
      <c r="AY20" s="20"/>
      <c r="AZ20" s="20"/>
      <c r="BA20" s="19"/>
      <c r="BB20" s="19"/>
      <c r="BC20" s="19"/>
    </row>
    <row r="21" spans="1:55">
      <c r="A21" s="34" t="s">
        <v>633</v>
      </c>
      <c r="B21" s="35" t="s">
        <v>721</v>
      </c>
      <c r="C21" s="20"/>
      <c r="D21" s="20"/>
      <c r="E21" s="20"/>
      <c r="F21" s="20"/>
      <c r="G21" s="20"/>
      <c r="H21" s="20"/>
      <c r="I21" s="20"/>
      <c r="J21" s="20"/>
      <c r="K21" s="20"/>
      <c r="L21" s="20"/>
      <c r="M21" s="20"/>
      <c r="N21" s="20"/>
      <c r="O21" s="20"/>
      <c r="P21" s="20"/>
      <c r="Q21" s="36"/>
      <c r="R21" s="36"/>
      <c r="S21" s="36"/>
      <c r="T21" s="36"/>
      <c r="U21" s="36"/>
      <c r="V21" s="36"/>
      <c r="W21" s="36"/>
      <c r="X21" s="36"/>
      <c r="Y21" s="36"/>
      <c r="Z21" s="36"/>
      <c r="AA21" s="36"/>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19"/>
      <c r="BB21" s="19"/>
      <c r="BC21" s="19"/>
    </row>
    <row r="22" spans="1:55" ht="12.75" customHeight="1">
      <c r="A22" s="34"/>
      <c r="B22" s="35"/>
      <c r="C22" s="20"/>
      <c r="D22" s="20"/>
      <c r="E22" s="20"/>
      <c r="F22" s="20"/>
      <c r="G22" s="20"/>
      <c r="H22" s="20"/>
      <c r="I22" s="20"/>
      <c r="J22" s="20"/>
      <c r="K22" s="20"/>
      <c r="L22" s="20"/>
      <c r="M22" s="20"/>
      <c r="N22" s="20"/>
      <c r="O22" s="20"/>
      <c r="P22" s="20"/>
      <c r="Q22" s="36"/>
      <c r="R22" s="36"/>
      <c r="S22" s="36"/>
      <c r="T22" s="36"/>
      <c r="U22" s="36"/>
      <c r="V22" s="36"/>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19"/>
      <c r="BB22" s="19"/>
      <c r="BC22" s="19"/>
    </row>
    <row r="23" spans="1:55" ht="15" customHeight="1">
      <c r="A23" s="34"/>
      <c r="B23" s="1703" t="s">
        <v>2999</v>
      </c>
      <c r="C23" s="1703"/>
      <c r="D23" s="1703"/>
      <c r="E23" s="1703"/>
      <c r="F23" s="1703"/>
      <c r="G23" s="1703"/>
      <c r="H23" s="1703"/>
      <c r="I23" s="1703"/>
      <c r="J23" s="1703"/>
      <c r="K23" s="1703"/>
      <c r="L23" s="1703"/>
      <c r="M23" s="1703"/>
      <c r="N23" s="1703"/>
      <c r="O23" s="1703"/>
      <c r="P23" s="1703"/>
      <c r="Q23" s="1704"/>
      <c r="R23" s="1704"/>
      <c r="S23" s="1704"/>
      <c r="T23" s="1754"/>
      <c r="U23" s="1754"/>
      <c r="V23" s="1754"/>
      <c r="W23" s="36"/>
      <c r="X23" s="36"/>
      <c r="Y23" s="54" t="s">
        <v>720</v>
      </c>
      <c r="AT23" s="36"/>
      <c r="AU23" s="36"/>
      <c r="AV23" s="36"/>
      <c r="AW23" s="36"/>
      <c r="AX23" s="36"/>
      <c r="AY23" s="36"/>
      <c r="AZ23" s="36"/>
      <c r="BA23" s="19"/>
      <c r="BB23" s="19"/>
      <c r="BC23" s="19"/>
    </row>
    <row r="24" spans="1:55" ht="15" customHeight="1">
      <c r="A24" s="34"/>
      <c r="B24" s="1703" t="s">
        <v>710</v>
      </c>
      <c r="C24" s="1703"/>
      <c r="D24" s="1703"/>
      <c r="E24" s="1703"/>
      <c r="F24" s="1703"/>
      <c r="G24" s="1703"/>
      <c r="H24" s="1703"/>
      <c r="I24" s="1703"/>
      <c r="J24" s="1703"/>
      <c r="K24" s="1703"/>
      <c r="L24" s="1703"/>
      <c r="M24" s="1703"/>
      <c r="N24" s="1703"/>
      <c r="O24" s="1703"/>
      <c r="P24" s="1703"/>
      <c r="Q24" s="1704"/>
      <c r="R24" s="1704"/>
      <c r="S24" s="1704"/>
      <c r="T24" s="1754"/>
      <c r="U24" s="1754"/>
      <c r="V24" s="1754"/>
      <c r="W24" s="36"/>
      <c r="X24" s="36"/>
      <c r="Y24" s="1720" t="s">
        <v>3200</v>
      </c>
      <c r="Z24" s="1721"/>
      <c r="AA24" s="1721"/>
      <c r="AB24" s="1721"/>
      <c r="AC24" s="1721"/>
      <c r="AD24" s="1721"/>
      <c r="AE24" s="1721"/>
      <c r="AF24" s="1721"/>
      <c r="AG24" s="1721"/>
      <c r="AH24" s="1721"/>
      <c r="AI24" s="1721"/>
      <c r="AJ24" s="1721"/>
      <c r="AK24" s="1721"/>
      <c r="AL24" s="1721"/>
      <c r="AM24" s="1721"/>
      <c r="AN24" s="1721"/>
      <c r="AO24" s="1721"/>
      <c r="AP24" s="1722"/>
      <c r="AQ24" s="1755"/>
      <c r="AR24" s="1756"/>
      <c r="AS24" s="1757"/>
      <c r="AT24" s="36"/>
      <c r="AU24" s="36"/>
      <c r="AV24" s="36"/>
      <c r="AW24" s="36"/>
      <c r="AX24" s="36"/>
      <c r="AY24" s="36"/>
      <c r="AZ24" s="36"/>
      <c r="BA24" s="19"/>
      <c r="BB24" s="19"/>
      <c r="BC24" s="19"/>
    </row>
    <row r="25" spans="1:55" ht="15" customHeight="1">
      <c r="A25" s="34"/>
      <c r="B25" s="1703" t="s">
        <v>711</v>
      </c>
      <c r="C25" s="1703"/>
      <c r="D25" s="1703"/>
      <c r="E25" s="1703"/>
      <c r="F25" s="1703"/>
      <c r="G25" s="1703"/>
      <c r="H25" s="1703"/>
      <c r="I25" s="1703"/>
      <c r="J25" s="1703"/>
      <c r="K25" s="1703"/>
      <c r="L25" s="1703"/>
      <c r="M25" s="1703"/>
      <c r="N25" s="1703"/>
      <c r="O25" s="1703"/>
      <c r="P25" s="1703"/>
      <c r="Q25" s="1705">
        <f>POWER((1+Q19),(N8-Q23))*Q24</f>
        <v>0</v>
      </c>
      <c r="R25" s="1705"/>
      <c r="S25" s="1705"/>
      <c r="T25" s="1754"/>
      <c r="U25" s="1754"/>
      <c r="V25" s="1754"/>
      <c r="W25" s="36"/>
      <c r="X25" s="36"/>
      <c r="Y25" s="1720" t="s">
        <v>3000</v>
      </c>
      <c r="Z25" s="1721"/>
      <c r="AA25" s="1721"/>
      <c r="AB25" s="1721"/>
      <c r="AC25" s="1721"/>
      <c r="AD25" s="1721"/>
      <c r="AE25" s="1721"/>
      <c r="AF25" s="1721"/>
      <c r="AG25" s="1721"/>
      <c r="AH25" s="1721"/>
      <c r="AI25" s="1721"/>
      <c r="AJ25" s="1721"/>
      <c r="AK25" s="1721"/>
      <c r="AL25" s="1721"/>
      <c r="AM25" s="1721"/>
      <c r="AN25" s="1721"/>
      <c r="AO25" s="1721"/>
      <c r="AP25" s="1722"/>
      <c r="AQ25" s="1741">
        <f>AS82+AS92</f>
        <v>0</v>
      </c>
      <c r="AR25" s="1742"/>
      <c r="AS25" s="1743"/>
      <c r="AT25" s="36"/>
      <c r="AU25" s="36"/>
      <c r="AV25" s="36"/>
      <c r="AW25" s="36"/>
      <c r="AX25" s="36"/>
      <c r="AY25" s="36"/>
      <c r="AZ25" s="36"/>
      <c r="BA25" s="19"/>
      <c r="BB25" s="19"/>
      <c r="BC25" s="19"/>
    </row>
    <row r="26" spans="1:55" ht="15" customHeight="1">
      <c r="A26" s="34"/>
      <c r="B26" s="1703" t="s">
        <v>3001</v>
      </c>
      <c r="C26" s="1703"/>
      <c r="D26" s="1703"/>
      <c r="E26" s="1703"/>
      <c r="F26" s="1703"/>
      <c r="G26" s="1703"/>
      <c r="H26" s="1703"/>
      <c r="I26" s="1703"/>
      <c r="J26" s="1703"/>
      <c r="K26" s="1703"/>
      <c r="L26" s="1703"/>
      <c r="M26" s="1703"/>
      <c r="N26" s="1703"/>
      <c r="O26" s="1703"/>
      <c r="P26" s="1703"/>
      <c r="Q26" s="1704"/>
      <c r="R26" s="1704"/>
      <c r="S26" s="1704"/>
      <c r="T26" s="1754"/>
      <c r="U26" s="1754"/>
      <c r="V26" s="1754"/>
      <c r="W26" s="36"/>
      <c r="X26" s="36"/>
      <c r="Y26" s="1720" t="s">
        <v>718</v>
      </c>
      <c r="Z26" s="1721"/>
      <c r="AA26" s="1721"/>
      <c r="AB26" s="1721"/>
      <c r="AC26" s="1721"/>
      <c r="AD26" s="1721"/>
      <c r="AE26" s="1721"/>
      <c r="AF26" s="1721"/>
      <c r="AG26" s="1721"/>
      <c r="AH26" s="1721"/>
      <c r="AI26" s="1721"/>
      <c r="AJ26" s="1721"/>
      <c r="AK26" s="1721"/>
      <c r="AL26" s="1721"/>
      <c r="AM26" s="1721"/>
      <c r="AN26" s="1721"/>
      <c r="AO26" s="1721"/>
      <c r="AP26" s="1722"/>
      <c r="AQ26" s="1744"/>
      <c r="AR26" s="1745"/>
      <c r="AS26" s="1746"/>
      <c r="AT26" s="36"/>
      <c r="AU26" s="36"/>
      <c r="AV26" s="36"/>
      <c r="AW26" s="36"/>
      <c r="AX26" s="36"/>
      <c r="AY26" s="36"/>
      <c r="AZ26" s="36"/>
      <c r="BA26" s="19"/>
      <c r="BB26" s="19"/>
      <c r="BC26" s="19"/>
    </row>
    <row r="27" spans="1:55" ht="15" customHeight="1">
      <c r="A27" s="34"/>
      <c r="B27" s="1719" t="s">
        <v>712</v>
      </c>
      <c r="C27" s="1719"/>
      <c r="D27" s="1719"/>
      <c r="E27" s="1719"/>
      <c r="F27" s="1719"/>
      <c r="G27" s="1719"/>
      <c r="H27" s="1719"/>
      <c r="I27" s="1719"/>
      <c r="J27" s="1719"/>
      <c r="K27" s="1719"/>
      <c r="L27" s="1719"/>
      <c r="M27" s="1719"/>
      <c r="N27" s="1719"/>
      <c r="O27" s="1719"/>
      <c r="P27" s="1719"/>
      <c r="Q27" s="1723"/>
      <c r="R27" s="1723"/>
      <c r="S27" s="1723"/>
      <c r="T27" s="20"/>
      <c r="U27" s="20"/>
      <c r="V27" s="20"/>
      <c r="W27" s="20"/>
      <c r="X27" s="36"/>
      <c r="AT27" s="36"/>
      <c r="AU27" s="36"/>
      <c r="AV27" s="36"/>
      <c r="AW27" s="36"/>
      <c r="AX27" s="36"/>
      <c r="AY27" s="36"/>
      <c r="AZ27" s="36"/>
      <c r="BA27" s="19"/>
      <c r="BB27" s="19"/>
      <c r="BC27" s="19"/>
    </row>
    <row r="28" spans="1:55" ht="15" customHeight="1">
      <c r="A28" s="34"/>
      <c r="B28" s="1719" t="s">
        <v>713</v>
      </c>
      <c r="C28" s="1719"/>
      <c r="D28" s="1719"/>
      <c r="E28" s="1719"/>
      <c r="F28" s="1719"/>
      <c r="G28" s="1719"/>
      <c r="H28" s="1719"/>
      <c r="I28" s="1719"/>
      <c r="J28" s="1719"/>
      <c r="K28" s="1719"/>
      <c r="L28" s="1719"/>
      <c r="M28" s="1719"/>
      <c r="N28" s="1719"/>
      <c r="O28" s="1719"/>
      <c r="P28" s="1719"/>
      <c r="Q28" s="1723"/>
      <c r="R28" s="1723"/>
      <c r="S28" s="1723"/>
      <c r="T28" s="52"/>
      <c r="U28" s="52"/>
      <c r="V28" s="52"/>
      <c r="W28" s="52"/>
      <c r="X28" s="20"/>
      <c r="AT28" s="20"/>
      <c r="AU28" s="20"/>
      <c r="AV28" s="20"/>
      <c r="AW28" s="20"/>
      <c r="AX28" s="20"/>
      <c r="AY28" s="20"/>
      <c r="AZ28" s="20"/>
      <c r="BA28" s="20"/>
      <c r="BB28" s="20"/>
      <c r="BC28" s="19"/>
    </row>
    <row r="29" spans="1:55" ht="15" customHeight="1">
      <c r="A29" s="34"/>
      <c r="B29" s="1719" t="s">
        <v>714</v>
      </c>
      <c r="C29" s="1719"/>
      <c r="D29" s="1719"/>
      <c r="E29" s="1719"/>
      <c r="F29" s="1719"/>
      <c r="G29" s="1719"/>
      <c r="H29" s="1719"/>
      <c r="I29" s="1719"/>
      <c r="J29" s="1719"/>
      <c r="K29" s="1719"/>
      <c r="L29" s="1719"/>
      <c r="M29" s="1719"/>
      <c r="N29" s="1719"/>
      <c r="O29" s="1719"/>
      <c r="P29" s="1719"/>
      <c r="Q29" s="1723"/>
      <c r="R29" s="1723"/>
      <c r="S29" s="1723"/>
      <c r="T29" s="52"/>
      <c r="U29" s="52"/>
      <c r="V29" s="52"/>
      <c r="W29" s="52"/>
      <c r="X29" s="20"/>
      <c r="Y29" s="55" t="s">
        <v>719</v>
      </c>
      <c r="Z29" s="52"/>
      <c r="AA29" s="52"/>
      <c r="AB29" s="52"/>
      <c r="AC29" s="52"/>
      <c r="AD29" s="52"/>
      <c r="AE29" s="52"/>
      <c r="AF29" s="52"/>
      <c r="AG29" s="52"/>
      <c r="AH29" s="52"/>
      <c r="AI29" s="52"/>
      <c r="AJ29" s="52"/>
      <c r="AK29" s="52"/>
      <c r="AL29" s="52"/>
      <c r="AM29" s="52"/>
      <c r="AN29" s="52"/>
      <c r="AO29" s="52"/>
      <c r="AP29" s="52"/>
      <c r="AQ29" s="52"/>
      <c r="AR29" s="52"/>
      <c r="AS29" s="52"/>
      <c r="AT29" s="52"/>
      <c r="AU29" s="20"/>
      <c r="AV29" s="20"/>
      <c r="AW29" s="20"/>
      <c r="AX29" s="1758"/>
      <c r="AY29" s="1758"/>
      <c r="AZ29" s="1758"/>
      <c r="BA29" s="20"/>
      <c r="BB29" s="20"/>
      <c r="BC29" s="19"/>
    </row>
    <row r="30" spans="1:55" ht="27" customHeight="1">
      <c r="A30" s="34"/>
      <c r="B30" s="1719" t="s">
        <v>3002</v>
      </c>
      <c r="C30" s="1719"/>
      <c r="D30" s="1719"/>
      <c r="E30" s="1719"/>
      <c r="F30" s="1719"/>
      <c r="G30" s="1719"/>
      <c r="H30" s="1719"/>
      <c r="I30" s="1719"/>
      <c r="J30" s="1719"/>
      <c r="K30" s="1719"/>
      <c r="L30" s="1719"/>
      <c r="M30" s="1719"/>
      <c r="N30" s="1719"/>
      <c r="O30" s="1719"/>
      <c r="P30" s="1719"/>
      <c r="Q30" s="1723"/>
      <c r="R30" s="1723"/>
      <c r="S30" s="1723"/>
      <c r="T30" s="22"/>
      <c r="U30" s="22"/>
      <c r="V30" s="22"/>
      <c r="W30" s="22"/>
      <c r="X30" s="20"/>
      <c r="Y30" s="1821" t="s">
        <v>722</v>
      </c>
      <c r="Z30" s="1822"/>
      <c r="AA30" s="1822"/>
      <c r="AB30" s="1822"/>
      <c r="AC30" s="1822"/>
      <c r="AD30" s="1822"/>
      <c r="AE30" s="1822"/>
      <c r="AF30" s="1822"/>
      <c r="AG30" s="1822"/>
      <c r="AH30" s="1822"/>
      <c r="AI30" s="1822"/>
      <c r="AJ30" s="1822"/>
      <c r="AK30" s="1822"/>
      <c r="AL30" s="1822"/>
      <c r="AM30" s="1822"/>
      <c r="AN30" s="1822"/>
      <c r="AO30" s="1822"/>
      <c r="AP30" s="1823"/>
      <c r="AQ30" s="1824"/>
      <c r="AR30" s="1825"/>
      <c r="AS30" s="1826"/>
      <c r="AT30" s="52"/>
      <c r="AU30" s="20"/>
      <c r="AV30" s="20"/>
      <c r="AW30" s="20"/>
      <c r="AX30" s="1758"/>
      <c r="AY30" s="1758"/>
      <c r="AZ30" s="1758"/>
      <c r="BA30" s="20"/>
      <c r="BB30" s="20"/>
      <c r="BC30" s="19"/>
    </row>
    <row r="31" spans="1:55" ht="15" customHeight="1">
      <c r="A31" s="34"/>
      <c r="B31" s="1719" t="s">
        <v>715</v>
      </c>
      <c r="C31" s="1719"/>
      <c r="D31" s="1719"/>
      <c r="E31" s="1719"/>
      <c r="F31" s="1719"/>
      <c r="G31" s="1719"/>
      <c r="H31" s="1719"/>
      <c r="I31" s="1719"/>
      <c r="J31" s="1719"/>
      <c r="K31" s="1719"/>
      <c r="L31" s="1719"/>
      <c r="M31" s="1719"/>
      <c r="N31" s="1719"/>
      <c r="O31" s="1719"/>
      <c r="P31" s="1719"/>
      <c r="Q31" s="1723"/>
      <c r="R31" s="1723"/>
      <c r="S31" s="1723"/>
      <c r="T31" s="20"/>
      <c r="U31" s="20"/>
      <c r="V31" s="20"/>
      <c r="W31" s="20"/>
      <c r="X31" s="20"/>
      <c r="Y31" s="1719" t="s">
        <v>765</v>
      </c>
      <c r="Z31" s="1719"/>
      <c r="AA31" s="1719"/>
      <c r="AB31" s="1719"/>
      <c r="AC31" s="1719"/>
      <c r="AD31" s="1719"/>
      <c r="AE31" s="1719"/>
      <c r="AF31" s="1719"/>
      <c r="AG31" s="1719"/>
      <c r="AH31" s="1719"/>
      <c r="AI31" s="1719"/>
      <c r="AJ31" s="1719"/>
      <c r="AK31" s="1719"/>
      <c r="AL31" s="1719"/>
      <c r="AM31" s="1719"/>
      <c r="AN31" s="1719"/>
      <c r="AO31" s="1719"/>
      <c r="AP31" s="1719"/>
      <c r="AQ31" s="1759"/>
      <c r="AR31" s="1759"/>
      <c r="AS31" s="1759"/>
      <c r="AT31" s="52"/>
      <c r="AU31" s="20"/>
      <c r="AV31" s="20"/>
      <c r="AW31" s="20"/>
      <c r="AX31" s="20"/>
      <c r="AY31" s="20"/>
      <c r="AZ31" s="20"/>
      <c r="BA31" s="20"/>
      <c r="BB31" s="20"/>
      <c r="BC31" s="19"/>
    </row>
    <row r="32" spans="1:55" ht="15" customHeight="1">
      <c r="A32" s="34"/>
      <c r="B32" s="1719" t="s">
        <v>716</v>
      </c>
      <c r="C32" s="1719"/>
      <c r="D32" s="1719"/>
      <c r="E32" s="1719"/>
      <c r="F32" s="1719"/>
      <c r="G32" s="1719"/>
      <c r="H32" s="1719"/>
      <c r="I32" s="1719"/>
      <c r="J32" s="1719"/>
      <c r="K32" s="1719"/>
      <c r="L32" s="1719"/>
      <c r="M32" s="1719"/>
      <c r="N32" s="1719"/>
      <c r="O32" s="1719"/>
      <c r="P32" s="1719"/>
      <c r="Q32" s="1723"/>
      <c r="R32" s="1723"/>
      <c r="S32" s="1723"/>
      <c r="T32" s="20"/>
      <c r="U32" s="20"/>
      <c r="V32" s="20"/>
      <c r="W32" s="20"/>
      <c r="X32" s="20"/>
      <c r="Y32" s="1719" t="s">
        <v>766</v>
      </c>
      <c r="Z32" s="1719"/>
      <c r="AA32" s="1719"/>
      <c r="AB32" s="1719"/>
      <c r="AC32" s="1719"/>
      <c r="AD32" s="1719"/>
      <c r="AE32" s="1719"/>
      <c r="AF32" s="1719"/>
      <c r="AG32" s="1719"/>
      <c r="AH32" s="1719"/>
      <c r="AI32" s="1719"/>
      <c r="AJ32" s="1719"/>
      <c r="AK32" s="1719"/>
      <c r="AL32" s="1719"/>
      <c r="AM32" s="1719"/>
      <c r="AN32" s="1719"/>
      <c r="AO32" s="1719"/>
      <c r="AP32" s="1719"/>
      <c r="AQ32" s="1759"/>
      <c r="AR32" s="1759"/>
      <c r="AS32" s="1759"/>
      <c r="AT32" s="52"/>
      <c r="AU32" s="20"/>
      <c r="AV32" s="20"/>
      <c r="AW32" s="20"/>
      <c r="AX32" s="20"/>
      <c r="AY32" s="20"/>
      <c r="AZ32" s="20"/>
      <c r="BA32" s="20"/>
      <c r="BB32" s="20"/>
      <c r="BC32" s="19"/>
    </row>
    <row r="33" spans="1:55" ht="15" customHeight="1">
      <c r="A33" s="34"/>
      <c r="T33" s="20"/>
      <c r="U33" s="20"/>
      <c r="V33" s="20"/>
      <c r="W33" s="20"/>
      <c r="X33" s="20"/>
      <c r="Y33" s="48"/>
      <c r="Z33" s="48"/>
      <c r="AA33" s="48"/>
      <c r="AB33" s="48"/>
      <c r="AC33" s="48"/>
      <c r="AD33" s="48"/>
      <c r="AE33" s="48"/>
      <c r="AF33" s="50"/>
      <c r="AG33" s="50"/>
      <c r="AH33" s="50"/>
      <c r="AI33" s="50"/>
      <c r="AJ33" s="50"/>
      <c r="AK33" s="50"/>
      <c r="AL33" s="50"/>
      <c r="AM33" s="50"/>
      <c r="AN33" s="50"/>
      <c r="AO33" s="20"/>
      <c r="AP33" s="20"/>
      <c r="AQ33" s="20"/>
      <c r="AR33" s="20"/>
      <c r="AS33" s="20"/>
      <c r="AT33" s="20"/>
      <c r="AU33" s="20"/>
      <c r="AV33" s="20"/>
      <c r="AW33" s="20"/>
      <c r="AX33" s="20"/>
      <c r="AY33" s="20"/>
      <c r="AZ33" s="20"/>
      <c r="BA33" s="20"/>
      <c r="BB33" s="20"/>
      <c r="BC33" s="19"/>
    </row>
    <row r="34" spans="1:55">
      <c r="A34" s="34" t="s">
        <v>682</v>
      </c>
      <c r="B34" s="35" t="s">
        <v>634</v>
      </c>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0"/>
      <c r="BA34" s="19"/>
      <c r="BB34" s="19"/>
      <c r="BC34" s="19"/>
    </row>
    <row r="35" spans="1:55">
      <c r="A35" s="34"/>
      <c r="B35" s="35"/>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19"/>
      <c r="BB35" s="19"/>
      <c r="BC35" s="19"/>
    </row>
    <row r="36" spans="1:55">
      <c r="A36" s="34"/>
      <c r="B36" s="35" t="s">
        <v>726</v>
      </c>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0"/>
      <c r="BA36" s="19"/>
      <c r="BB36" s="19"/>
      <c r="BC36" s="19"/>
    </row>
    <row r="37" spans="1:55">
      <c r="A37" s="34"/>
      <c r="B37" s="51" t="s">
        <v>3003</v>
      </c>
      <c r="C37" s="20"/>
      <c r="D37" s="20"/>
      <c r="E37" s="20"/>
      <c r="F37" s="20"/>
      <c r="G37" s="20"/>
      <c r="H37" s="20"/>
      <c r="I37" s="20"/>
      <c r="J37" s="20"/>
      <c r="K37" s="20"/>
      <c r="L37" s="20"/>
      <c r="M37" s="20"/>
      <c r="N37" s="20"/>
      <c r="O37" s="20"/>
      <c r="P37" s="20"/>
      <c r="Q37" s="20"/>
      <c r="R37" s="20"/>
      <c r="S37" s="20"/>
      <c r="T37" s="20"/>
      <c r="U37" s="20"/>
      <c r="V37" s="20"/>
      <c r="W37" s="20"/>
      <c r="X37" s="20"/>
      <c r="Y37" s="20"/>
      <c r="Z37" s="51"/>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0"/>
      <c r="BA37" s="19"/>
      <c r="BB37" s="19"/>
      <c r="BC37" s="19"/>
    </row>
    <row r="38" spans="1:55" ht="9.75" customHeight="1">
      <c r="A38" s="34"/>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c r="AS38" s="20"/>
      <c r="AT38" s="20"/>
      <c r="AU38" s="20"/>
      <c r="AV38" s="20"/>
      <c r="AW38" s="20"/>
      <c r="AX38" s="20"/>
      <c r="AY38" s="20"/>
      <c r="AZ38" s="20"/>
      <c r="BA38" s="19"/>
      <c r="BB38" s="19"/>
      <c r="BC38" s="19"/>
    </row>
    <row r="39" spans="1:55" ht="43.5" customHeight="1">
      <c r="A39" s="34"/>
      <c r="B39" s="1711" t="s">
        <v>380</v>
      </c>
      <c r="C39" s="1711"/>
      <c r="D39" s="1711"/>
      <c r="E39" s="1711"/>
      <c r="F39" s="1711"/>
      <c r="G39" s="1711"/>
      <c r="H39" s="1725" t="s">
        <v>636</v>
      </c>
      <c r="I39" s="1725"/>
      <c r="J39" s="1725"/>
      <c r="K39" s="1725"/>
      <c r="L39" s="1714" t="s">
        <v>637</v>
      </c>
      <c r="M39" s="1714"/>
      <c r="N39" s="1714"/>
      <c r="O39" s="1714" t="s">
        <v>723</v>
      </c>
      <c r="P39" s="1714"/>
      <c r="Q39" s="1714"/>
      <c r="R39" s="1714"/>
      <c r="S39" s="1714"/>
      <c r="T39" s="1725" t="s">
        <v>638</v>
      </c>
      <c r="U39" s="1725"/>
      <c r="V39" s="1725" t="s">
        <v>639</v>
      </c>
      <c r="W39" s="1725"/>
      <c r="X39" s="1725"/>
      <c r="Y39" s="20"/>
      <c r="Z39" s="1711" t="s">
        <v>380</v>
      </c>
      <c r="AA39" s="1711"/>
      <c r="AB39" s="1711"/>
      <c r="AC39" s="1711"/>
      <c r="AD39" s="1711"/>
      <c r="AE39" s="1711"/>
      <c r="AF39" s="1725" t="s">
        <v>636</v>
      </c>
      <c r="AG39" s="1725"/>
      <c r="AH39" s="1725"/>
      <c r="AI39" s="1725"/>
      <c r="AJ39" s="1714" t="s">
        <v>637</v>
      </c>
      <c r="AK39" s="1714"/>
      <c r="AL39" s="1714"/>
      <c r="AM39" s="1714" t="s">
        <v>723</v>
      </c>
      <c r="AN39" s="1714"/>
      <c r="AO39" s="1714"/>
      <c r="AP39" s="1714"/>
      <c r="AQ39" s="1714"/>
      <c r="AR39" s="1725" t="s">
        <v>638</v>
      </c>
      <c r="AS39" s="1725"/>
      <c r="AT39" s="1725" t="s">
        <v>639</v>
      </c>
      <c r="AU39" s="1725"/>
      <c r="AV39" s="1725"/>
      <c r="AW39" s="20"/>
      <c r="AX39" s="20"/>
      <c r="AY39" s="20"/>
      <c r="AZ39" s="20"/>
      <c r="BA39" s="19"/>
      <c r="BB39" s="19"/>
      <c r="BC39" s="19"/>
    </row>
    <row r="40" spans="1:55" ht="15" customHeight="1">
      <c r="A40" s="34"/>
      <c r="B40" s="1749" t="s">
        <v>402</v>
      </c>
      <c r="C40" s="1749"/>
      <c r="D40" s="1749"/>
      <c r="E40" s="1749"/>
      <c r="F40" s="1749"/>
      <c r="G40" s="1749"/>
      <c r="H40" s="1724"/>
      <c r="I40" s="1724"/>
      <c r="J40" s="1724"/>
      <c r="K40" s="1724"/>
      <c r="L40" s="1747"/>
      <c r="M40" s="1747"/>
      <c r="N40" s="1747"/>
      <c r="O40" s="1748">
        <f>AQ31</f>
        <v>0</v>
      </c>
      <c r="P40" s="1748"/>
      <c r="Q40" s="1748"/>
      <c r="R40" s="1748"/>
      <c r="S40" s="1748"/>
      <c r="T40" s="1731">
        <f>+H40*L40*O40</f>
        <v>0</v>
      </c>
      <c r="U40" s="1731"/>
      <c r="V40" s="1731">
        <f>+T40*$Q$26/1000</f>
        <v>0</v>
      </c>
      <c r="W40" s="1731"/>
      <c r="X40" s="1731"/>
      <c r="Y40" s="20"/>
      <c r="Z40" s="1749" t="s">
        <v>724</v>
      </c>
      <c r="AA40" s="1749"/>
      <c r="AB40" s="1749"/>
      <c r="AC40" s="1749"/>
      <c r="AD40" s="1749"/>
      <c r="AE40" s="1749"/>
      <c r="AF40" s="1724"/>
      <c r="AG40" s="1724"/>
      <c r="AH40" s="1724"/>
      <c r="AI40" s="1724"/>
      <c r="AJ40" s="1747"/>
      <c r="AK40" s="1747"/>
      <c r="AL40" s="1747"/>
      <c r="AM40" s="1748">
        <f>AQ32</f>
        <v>0</v>
      </c>
      <c r="AN40" s="1748"/>
      <c r="AO40" s="1748"/>
      <c r="AP40" s="1748"/>
      <c r="AQ40" s="1748"/>
      <c r="AR40" s="1731">
        <f>+AF40*AJ40*AM40</f>
        <v>0</v>
      </c>
      <c r="AS40" s="1731"/>
      <c r="AT40" s="1731">
        <f>+AR40*$Q$26/1000</f>
        <v>0</v>
      </c>
      <c r="AU40" s="1731"/>
      <c r="AV40" s="1731"/>
      <c r="AW40" s="20"/>
      <c r="AX40" s="20"/>
      <c r="AY40" s="20"/>
      <c r="AZ40" s="20"/>
      <c r="BA40" s="19"/>
      <c r="BB40" s="19"/>
      <c r="BC40" s="19"/>
    </row>
    <row r="41" spans="1:55">
      <c r="A41" s="34"/>
      <c r="B41" s="1749"/>
      <c r="C41" s="1749"/>
      <c r="D41" s="1749"/>
      <c r="E41" s="1749"/>
      <c r="F41" s="1749"/>
      <c r="G41" s="1749"/>
      <c r="H41" s="1724"/>
      <c r="I41" s="1724"/>
      <c r="J41" s="1724"/>
      <c r="K41" s="1724"/>
      <c r="L41" s="1747"/>
      <c r="M41" s="1747"/>
      <c r="N41" s="1747"/>
      <c r="O41" s="1748">
        <f>O40</f>
        <v>0</v>
      </c>
      <c r="P41" s="1748"/>
      <c r="Q41" s="1748"/>
      <c r="R41" s="1748"/>
      <c r="S41" s="1748"/>
      <c r="T41" s="1731">
        <f>+H41*L41*O41</f>
        <v>0</v>
      </c>
      <c r="U41" s="1731"/>
      <c r="V41" s="1731">
        <f>+T41*$Q$26/1000</f>
        <v>0</v>
      </c>
      <c r="W41" s="1731"/>
      <c r="X41" s="1731"/>
      <c r="Y41" s="20"/>
      <c r="Z41" s="1749"/>
      <c r="AA41" s="1749"/>
      <c r="AB41" s="1749"/>
      <c r="AC41" s="1749"/>
      <c r="AD41" s="1749"/>
      <c r="AE41" s="1749"/>
      <c r="AF41" s="1724"/>
      <c r="AG41" s="1724"/>
      <c r="AH41" s="1724"/>
      <c r="AI41" s="1724"/>
      <c r="AJ41" s="1747"/>
      <c r="AK41" s="1747"/>
      <c r="AL41" s="1747"/>
      <c r="AM41" s="1748">
        <f>AM40</f>
        <v>0</v>
      </c>
      <c r="AN41" s="1748"/>
      <c r="AO41" s="1748"/>
      <c r="AP41" s="1748"/>
      <c r="AQ41" s="1748"/>
      <c r="AR41" s="1731">
        <f>+AF41*AJ41*AM41</f>
        <v>0</v>
      </c>
      <c r="AS41" s="1731"/>
      <c r="AT41" s="1731">
        <f>+AR41*$Q$26/1000</f>
        <v>0</v>
      </c>
      <c r="AU41" s="1731"/>
      <c r="AV41" s="1731"/>
      <c r="AW41" s="20"/>
      <c r="AX41" s="20"/>
      <c r="AY41" s="20"/>
      <c r="AZ41" s="20"/>
      <c r="BA41" s="19"/>
      <c r="BB41" s="19"/>
      <c r="BC41" s="19"/>
    </row>
    <row r="42" spans="1:55">
      <c r="A42" s="34"/>
      <c r="B42" s="1749"/>
      <c r="C42" s="1749"/>
      <c r="D42" s="1749"/>
      <c r="E42" s="1749"/>
      <c r="F42" s="1749"/>
      <c r="G42" s="1749"/>
      <c r="H42" s="1724"/>
      <c r="I42" s="1724"/>
      <c r="J42" s="1724"/>
      <c r="K42" s="1724"/>
      <c r="L42" s="1747"/>
      <c r="M42" s="1747"/>
      <c r="N42" s="1747"/>
      <c r="O42" s="1748">
        <f>O41</f>
        <v>0</v>
      </c>
      <c r="P42" s="1748"/>
      <c r="Q42" s="1748"/>
      <c r="R42" s="1748"/>
      <c r="S42" s="1748"/>
      <c r="T42" s="1731">
        <f>+H42*L42*O42</f>
        <v>0</v>
      </c>
      <c r="U42" s="1731"/>
      <c r="V42" s="1731">
        <f>+T42*$Q$26/1000</f>
        <v>0</v>
      </c>
      <c r="W42" s="1731"/>
      <c r="X42" s="1731"/>
      <c r="Y42" s="20"/>
      <c r="Z42" s="1749"/>
      <c r="AA42" s="1749"/>
      <c r="AB42" s="1749"/>
      <c r="AC42" s="1749"/>
      <c r="AD42" s="1749"/>
      <c r="AE42" s="1749"/>
      <c r="AF42" s="1724"/>
      <c r="AG42" s="1724"/>
      <c r="AH42" s="1724"/>
      <c r="AI42" s="1724"/>
      <c r="AJ42" s="1747"/>
      <c r="AK42" s="1747"/>
      <c r="AL42" s="1747"/>
      <c r="AM42" s="1748">
        <f>AM41</f>
        <v>0</v>
      </c>
      <c r="AN42" s="1748"/>
      <c r="AO42" s="1748"/>
      <c r="AP42" s="1748"/>
      <c r="AQ42" s="1748"/>
      <c r="AR42" s="1731">
        <f>+AF42*AJ42*AM42</f>
        <v>0</v>
      </c>
      <c r="AS42" s="1731"/>
      <c r="AT42" s="1731">
        <f>+AR42*$Q$26/1000</f>
        <v>0</v>
      </c>
      <c r="AU42" s="1731"/>
      <c r="AV42" s="1731"/>
      <c r="AW42" s="20"/>
      <c r="AX42" s="20"/>
      <c r="AY42" s="20"/>
      <c r="AZ42" s="20"/>
      <c r="BA42" s="19"/>
      <c r="BB42" s="19"/>
      <c r="BC42" s="19"/>
    </row>
    <row r="43" spans="1:55">
      <c r="A43" s="34"/>
      <c r="B43" s="1749"/>
      <c r="C43" s="1749"/>
      <c r="D43" s="1749"/>
      <c r="E43" s="1749"/>
      <c r="F43" s="1749"/>
      <c r="G43" s="1749"/>
      <c r="H43" s="1724"/>
      <c r="I43" s="1724"/>
      <c r="J43" s="1724"/>
      <c r="K43" s="1724"/>
      <c r="L43" s="1747"/>
      <c r="M43" s="1747"/>
      <c r="N43" s="1747"/>
      <c r="O43" s="1748">
        <f>O42</f>
        <v>0</v>
      </c>
      <c r="P43" s="1748"/>
      <c r="Q43" s="1748"/>
      <c r="R43" s="1748"/>
      <c r="S43" s="1748"/>
      <c r="T43" s="1731">
        <f>+H43*L43*O43</f>
        <v>0</v>
      </c>
      <c r="U43" s="1731"/>
      <c r="V43" s="1731">
        <f>+T43*$Q$26/1000</f>
        <v>0</v>
      </c>
      <c r="W43" s="1731"/>
      <c r="X43" s="1731"/>
      <c r="Y43" s="20"/>
      <c r="Z43" s="1749"/>
      <c r="AA43" s="1749"/>
      <c r="AB43" s="1749"/>
      <c r="AC43" s="1749"/>
      <c r="AD43" s="1749"/>
      <c r="AE43" s="1749"/>
      <c r="AF43" s="1724"/>
      <c r="AG43" s="1724"/>
      <c r="AH43" s="1724"/>
      <c r="AI43" s="1724"/>
      <c r="AJ43" s="1747"/>
      <c r="AK43" s="1747"/>
      <c r="AL43" s="1747"/>
      <c r="AM43" s="1748">
        <f>AM42</f>
        <v>0</v>
      </c>
      <c r="AN43" s="1748"/>
      <c r="AO43" s="1748"/>
      <c r="AP43" s="1748"/>
      <c r="AQ43" s="1748"/>
      <c r="AR43" s="1731">
        <f>+AF43*AJ43*AM43</f>
        <v>0</v>
      </c>
      <c r="AS43" s="1731"/>
      <c r="AT43" s="1731">
        <f>+AR43*$Q$26/1000</f>
        <v>0</v>
      </c>
      <c r="AU43" s="1731"/>
      <c r="AV43" s="1731"/>
      <c r="AW43" s="20"/>
      <c r="AX43" s="20"/>
      <c r="AY43" s="20"/>
      <c r="AZ43" s="20"/>
      <c r="BA43" s="19"/>
      <c r="BB43" s="19"/>
      <c r="BC43" s="19"/>
    </row>
    <row r="44" spans="1:55">
      <c r="A44" s="34"/>
      <c r="B44" s="1750" t="s">
        <v>6</v>
      </c>
      <c r="C44" s="1750"/>
      <c r="D44" s="1750"/>
      <c r="E44" s="1750"/>
      <c r="F44" s="1750"/>
      <c r="G44" s="1750"/>
      <c r="H44" s="1750"/>
      <c r="I44" s="1750"/>
      <c r="J44" s="1750"/>
      <c r="K44" s="1750"/>
      <c r="L44" s="1740">
        <f>SUM(L40:N43)</f>
        <v>0</v>
      </c>
      <c r="M44" s="1740"/>
      <c r="N44" s="1740"/>
      <c r="O44" s="1713"/>
      <c r="P44" s="1713"/>
      <c r="Q44" s="1713"/>
      <c r="R44" s="1713"/>
      <c r="S44" s="1713"/>
      <c r="T44" s="1731">
        <f>SUM(T40:U43)</f>
        <v>0</v>
      </c>
      <c r="U44" s="1731"/>
      <c r="V44" s="1731">
        <f>SUM(V40:X43)</f>
        <v>0</v>
      </c>
      <c r="W44" s="1731"/>
      <c r="X44" s="1731"/>
      <c r="Y44" s="20"/>
      <c r="Z44" s="1750" t="s">
        <v>6</v>
      </c>
      <c r="AA44" s="1750"/>
      <c r="AB44" s="1750"/>
      <c r="AC44" s="1750"/>
      <c r="AD44" s="1750"/>
      <c r="AE44" s="1750"/>
      <c r="AF44" s="1750"/>
      <c r="AG44" s="1750"/>
      <c r="AH44" s="1750"/>
      <c r="AI44" s="1750"/>
      <c r="AJ44" s="1740">
        <f>SUM(AJ40:AL43)</f>
        <v>0</v>
      </c>
      <c r="AK44" s="1740"/>
      <c r="AL44" s="1740"/>
      <c r="AM44" s="1713"/>
      <c r="AN44" s="1713"/>
      <c r="AO44" s="1713"/>
      <c r="AP44" s="1713"/>
      <c r="AQ44" s="1713"/>
      <c r="AR44" s="1731">
        <f>SUM(AR40:AS43)</f>
        <v>0</v>
      </c>
      <c r="AS44" s="1731"/>
      <c r="AT44" s="1731">
        <f>SUM(AT40:AV43)</f>
        <v>0</v>
      </c>
      <c r="AU44" s="1731"/>
      <c r="AV44" s="1731"/>
      <c r="AW44" s="20"/>
      <c r="AX44" s="20"/>
      <c r="AY44" s="20"/>
      <c r="AZ44" s="20"/>
      <c r="BA44" s="19"/>
      <c r="BB44" s="19"/>
      <c r="BC44" s="19"/>
    </row>
    <row r="45" spans="1:55">
      <c r="A45" s="34"/>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0"/>
      <c r="BA45" s="19"/>
      <c r="BB45" s="19"/>
      <c r="BC45" s="19"/>
    </row>
    <row r="46" spans="1:55" ht="43.5" customHeight="1">
      <c r="A46" s="34"/>
      <c r="B46" s="1711" t="s">
        <v>380</v>
      </c>
      <c r="C46" s="1711"/>
      <c r="D46" s="1711"/>
      <c r="E46" s="1711"/>
      <c r="F46" s="1711"/>
      <c r="G46" s="1711"/>
      <c r="H46" s="1725" t="s">
        <v>636</v>
      </c>
      <c r="I46" s="1725"/>
      <c r="J46" s="1725"/>
      <c r="K46" s="1725"/>
      <c r="L46" s="1714" t="s">
        <v>637</v>
      </c>
      <c r="M46" s="1714"/>
      <c r="N46" s="1714"/>
      <c r="O46" s="1714" t="s">
        <v>723</v>
      </c>
      <c r="P46" s="1714"/>
      <c r="Q46" s="1714"/>
      <c r="R46" s="1714"/>
      <c r="S46" s="1714"/>
      <c r="T46" s="1725" t="s">
        <v>638</v>
      </c>
      <c r="U46" s="1725"/>
      <c r="V46" s="1725" t="s">
        <v>639</v>
      </c>
      <c r="W46" s="1725"/>
      <c r="X46" s="1725"/>
      <c r="Y46" s="20"/>
      <c r="Z46" s="21"/>
      <c r="AA46" s="21"/>
      <c r="AB46" s="21"/>
      <c r="AC46" s="21"/>
      <c r="AD46" s="21"/>
      <c r="AE46" s="21"/>
      <c r="AF46" s="22"/>
      <c r="AG46" s="22"/>
      <c r="AH46" s="22"/>
      <c r="AI46" s="22"/>
      <c r="AJ46" s="56"/>
      <c r="AK46" s="56"/>
      <c r="AL46" s="56"/>
      <c r="AM46" s="56"/>
      <c r="AN46" s="56"/>
      <c r="AO46" s="56"/>
      <c r="AP46" s="56"/>
      <c r="AQ46" s="56"/>
      <c r="AR46" s="22"/>
      <c r="AS46" s="22"/>
      <c r="AT46" s="22"/>
      <c r="AU46" s="22"/>
      <c r="AV46" s="22"/>
      <c r="AW46" s="20"/>
      <c r="AX46" s="20"/>
      <c r="AY46" s="20"/>
      <c r="AZ46" s="20"/>
      <c r="BA46" s="19"/>
      <c r="BB46" s="19"/>
      <c r="BC46" s="19"/>
    </row>
    <row r="47" spans="1:55" ht="15" customHeight="1">
      <c r="A47" s="34"/>
      <c r="B47" s="1749" t="s">
        <v>725</v>
      </c>
      <c r="C47" s="1749"/>
      <c r="D47" s="1749"/>
      <c r="E47" s="1749"/>
      <c r="F47" s="1749"/>
      <c r="G47" s="1749"/>
      <c r="H47" s="1724"/>
      <c r="I47" s="1724"/>
      <c r="J47" s="1724"/>
      <c r="K47" s="1724"/>
      <c r="L47" s="1747"/>
      <c r="M47" s="1747"/>
      <c r="N47" s="1747"/>
      <c r="O47" s="1748">
        <f>AQ32</f>
        <v>0</v>
      </c>
      <c r="P47" s="1748"/>
      <c r="Q47" s="1748"/>
      <c r="R47" s="1748"/>
      <c r="S47" s="1748"/>
      <c r="T47" s="1731">
        <f>+H47*L47*O47</f>
        <v>0</v>
      </c>
      <c r="U47" s="1731"/>
      <c r="V47" s="1731">
        <f>+T47*$Q$26/1000</f>
        <v>0</v>
      </c>
      <c r="W47" s="1731"/>
      <c r="X47" s="1731"/>
      <c r="Y47" s="20"/>
      <c r="Z47" s="21"/>
      <c r="AA47" s="21"/>
      <c r="AB47" s="21"/>
      <c r="AC47" s="21"/>
      <c r="AD47" s="21"/>
      <c r="AE47" s="21"/>
      <c r="AF47" s="22"/>
      <c r="AG47" s="22"/>
      <c r="AH47" s="22"/>
      <c r="AI47" s="22"/>
      <c r="AJ47" s="57"/>
      <c r="AK47" s="57"/>
      <c r="AL47" s="57"/>
      <c r="AM47" s="58"/>
      <c r="AN47" s="58"/>
      <c r="AO47" s="58"/>
      <c r="AP47" s="58"/>
      <c r="AQ47" s="58"/>
      <c r="AR47" s="53"/>
      <c r="AS47" s="53"/>
      <c r="AT47" s="53"/>
      <c r="AU47" s="53"/>
      <c r="AV47" s="53"/>
      <c r="AW47" s="20"/>
      <c r="AX47" s="20"/>
      <c r="AY47" s="20"/>
      <c r="AZ47" s="20"/>
      <c r="BA47" s="19"/>
      <c r="BB47" s="19"/>
      <c r="BC47" s="19"/>
    </row>
    <row r="48" spans="1:55">
      <c r="A48" s="34"/>
      <c r="B48" s="1749"/>
      <c r="C48" s="1749"/>
      <c r="D48" s="1749"/>
      <c r="E48" s="1749"/>
      <c r="F48" s="1749"/>
      <c r="G48" s="1749"/>
      <c r="H48" s="1724"/>
      <c r="I48" s="1724"/>
      <c r="J48" s="1724"/>
      <c r="K48" s="1724"/>
      <c r="L48" s="1747"/>
      <c r="M48" s="1747"/>
      <c r="N48" s="1747"/>
      <c r="O48" s="1748">
        <f>O47</f>
        <v>0</v>
      </c>
      <c r="P48" s="1748"/>
      <c r="Q48" s="1748"/>
      <c r="R48" s="1748"/>
      <c r="S48" s="1748"/>
      <c r="T48" s="1731">
        <f>+H48*L48*O48</f>
        <v>0</v>
      </c>
      <c r="U48" s="1731"/>
      <c r="V48" s="1731">
        <f>+T48*$Q$26/1000</f>
        <v>0</v>
      </c>
      <c r="W48" s="1731"/>
      <c r="X48" s="1731"/>
      <c r="Y48" s="20"/>
      <c r="Z48" s="21"/>
      <c r="AA48" s="21"/>
      <c r="AB48" s="21"/>
      <c r="AC48" s="21"/>
      <c r="AD48" s="21"/>
      <c r="AE48" s="21"/>
      <c r="AF48" s="22"/>
      <c r="AG48" s="22"/>
      <c r="AH48" s="22"/>
      <c r="AI48" s="22"/>
      <c r="AJ48" s="57"/>
      <c r="AK48" s="57"/>
      <c r="AL48" s="57"/>
      <c r="AM48" s="58"/>
      <c r="AN48" s="58"/>
      <c r="AO48" s="58"/>
      <c r="AP48" s="58"/>
      <c r="AQ48" s="58"/>
      <c r="AR48" s="53"/>
      <c r="AS48" s="53"/>
      <c r="AT48" s="53"/>
      <c r="AU48" s="53"/>
      <c r="AV48" s="53"/>
      <c r="AW48" s="20"/>
      <c r="AX48" s="20"/>
      <c r="AY48" s="20"/>
      <c r="AZ48" s="20"/>
      <c r="BA48" s="19"/>
      <c r="BB48" s="19"/>
      <c r="BC48" s="19"/>
    </row>
    <row r="49" spans="1:55">
      <c r="A49" s="34"/>
      <c r="B49" s="1749"/>
      <c r="C49" s="1749"/>
      <c r="D49" s="1749"/>
      <c r="E49" s="1749"/>
      <c r="F49" s="1749"/>
      <c r="G49" s="1749"/>
      <c r="H49" s="1724"/>
      <c r="I49" s="1724"/>
      <c r="J49" s="1724"/>
      <c r="K49" s="1724"/>
      <c r="L49" s="1747"/>
      <c r="M49" s="1747"/>
      <c r="N49" s="1747"/>
      <c r="O49" s="1748">
        <f>O48</f>
        <v>0</v>
      </c>
      <c r="P49" s="1748"/>
      <c r="Q49" s="1748"/>
      <c r="R49" s="1748"/>
      <c r="S49" s="1748"/>
      <c r="T49" s="1731">
        <f>+H49*L49*O49</f>
        <v>0</v>
      </c>
      <c r="U49" s="1731"/>
      <c r="V49" s="1731">
        <f>+T49*$Q$26/1000</f>
        <v>0</v>
      </c>
      <c r="W49" s="1731"/>
      <c r="X49" s="1731"/>
      <c r="Y49" s="20"/>
      <c r="Z49" s="21"/>
      <c r="AA49" s="21"/>
      <c r="AB49" s="21"/>
      <c r="AC49" s="21"/>
      <c r="AD49" s="21"/>
      <c r="AE49" s="21"/>
      <c r="AF49" s="22"/>
      <c r="AG49" s="22"/>
      <c r="AH49" s="22"/>
      <c r="AI49" s="22"/>
      <c r="AJ49" s="57"/>
      <c r="AK49" s="57"/>
      <c r="AL49" s="57"/>
      <c r="AM49" s="58"/>
      <c r="AN49" s="58"/>
      <c r="AO49" s="58"/>
      <c r="AP49" s="58"/>
      <c r="AQ49" s="58"/>
      <c r="AR49" s="53"/>
      <c r="AS49" s="53"/>
      <c r="AT49" s="53"/>
      <c r="AU49" s="53"/>
      <c r="AV49" s="53"/>
      <c r="AW49" s="20"/>
      <c r="AX49" s="20"/>
      <c r="AY49" s="20"/>
      <c r="AZ49" s="20"/>
      <c r="BA49" s="19"/>
      <c r="BB49" s="19"/>
      <c r="BC49" s="19"/>
    </row>
    <row r="50" spans="1:55">
      <c r="A50" s="34"/>
      <c r="B50" s="1749"/>
      <c r="C50" s="1749"/>
      <c r="D50" s="1749"/>
      <c r="E50" s="1749"/>
      <c r="F50" s="1749"/>
      <c r="G50" s="1749"/>
      <c r="H50" s="1724"/>
      <c r="I50" s="1724"/>
      <c r="J50" s="1724"/>
      <c r="K50" s="1724"/>
      <c r="L50" s="1747"/>
      <c r="M50" s="1747"/>
      <c r="N50" s="1747"/>
      <c r="O50" s="1748">
        <f>O49</f>
        <v>0</v>
      </c>
      <c r="P50" s="1748"/>
      <c r="Q50" s="1748"/>
      <c r="R50" s="1748"/>
      <c r="S50" s="1748"/>
      <c r="T50" s="1731">
        <f>+H50*L50*O50</f>
        <v>0</v>
      </c>
      <c r="U50" s="1731"/>
      <c r="V50" s="1731">
        <f>+T50*$Q$26/1000</f>
        <v>0</v>
      </c>
      <c r="W50" s="1731"/>
      <c r="X50" s="1731"/>
      <c r="Y50" s="20"/>
      <c r="Z50" s="21"/>
      <c r="AA50" s="21"/>
      <c r="AB50" s="21"/>
      <c r="AC50" s="21"/>
      <c r="AD50" s="21"/>
      <c r="AE50" s="21"/>
      <c r="AF50" s="22"/>
      <c r="AG50" s="22"/>
      <c r="AH50" s="22"/>
      <c r="AI50" s="22"/>
      <c r="AJ50" s="57"/>
      <c r="AK50" s="57"/>
      <c r="AL50" s="57"/>
      <c r="AM50" s="58"/>
      <c r="AN50" s="58"/>
      <c r="AO50" s="58"/>
      <c r="AP50" s="58"/>
      <c r="AQ50" s="58"/>
      <c r="AR50" s="53"/>
      <c r="AS50" s="53"/>
      <c r="AT50" s="53"/>
      <c r="AU50" s="53"/>
      <c r="AV50" s="53"/>
      <c r="AW50" s="20"/>
      <c r="AX50" s="20"/>
      <c r="AY50" s="20"/>
      <c r="AZ50" s="20"/>
      <c r="BA50" s="19"/>
      <c r="BB50" s="19"/>
      <c r="BC50" s="19"/>
    </row>
    <row r="51" spans="1:55">
      <c r="A51" s="34"/>
      <c r="B51" s="1750" t="s">
        <v>6</v>
      </c>
      <c r="C51" s="1750"/>
      <c r="D51" s="1750"/>
      <c r="E51" s="1750"/>
      <c r="F51" s="1750"/>
      <c r="G51" s="1750"/>
      <c r="H51" s="1750"/>
      <c r="I51" s="1750"/>
      <c r="J51" s="1750"/>
      <c r="K51" s="1750"/>
      <c r="L51" s="1740">
        <f>SUM(L47:N50)</f>
        <v>0</v>
      </c>
      <c r="M51" s="1740"/>
      <c r="N51" s="1740"/>
      <c r="O51" s="1713"/>
      <c r="P51" s="1713"/>
      <c r="Q51" s="1713"/>
      <c r="R51" s="1713"/>
      <c r="S51" s="1713"/>
      <c r="T51" s="1731">
        <f>SUM(T47:U50)</f>
        <v>0</v>
      </c>
      <c r="U51" s="1731"/>
      <c r="V51" s="1731">
        <f>SUM(V47:X50)</f>
        <v>0</v>
      </c>
      <c r="W51" s="1731"/>
      <c r="X51" s="1731"/>
      <c r="Y51" s="20"/>
      <c r="Z51" s="43"/>
      <c r="AA51" s="43"/>
      <c r="AB51" s="43"/>
      <c r="AC51" s="43"/>
      <c r="AD51" s="43"/>
      <c r="AE51" s="43"/>
      <c r="AF51" s="43"/>
      <c r="AG51" s="43"/>
      <c r="AH51" s="43"/>
      <c r="AI51" s="43"/>
      <c r="AJ51" s="59"/>
      <c r="AK51" s="59"/>
      <c r="AL51" s="59"/>
      <c r="AM51" s="20"/>
      <c r="AN51" s="20"/>
      <c r="AO51" s="20"/>
      <c r="AP51" s="20"/>
      <c r="AQ51" s="20"/>
      <c r="AR51" s="53"/>
      <c r="AS51" s="53"/>
      <c r="AT51" s="53"/>
      <c r="AU51" s="53"/>
      <c r="AV51" s="53"/>
      <c r="AW51" s="20"/>
      <c r="AX51" s="20"/>
      <c r="AY51" s="20"/>
      <c r="AZ51" s="20"/>
      <c r="BA51" s="19"/>
      <c r="BB51" s="19"/>
      <c r="BC51" s="19"/>
    </row>
    <row r="52" spans="1:55">
      <c r="A52" s="34"/>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c r="AG52" s="20"/>
      <c r="AH52" s="20"/>
      <c r="AI52" s="20"/>
      <c r="AJ52" s="20"/>
      <c r="AK52" s="20"/>
      <c r="AL52" s="20"/>
      <c r="AM52" s="20"/>
      <c r="AN52" s="20"/>
      <c r="AO52" s="20"/>
      <c r="AP52" s="20"/>
      <c r="AQ52" s="20"/>
      <c r="AR52" s="20"/>
      <c r="AS52" s="20"/>
      <c r="AT52" s="20"/>
      <c r="AU52" s="20"/>
      <c r="AV52" s="20"/>
      <c r="AW52" s="20"/>
      <c r="AX52" s="20"/>
      <c r="AY52" s="20"/>
      <c r="AZ52" s="20"/>
      <c r="BA52" s="19"/>
      <c r="BB52" s="19"/>
      <c r="BC52" s="19"/>
    </row>
    <row r="53" spans="1:55">
      <c r="A53" s="34"/>
      <c r="B53" s="51" t="s">
        <v>2486</v>
      </c>
      <c r="C53" s="20"/>
      <c r="D53" s="20"/>
      <c r="E53" s="20"/>
      <c r="F53" s="20"/>
      <c r="G53" s="20"/>
      <c r="H53" s="20"/>
      <c r="I53" s="20"/>
      <c r="J53" s="20"/>
      <c r="K53" s="20"/>
      <c r="L53" s="20"/>
      <c r="M53" s="20"/>
      <c r="N53" s="20"/>
      <c r="O53" s="20"/>
      <c r="P53" s="20"/>
      <c r="Q53" s="20"/>
      <c r="R53" s="20"/>
      <c r="S53" s="20"/>
      <c r="T53" s="20"/>
      <c r="U53" s="20"/>
      <c r="V53" s="20"/>
      <c r="W53" s="20"/>
      <c r="X53" s="20"/>
      <c r="Y53" s="20"/>
      <c r="Z53" s="51"/>
      <c r="AA53" s="20"/>
      <c r="AB53" s="20"/>
      <c r="AC53" s="20"/>
      <c r="AD53" s="20"/>
      <c r="AE53" s="20"/>
      <c r="AF53" s="20"/>
      <c r="AG53" s="20"/>
      <c r="AH53" s="20"/>
      <c r="AI53" s="20"/>
      <c r="AJ53" s="20"/>
      <c r="AK53" s="20"/>
      <c r="AL53" s="20"/>
      <c r="AM53" s="20"/>
      <c r="AN53" s="20"/>
      <c r="AO53" s="20"/>
      <c r="AP53" s="20"/>
      <c r="AQ53" s="20"/>
      <c r="AR53" s="20"/>
      <c r="AS53" s="20"/>
      <c r="AT53" s="20"/>
      <c r="AU53" s="20"/>
      <c r="AV53" s="20"/>
      <c r="AW53" s="20"/>
      <c r="AX53" s="20"/>
      <c r="AY53" s="20"/>
      <c r="AZ53" s="20"/>
      <c r="BA53" s="19"/>
      <c r="BB53" s="19"/>
      <c r="BC53" s="19"/>
    </row>
    <row r="54" spans="1:55">
      <c r="A54" s="34"/>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c r="AG54" s="20"/>
      <c r="AH54" s="20"/>
      <c r="AI54" s="20"/>
      <c r="AJ54" s="20"/>
      <c r="AK54" s="20"/>
      <c r="AL54" s="20"/>
      <c r="AM54" s="20"/>
      <c r="AN54" s="20"/>
      <c r="AO54" s="20"/>
      <c r="AP54" s="20"/>
      <c r="AQ54" s="20"/>
      <c r="AR54" s="20"/>
      <c r="AS54" s="20"/>
      <c r="AT54" s="20"/>
      <c r="AU54" s="20"/>
      <c r="AV54" s="20"/>
      <c r="AW54" s="20"/>
      <c r="AX54" s="20"/>
      <c r="AY54" s="20"/>
      <c r="AZ54" s="20"/>
      <c r="BA54" s="19"/>
      <c r="BB54" s="19"/>
      <c r="BC54" s="19"/>
    </row>
    <row r="55" spans="1:55" ht="43.5" customHeight="1">
      <c r="A55" s="34"/>
      <c r="B55" s="1711" t="s">
        <v>380</v>
      </c>
      <c r="C55" s="1711"/>
      <c r="D55" s="1711"/>
      <c r="E55" s="1711"/>
      <c r="F55" s="1711"/>
      <c r="G55" s="1711"/>
      <c r="H55" s="1725" t="s">
        <v>636</v>
      </c>
      <c r="I55" s="1725"/>
      <c r="J55" s="1725"/>
      <c r="K55" s="1725"/>
      <c r="L55" s="1714" t="s">
        <v>637</v>
      </c>
      <c r="M55" s="1714"/>
      <c r="N55" s="1714"/>
      <c r="O55" s="1714" t="s">
        <v>723</v>
      </c>
      <c r="P55" s="1714"/>
      <c r="Q55" s="1714"/>
      <c r="R55" s="1714"/>
      <c r="S55" s="1714"/>
      <c r="T55" s="1725" t="s">
        <v>638</v>
      </c>
      <c r="U55" s="1725"/>
      <c r="V55" s="1725" t="s">
        <v>639</v>
      </c>
      <c r="W55" s="1725"/>
      <c r="X55" s="1725"/>
      <c r="Y55" s="20"/>
      <c r="Z55" s="1711" t="s">
        <v>380</v>
      </c>
      <c r="AA55" s="1711"/>
      <c r="AB55" s="1711"/>
      <c r="AC55" s="1711"/>
      <c r="AD55" s="1711"/>
      <c r="AE55" s="1711"/>
      <c r="AF55" s="1725" t="s">
        <v>636</v>
      </c>
      <c r="AG55" s="1725"/>
      <c r="AH55" s="1725"/>
      <c r="AI55" s="1725"/>
      <c r="AJ55" s="1714" t="s">
        <v>637</v>
      </c>
      <c r="AK55" s="1714"/>
      <c r="AL55" s="1714"/>
      <c r="AM55" s="1714" t="s">
        <v>723</v>
      </c>
      <c r="AN55" s="1714"/>
      <c r="AO55" s="1714"/>
      <c r="AP55" s="1714"/>
      <c r="AQ55" s="1714"/>
      <c r="AR55" s="1725" t="s">
        <v>638</v>
      </c>
      <c r="AS55" s="1725"/>
      <c r="AT55" s="1725" t="s">
        <v>639</v>
      </c>
      <c r="AU55" s="1725"/>
      <c r="AV55" s="1725"/>
      <c r="AW55" s="20"/>
      <c r="AX55" s="20"/>
      <c r="AY55" s="20"/>
      <c r="AZ55" s="20"/>
      <c r="BA55" s="19"/>
      <c r="BB55" s="19"/>
      <c r="BC55" s="19"/>
    </row>
    <row r="56" spans="1:55" ht="15" customHeight="1">
      <c r="A56" s="34"/>
      <c r="B56" s="1749" t="s">
        <v>402</v>
      </c>
      <c r="C56" s="1749"/>
      <c r="D56" s="1749"/>
      <c r="E56" s="1749"/>
      <c r="F56" s="1749"/>
      <c r="G56" s="1749"/>
      <c r="H56" s="1724"/>
      <c r="I56" s="1724"/>
      <c r="J56" s="1724"/>
      <c r="K56" s="1724"/>
      <c r="L56" s="1747"/>
      <c r="M56" s="1747"/>
      <c r="N56" s="1747"/>
      <c r="O56" s="1748">
        <f>AQ31</f>
        <v>0</v>
      </c>
      <c r="P56" s="1748"/>
      <c r="Q56" s="1748"/>
      <c r="R56" s="1748"/>
      <c r="S56" s="1748"/>
      <c r="T56" s="1731">
        <f>+H56*L56*O56</f>
        <v>0</v>
      </c>
      <c r="U56" s="1731"/>
      <c r="V56" s="1731">
        <f>+T56*$Q$26/1000</f>
        <v>0</v>
      </c>
      <c r="W56" s="1731"/>
      <c r="X56" s="1731"/>
      <c r="Y56" s="20"/>
      <c r="Z56" s="1749" t="s">
        <v>724</v>
      </c>
      <c r="AA56" s="1749"/>
      <c r="AB56" s="1749"/>
      <c r="AC56" s="1749"/>
      <c r="AD56" s="1749"/>
      <c r="AE56" s="1749"/>
      <c r="AF56" s="1724"/>
      <c r="AG56" s="1724"/>
      <c r="AH56" s="1724"/>
      <c r="AI56" s="1724"/>
      <c r="AJ56" s="1747"/>
      <c r="AK56" s="1747"/>
      <c r="AL56" s="1747"/>
      <c r="AM56" s="1748">
        <f>AQ32</f>
        <v>0</v>
      </c>
      <c r="AN56" s="1748"/>
      <c r="AO56" s="1748"/>
      <c r="AP56" s="1748"/>
      <c r="AQ56" s="1748"/>
      <c r="AR56" s="1731">
        <f>+AF56*AJ56*AM56</f>
        <v>0</v>
      </c>
      <c r="AS56" s="1731"/>
      <c r="AT56" s="1731">
        <f>+AR56*$Q$26/1000</f>
        <v>0</v>
      </c>
      <c r="AU56" s="1731"/>
      <c r="AV56" s="1731"/>
      <c r="AW56" s="20"/>
      <c r="AX56" s="20"/>
      <c r="AY56" s="20"/>
      <c r="AZ56" s="20"/>
      <c r="BA56" s="19"/>
      <c r="BB56" s="19"/>
      <c r="BC56" s="19"/>
    </row>
    <row r="57" spans="1:55">
      <c r="A57" s="34"/>
      <c r="B57" s="1749"/>
      <c r="C57" s="1749"/>
      <c r="D57" s="1749"/>
      <c r="E57" s="1749"/>
      <c r="F57" s="1749"/>
      <c r="G57" s="1749"/>
      <c r="H57" s="1724"/>
      <c r="I57" s="1724"/>
      <c r="J57" s="1724"/>
      <c r="K57" s="1724"/>
      <c r="L57" s="1747"/>
      <c r="M57" s="1747"/>
      <c r="N57" s="1747"/>
      <c r="O57" s="1748">
        <f>O56</f>
        <v>0</v>
      </c>
      <c r="P57" s="1748"/>
      <c r="Q57" s="1748"/>
      <c r="R57" s="1748"/>
      <c r="S57" s="1748"/>
      <c r="T57" s="1731">
        <f>+H57*L57*O57</f>
        <v>0</v>
      </c>
      <c r="U57" s="1731"/>
      <c r="V57" s="1731">
        <f>+T57*$Q$26/1000</f>
        <v>0</v>
      </c>
      <c r="W57" s="1731"/>
      <c r="X57" s="1731"/>
      <c r="Y57" s="20"/>
      <c r="Z57" s="1749"/>
      <c r="AA57" s="1749"/>
      <c r="AB57" s="1749"/>
      <c r="AC57" s="1749"/>
      <c r="AD57" s="1749"/>
      <c r="AE57" s="1749"/>
      <c r="AF57" s="1724"/>
      <c r="AG57" s="1724"/>
      <c r="AH57" s="1724"/>
      <c r="AI57" s="1724"/>
      <c r="AJ57" s="1747"/>
      <c r="AK57" s="1747"/>
      <c r="AL57" s="1747"/>
      <c r="AM57" s="1748">
        <f>AM56</f>
        <v>0</v>
      </c>
      <c r="AN57" s="1748"/>
      <c r="AO57" s="1748"/>
      <c r="AP57" s="1748"/>
      <c r="AQ57" s="1748"/>
      <c r="AR57" s="1731">
        <f>+AF57*AJ57*AM57</f>
        <v>0</v>
      </c>
      <c r="AS57" s="1731"/>
      <c r="AT57" s="1731">
        <f>+AR57*$Q$26/1000</f>
        <v>0</v>
      </c>
      <c r="AU57" s="1731"/>
      <c r="AV57" s="1731"/>
      <c r="AW57" s="20"/>
      <c r="AX57" s="20"/>
      <c r="AY57" s="20"/>
      <c r="AZ57" s="20"/>
      <c r="BA57" s="19"/>
      <c r="BB57" s="19"/>
      <c r="BC57" s="19"/>
    </row>
    <row r="58" spans="1:55">
      <c r="A58" s="34"/>
      <c r="B58" s="1749"/>
      <c r="C58" s="1749"/>
      <c r="D58" s="1749"/>
      <c r="E58" s="1749"/>
      <c r="F58" s="1749"/>
      <c r="G58" s="1749"/>
      <c r="H58" s="1724"/>
      <c r="I58" s="1724"/>
      <c r="J58" s="1724"/>
      <c r="K58" s="1724"/>
      <c r="L58" s="1747"/>
      <c r="M58" s="1747"/>
      <c r="N58" s="1747"/>
      <c r="O58" s="1748">
        <f>O57</f>
        <v>0</v>
      </c>
      <c r="P58" s="1748"/>
      <c r="Q58" s="1748"/>
      <c r="R58" s="1748"/>
      <c r="S58" s="1748"/>
      <c r="T58" s="1731">
        <f>+H58*L58*O58</f>
        <v>0</v>
      </c>
      <c r="U58" s="1731"/>
      <c r="V58" s="1731">
        <f>+T58*$Q$26/1000</f>
        <v>0</v>
      </c>
      <c r="W58" s="1731"/>
      <c r="X58" s="1731"/>
      <c r="Y58" s="20"/>
      <c r="Z58" s="1749"/>
      <c r="AA58" s="1749"/>
      <c r="AB58" s="1749"/>
      <c r="AC58" s="1749"/>
      <c r="AD58" s="1749"/>
      <c r="AE58" s="1749"/>
      <c r="AF58" s="1724"/>
      <c r="AG58" s="1724"/>
      <c r="AH58" s="1724"/>
      <c r="AI58" s="1724"/>
      <c r="AJ58" s="1747"/>
      <c r="AK58" s="1747"/>
      <c r="AL58" s="1747"/>
      <c r="AM58" s="1748">
        <f>AM57</f>
        <v>0</v>
      </c>
      <c r="AN58" s="1748"/>
      <c r="AO58" s="1748"/>
      <c r="AP58" s="1748"/>
      <c r="AQ58" s="1748"/>
      <c r="AR58" s="1731">
        <f>+AF58*AJ58*AM58</f>
        <v>0</v>
      </c>
      <c r="AS58" s="1731"/>
      <c r="AT58" s="1731">
        <f>+AR58*$Q$26/1000</f>
        <v>0</v>
      </c>
      <c r="AU58" s="1731"/>
      <c r="AV58" s="1731"/>
      <c r="AW58" s="20"/>
      <c r="AX58" s="20"/>
      <c r="AY58" s="20"/>
      <c r="AZ58" s="20"/>
      <c r="BA58" s="19"/>
      <c r="BB58" s="19"/>
      <c r="BC58" s="19"/>
    </row>
    <row r="59" spans="1:55">
      <c r="A59" s="34"/>
      <c r="B59" s="1749"/>
      <c r="C59" s="1749"/>
      <c r="D59" s="1749"/>
      <c r="E59" s="1749"/>
      <c r="F59" s="1749"/>
      <c r="G59" s="1749"/>
      <c r="H59" s="1724"/>
      <c r="I59" s="1724"/>
      <c r="J59" s="1724"/>
      <c r="K59" s="1724"/>
      <c r="L59" s="1747"/>
      <c r="M59" s="1747"/>
      <c r="N59" s="1747"/>
      <c r="O59" s="1748">
        <f>O58</f>
        <v>0</v>
      </c>
      <c r="P59" s="1748"/>
      <c r="Q59" s="1748"/>
      <c r="R59" s="1748"/>
      <c r="S59" s="1748"/>
      <c r="T59" s="1731">
        <f>+H59*L59*O59</f>
        <v>0</v>
      </c>
      <c r="U59" s="1731"/>
      <c r="V59" s="1731">
        <f>+T59*$Q$26/1000</f>
        <v>0</v>
      </c>
      <c r="W59" s="1731"/>
      <c r="X59" s="1731"/>
      <c r="Y59" s="20"/>
      <c r="Z59" s="1749"/>
      <c r="AA59" s="1749"/>
      <c r="AB59" s="1749"/>
      <c r="AC59" s="1749"/>
      <c r="AD59" s="1749"/>
      <c r="AE59" s="1749"/>
      <c r="AF59" s="1724"/>
      <c r="AG59" s="1724"/>
      <c r="AH59" s="1724"/>
      <c r="AI59" s="1724"/>
      <c r="AJ59" s="1747"/>
      <c r="AK59" s="1747"/>
      <c r="AL59" s="1747"/>
      <c r="AM59" s="1748">
        <f>AM58</f>
        <v>0</v>
      </c>
      <c r="AN59" s="1748"/>
      <c r="AO59" s="1748"/>
      <c r="AP59" s="1748"/>
      <c r="AQ59" s="1748"/>
      <c r="AR59" s="1731">
        <f>+AF59*AJ59*AM59</f>
        <v>0</v>
      </c>
      <c r="AS59" s="1731"/>
      <c r="AT59" s="1731">
        <f>+AR59*$Q$26/1000</f>
        <v>0</v>
      </c>
      <c r="AU59" s="1731"/>
      <c r="AV59" s="1731"/>
      <c r="AW59" s="20"/>
      <c r="AX59" s="20"/>
      <c r="AY59" s="20"/>
      <c r="AZ59" s="20"/>
      <c r="BA59" s="19"/>
      <c r="BB59" s="19"/>
      <c r="BC59" s="19"/>
    </row>
    <row r="60" spans="1:55">
      <c r="A60" s="34"/>
      <c r="B60" s="1750" t="s">
        <v>6</v>
      </c>
      <c r="C60" s="1750"/>
      <c r="D60" s="1750"/>
      <c r="E60" s="1750"/>
      <c r="F60" s="1750"/>
      <c r="G60" s="1750"/>
      <c r="H60" s="1750"/>
      <c r="I60" s="1750"/>
      <c r="J60" s="1750"/>
      <c r="K60" s="1750"/>
      <c r="L60" s="1740">
        <f>+SUM(L56:N59)</f>
        <v>0</v>
      </c>
      <c r="M60" s="1740"/>
      <c r="N60" s="1740"/>
      <c r="O60" s="1713"/>
      <c r="P60" s="1713"/>
      <c r="Q60" s="1713"/>
      <c r="R60" s="1713"/>
      <c r="S60" s="1713"/>
      <c r="T60" s="1731">
        <f>SUM(T56:U59)</f>
        <v>0</v>
      </c>
      <c r="U60" s="1731"/>
      <c r="V60" s="1731">
        <f>SUM(V56:X59)</f>
        <v>0</v>
      </c>
      <c r="W60" s="1731"/>
      <c r="X60" s="1731"/>
      <c r="Y60" s="20"/>
      <c r="Z60" s="1750" t="s">
        <v>6</v>
      </c>
      <c r="AA60" s="1750"/>
      <c r="AB60" s="1750"/>
      <c r="AC60" s="1750"/>
      <c r="AD60" s="1750"/>
      <c r="AE60" s="1750"/>
      <c r="AF60" s="1750"/>
      <c r="AG60" s="1750"/>
      <c r="AH60" s="1750"/>
      <c r="AI60" s="1750"/>
      <c r="AJ60" s="1740">
        <f>SUM(AJ56:AL59)</f>
        <v>0</v>
      </c>
      <c r="AK60" s="1740"/>
      <c r="AL60" s="1740"/>
      <c r="AM60" s="1713"/>
      <c r="AN60" s="1713"/>
      <c r="AO60" s="1713"/>
      <c r="AP60" s="1713"/>
      <c r="AQ60" s="1713"/>
      <c r="AR60" s="1731">
        <f>SUM(AR56:AS59)</f>
        <v>0</v>
      </c>
      <c r="AS60" s="1731"/>
      <c r="AT60" s="1731">
        <f>SUM(AT56:AV59)</f>
        <v>0</v>
      </c>
      <c r="AU60" s="1731"/>
      <c r="AV60" s="1731"/>
      <c r="AW60" s="20"/>
      <c r="AX60" s="20"/>
      <c r="AY60" s="20"/>
      <c r="AZ60" s="20"/>
      <c r="BA60" s="19"/>
      <c r="BB60" s="19"/>
      <c r="BC60" s="19"/>
    </row>
    <row r="61" spans="1:55">
      <c r="A61" s="34"/>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c r="AN61" s="20"/>
      <c r="AO61" s="20"/>
      <c r="AP61" s="20"/>
      <c r="AQ61" s="20"/>
      <c r="AR61" s="20"/>
      <c r="AS61" s="20"/>
      <c r="AT61" s="20"/>
      <c r="AU61" s="20"/>
      <c r="AV61" s="20"/>
      <c r="AW61" s="20"/>
      <c r="AX61" s="20"/>
      <c r="AY61" s="20"/>
      <c r="AZ61" s="20"/>
      <c r="BA61" s="19"/>
      <c r="BB61" s="19"/>
      <c r="BC61" s="19"/>
    </row>
    <row r="62" spans="1:55" ht="43.5" customHeight="1">
      <c r="A62" s="34"/>
      <c r="B62" s="1711" t="s">
        <v>380</v>
      </c>
      <c r="C62" s="1711"/>
      <c r="D62" s="1711"/>
      <c r="E62" s="1711"/>
      <c r="F62" s="1711"/>
      <c r="G62" s="1711"/>
      <c r="H62" s="1725" t="s">
        <v>636</v>
      </c>
      <c r="I62" s="1725"/>
      <c r="J62" s="1725"/>
      <c r="K62" s="1725"/>
      <c r="L62" s="1714" t="s">
        <v>637</v>
      </c>
      <c r="M62" s="1714"/>
      <c r="N62" s="1714"/>
      <c r="O62" s="1714" t="s">
        <v>723</v>
      </c>
      <c r="P62" s="1714"/>
      <c r="Q62" s="1714"/>
      <c r="R62" s="1714"/>
      <c r="S62" s="1714"/>
      <c r="T62" s="1725" t="s">
        <v>638</v>
      </c>
      <c r="U62" s="1725"/>
      <c r="V62" s="1725" t="s">
        <v>639</v>
      </c>
      <c r="W62" s="1725"/>
      <c r="X62" s="1725"/>
      <c r="Y62" s="20"/>
      <c r="Z62" s="21"/>
      <c r="AA62" s="21"/>
      <c r="AB62" s="21"/>
      <c r="AC62" s="21"/>
      <c r="AD62" s="21"/>
      <c r="AE62" s="21"/>
      <c r="AF62" s="22"/>
      <c r="AG62" s="22"/>
      <c r="AH62" s="22"/>
      <c r="AI62" s="22"/>
      <c r="AJ62" s="56"/>
      <c r="AK62" s="56"/>
      <c r="AL62" s="56"/>
      <c r="AM62" s="56"/>
      <c r="AN62" s="56"/>
      <c r="AO62" s="56"/>
      <c r="AP62" s="56"/>
      <c r="AQ62" s="56"/>
      <c r="AR62" s="22"/>
      <c r="AS62" s="22"/>
      <c r="AT62" s="22"/>
      <c r="AU62" s="22"/>
      <c r="AV62" s="22"/>
      <c r="AW62" s="20"/>
      <c r="AX62" s="20"/>
      <c r="AY62" s="20"/>
      <c r="AZ62" s="20"/>
      <c r="BA62" s="19"/>
      <c r="BB62" s="19"/>
      <c r="BC62" s="19"/>
    </row>
    <row r="63" spans="1:55" ht="15" customHeight="1">
      <c r="A63" s="34"/>
      <c r="B63" s="1749" t="s">
        <v>725</v>
      </c>
      <c r="C63" s="1749"/>
      <c r="D63" s="1749"/>
      <c r="E63" s="1749"/>
      <c r="F63" s="1749"/>
      <c r="G63" s="1749"/>
      <c r="H63" s="1724"/>
      <c r="I63" s="1724"/>
      <c r="J63" s="1724"/>
      <c r="K63" s="1724"/>
      <c r="L63" s="1747"/>
      <c r="M63" s="1747"/>
      <c r="N63" s="1747"/>
      <c r="O63" s="1748">
        <f>AQ32</f>
        <v>0</v>
      </c>
      <c r="P63" s="1748"/>
      <c r="Q63" s="1748"/>
      <c r="R63" s="1748"/>
      <c r="S63" s="1748"/>
      <c r="T63" s="1731">
        <f>+H63*L63*O63</f>
        <v>0</v>
      </c>
      <c r="U63" s="1731"/>
      <c r="V63" s="1731">
        <f>+T63*$Q$26/1000</f>
        <v>0</v>
      </c>
      <c r="W63" s="1731"/>
      <c r="X63" s="1731"/>
      <c r="Y63" s="20"/>
      <c r="Z63" s="21"/>
      <c r="AA63" s="21"/>
      <c r="AB63" s="21"/>
      <c r="AC63" s="21"/>
      <c r="AD63" s="21"/>
      <c r="AE63" s="21"/>
      <c r="AF63" s="22"/>
      <c r="AG63" s="22"/>
      <c r="AH63" s="22"/>
      <c r="AI63" s="22"/>
      <c r="AJ63" s="57"/>
      <c r="AK63" s="57"/>
      <c r="AL63" s="57"/>
      <c r="AM63" s="58"/>
      <c r="AN63" s="58"/>
      <c r="AO63" s="58"/>
      <c r="AP63" s="58"/>
      <c r="AQ63" s="58"/>
      <c r="AR63" s="53"/>
      <c r="AS63" s="53"/>
      <c r="AT63" s="53"/>
      <c r="AU63" s="53"/>
      <c r="AV63" s="53"/>
      <c r="AW63" s="20"/>
      <c r="AX63" s="20"/>
      <c r="AY63" s="20"/>
      <c r="AZ63" s="20"/>
      <c r="BA63" s="19"/>
      <c r="BB63" s="19"/>
      <c r="BC63" s="19"/>
    </row>
    <row r="64" spans="1:55">
      <c r="A64" s="34"/>
      <c r="B64" s="1749"/>
      <c r="C64" s="1749"/>
      <c r="D64" s="1749"/>
      <c r="E64" s="1749"/>
      <c r="F64" s="1749"/>
      <c r="G64" s="1749"/>
      <c r="H64" s="1724"/>
      <c r="I64" s="1724"/>
      <c r="J64" s="1724"/>
      <c r="K64" s="1724"/>
      <c r="L64" s="1747"/>
      <c r="M64" s="1747"/>
      <c r="N64" s="1747"/>
      <c r="O64" s="1748">
        <f>O63</f>
        <v>0</v>
      </c>
      <c r="P64" s="1748"/>
      <c r="Q64" s="1748"/>
      <c r="R64" s="1748"/>
      <c r="S64" s="1748"/>
      <c r="T64" s="1731">
        <f>+H64*L64*O64</f>
        <v>0</v>
      </c>
      <c r="U64" s="1731"/>
      <c r="V64" s="1731">
        <f>+T64*$Q$26/1000</f>
        <v>0</v>
      </c>
      <c r="W64" s="1731"/>
      <c r="X64" s="1731"/>
      <c r="Y64" s="20"/>
      <c r="Z64" s="21"/>
      <c r="AA64" s="21"/>
      <c r="AB64" s="21"/>
      <c r="AC64" s="21"/>
      <c r="AD64" s="21"/>
      <c r="AE64" s="21"/>
      <c r="AF64" s="22"/>
      <c r="AG64" s="22"/>
      <c r="AH64" s="22"/>
      <c r="AI64" s="22"/>
      <c r="AJ64" s="57"/>
      <c r="AK64" s="57"/>
      <c r="AL64" s="57"/>
      <c r="AM64" s="58"/>
      <c r="AN64" s="58"/>
      <c r="AO64" s="58"/>
      <c r="AP64" s="58"/>
      <c r="AQ64" s="58"/>
      <c r="AR64" s="53"/>
      <c r="AS64" s="53"/>
      <c r="AT64" s="53"/>
      <c r="AU64" s="53"/>
      <c r="AV64" s="53"/>
      <c r="AW64" s="20"/>
      <c r="AX64" s="20"/>
      <c r="AY64" s="20"/>
      <c r="AZ64" s="20"/>
      <c r="BA64" s="19"/>
      <c r="BB64" s="19"/>
      <c r="BC64" s="19"/>
    </row>
    <row r="65" spans="1:74">
      <c r="A65" s="34"/>
      <c r="B65" s="1749"/>
      <c r="C65" s="1749"/>
      <c r="D65" s="1749"/>
      <c r="E65" s="1749"/>
      <c r="F65" s="1749"/>
      <c r="G65" s="1749"/>
      <c r="H65" s="1724"/>
      <c r="I65" s="1724"/>
      <c r="J65" s="1724"/>
      <c r="K65" s="1724"/>
      <c r="L65" s="1747"/>
      <c r="M65" s="1747"/>
      <c r="N65" s="1747"/>
      <c r="O65" s="1748">
        <f>O64</f>
        <v>0</v>
      </c>
      <c r="P65" s="1748"/>
      <c r="Q65" s="1748"/>
      <c r="R65" s="1748"/>
      <c r="S65" s="1748"/>
      <c r="T65" s="1731">
        <f>+H65*L65*O65</f>
        <v>0</v>
      </c>
      <c r="U65" s="1731"/>
      <c r="V65" s="1731">
        <f>+T65*$Q$26/1000</f>
        <v>0</v>
      </c>
      <c r="W65" s="1731"/>
      <c r="X65" s="1731"/>
      <c r="Y65" s="20"/>
      <c r="Z65" s="21"/>
      <c r="AA65" s="21"/>
      <c r="AB65" s="21"/>
      <c r="AC65" s="21"/>
      <c r="AD65" s="21"/>
      <c r="AE65" s="21"/>
      <c r="AF65" s="22"/>
      <c r="AG65" s="22"/>
      <c r="AH65" s="22"/>
      <c r="AI65" s="22"/>
      <c r="AJ65" s="57"/>
      <c r="AK65" s="57"/>
      <c r="AL65" s="57"/>
      <c r="AM65" s="58"/>
      <c r="AN65" s="58"/>
      <c r="AO65" s="58"/>
      <c r="AP65" s="58"/>
      <c r="AQ65" s="58"/>
      <c r="AR65" s="53"/>
      <c r="AS65" s="53"/>
      <c r="AT65" s="53"/>
      <c r="AU65" s="53"/>
      <c r="AV65" s="53"/>
      <c r="AW65" s="20"/>
      <c r="AX65" s="20"/>
      <c r="AY65" s="20"/>
      <c r="AZ65" s="20"/>
      <c r="BA65" s="19"/>
      <c r="BB65" s="19"/>
      <c r="BC65" s="19"/>
    </row>
    <row r="66" spans="1:74">
      <c r="A66" s="34"/>
      <c r="B66" s="1749"/>
      <c r="C66" s="1749"/>
      <c r="D66" s="1749"/>
      <c r="E66" s="1749"/>
      <c r="F66" s="1749"/>
      <c r="G66" s="1749"/>
      <c r="H66" s="1724"/>
      <c r="I66" s="1724"/>
      <c r="J66" s="1724"/>
      <c r="K66" s="1724"/>
      <c r="L66" s="1747"/>
      <c r="M66" s="1747"/>
      <c r="N66" s="1747"/>
      <c r="O66" s="1748">
        <f>O65</f>
        <v>0</v>
      </c>
      <c r="P66" s="1748"/>
      <c r="Q66" s="1748"/>
      <c r="R66" s="1748"/>
      <c r="S66" s="1748"/>
      <c r="T66" s="1731">
        <f>+H66*L66*O66</f>
        <v>0</v>
      </c>
      <c r="U66" s="1731"/>
      <c r="V66" s="1731">
        <f>+T66*$Q$26/1000</f>
        <v>0</v>
      </c>
      <c r="W66" s="1731"/>
      <c r="X66" s="1731"/>
      <c r="Y66" s="20"/>
      <c r="Z66" s="21"/>
      <c r="AA66" s="21"/>
      <c r="AB66" s="21"/>
      <c r="AC66" s="21"/>
      <c r="AD66" s="21"/>
      <c r="AE66" s="21"/>
      <c r="AF66" s="22"/>
      <c r="AG66" s="22"/>
      <c r="AH66" s="22"/>
      <c r="AI66" s="22"/>
      <c r="AJ66" s="57"/>
      <c r="AK66" s="57"/>
      <c r="AL66" s="57"/>
      <c r="AM66" s="58"/>
      <c r="AN66" s="58"/>
      <c r="AO66" s="58"/>
      <c r="AP66" s="58"/>
      <c r="AQ66" s="58"/>
      <c r="AR66" s="53"/>
      <c r="AS66" s="53"/>
      <c r="AT66" s="53"/>
      <c r="AU66" s="53"/>
      <c r="AV66" s="53"/>
      <c r="AW66" s="20"/>
      <c r="AX66" s="20"/>
      <c r="AY66" s="20"/>
      <c r="AZ66" s="20"/>
      <c r="BA66" s="19"/>
      <c r="BB66" s="19"/>
      <c r="BC66" s="19"/>
    </row>
    <row r="67" spans="1:74">
      <c r="A67" s="34"/>
      <c r="B67" s="1750" t="s">
        <v>6</v>
      </c>
      <c r="C67" s="1750"/>
      <c r="D67" s="1750"/>
      <c r="E67" s="1750"/>
      <c r="F67" s="1750"/>
      <c r="G67" s="1750"/>
      <c r="H67" s="1750"/>
      <c r="I67" s="1750"/>
      <c r="J67" s="1750"/>
      <c r="K67" s="1750"/>
      <c r="L67" s="1740">
        <f>SUM(L63:N66)</f>
        <v>0</v>
      </c>
      <c r="M67" s="1740"/>
      <c r="N67" s="1740"/>
      <c r="O67" s="1713"/>
      <c r="P67" s="1713"/>
      <c r="Q67" s="1713"/>
      <c r="R67" s="1713"/>
      <c r="S67" s="1713"/>
      <c r="T67" s="1731">
        <f>SUM(T63:U66)</f>
        <v>0</v>
      </c>
      <c r="U67" s="1731"/>
      <c r="V67" s="1731">
        <f>SUM(V63:X66)</f>
        <v>0</v>
      </c>
      <c r="W67" s="1731"/>
      <c r="X67" s="1731"/>
      <c r="Y67" s="20"/>
      <c r="Z67" s="43"/>
      <c r="AA67" s="43"/>
      <c r="AB67" s="43"/>
      <c r="AC67" s="43"/>
      <c r="AD67" s="43"/>
      <c r="AE67" s="43"/>
      <c r="AF67" s="43"/>
      <c r="AG67" s="43"/>
      <c r="AH67" s="43"/>
      <c r="AI67" s="43"/>
      <c r="AJ67" s="59"/>
      <c r="AK67" s="59"/>
      <c r="AL67" s="59"/>
      <c r="AM67" s="20"/>
      <c r="AN67" s="20"/>
      <c r="AO67" s="20"/>
      <c r="AP67" s="20"/>
      <c r="AQ67" s="20"/>
      <c r="AR67" s="53"/>
      <c r="AS67" s="53"/>
      <c r="AT67" s="53"/>
      <c r="AU67" s="53"/>
      <c r="AV67" s="53"/>
      <c r="AW67" s="20"/>
      <c r="AX67" s="20"/>
      <c r="AY67" s="20"/>
      <c r="AZ67" s="20"/>
      <c r="BA67" s="19"/>
      <c r="BB67" s="19"/>
      <c r="BC67" s="19"/>
    </row>
    <row r="68" spans="1:74">
      <c r="A68" s="34"/>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c r="AG68" s="20"/>
      <c r="AH68" s="20"/>
      <c r="AI68" s="20"/>
      <c r="AJ68" s="20"/>
      <c r="AK68" s="20"/>
      <c r="AL68" s="20"/>
      <c r="AM68" s="20"/>
      <c r="AN68" s="20"/>
      <c r="AO68" s="20"/>
      <c r="AP68" s="20"/>
      <c r="AQ68" s="20"/>
      <c r="AR68" s="20"/>
      <c r="AS68" s="20"/>
      <c r="AT68" s="20"/>
      <c r="AU68" s="20"/>
      <c r="AV68" s="20"/>
      <c r="AW68" s="20"/>
      <c r="AX68" s="20"/>
      <c r="AY68" s="20"/>
      <c r="AZ68" s="20"/>
      <c r="BA68" s="19"/>
      <c r="BB68" s="19"/>
      <c r="BC68" s="19"/>
    </row>
    <row r="69" spans="1:74" s="19" customFormat="1">
      <c r="A69" s="34"/>
      <c r="B69" s="35" t="s">
        <v>729</v>
      </c>
      <c r="C69" s="41"/>
      <c r="D69" s="39"/>
      <c r="E69" s="39"/>
      <c r="F69" s="39"/>
      <c r="G69" s="39"/>
      <c r="H69" s="39"/>
      <c r="I69" s="39"/>
      <c r="J69" s="20"/>
      <c r="K69" s="20"/>
      <c r="L69" s="20"/>
      <c r="M69" s="20"/>
      <c r="N69" s="20"/>
      <c r="O69" s="20"/>
      <c r="P69" s="20"/>
      <c r="Q69" s="20"/>
      <c r="R69" s="20"/>
      <c r="S69" s="20"/>
      <c r="T69" s="20"/>
      <c r="U69" s="20"/>
      <c r="V69" s="20"/>
      <c r="W69" s="20"/>
      <c r="X69" s="20"/>
      <c r="Y69" s="20"/>
      <c r="Z69" s="20"/>
      <c r="AA69" s="20"/>
      <c r="AB69" s="20"/>
      <c r="AC69" s="20"/>
      <c r="AD69" s="20"/>
      <c r="AE69" s="20"/>
      <c r="AF69" s="20"/>
      <c r="AG69" s="20"/>
      <c r="AH69" s="20"/>
      <c r="AI69" s="20"/>
      <c r="AJ69" s="20"/>
      <c r="AK69" s="20"/>
      <c r="AL69" s="20"/>
      <c r="AM69" s="20"/>
      <c r="AN69" s="20"/>
      <c r="AO69" s="20"/>
      <c r="AP69" s="20"/>
      <c r="AQ69" s="20"/>
      <c r="AR69" s="20"/>
      <c r="AS69" s="20"/>
      <c r="AT69" s="20"/>
      <c r="AU69" s="20"/>
      <c r="AV69" s="20"/>
      <c r="AW69" s="20"/>
      <c r="AX69" s="20"/>
      <c r="AY69" s="20"/>
      <c r="AZ69" s="20"/>
      <c r="BT69" s="33"/>
      <c r="BU69" s="33"/>
      <c r="BV69" s="33"/>
    </row>
    <row r="70" spans="1:74" s="19" customFormat="1" ht="5.25" customHeight="1">
      <c r="A70" s="34"/>
      <c r="B70" s="41"/>
      <c r="C70" s="41"/>
      <c r="D70" s="39"/>
      <c r="E70" s="39"/>
      <c r="F70" s="39"/>
      <c r="G70" s="39"/>
      <c r="H70" s="39"/>
      <c r="I70" s="39"/>
      <c r="J70" s="20"/>
      <c r="K70" s="20"/>
      <c r="L70" s="20"/>
      <c r="M70" s="20"/>
      <c r="N70" s="20"/>
      <c r="O70" s="20"/>
      <c r="P70" s="20"/>
      <c r="Q70" s="20"/>
      <c r="R70" s="20"/>
      <c r="S70" s="20"/>
      <c r="T70" s="20"/>
      <c r="U70" s="20"/>
      <c r="V70" s="20"/>
      <c r="W70" s="20"/>
      <c r="X70" s="20"/>
      <c r="Y70" s="20"/>
      <c r="Z70" s="20"/>
      <c r="AA70" s="20"/>
      <c r="AB70" s="20"/>
      <c r="AC70" s="20"/>
      <c r="AD70" s="20"/>
      <c r="AE70" s="20"/>
      <c r="AF70" s="20"/>
      <c r="AG70" s="20"/>
      <c r="AH70" s="20"/>
      <c r="AI70" s="20"/>
      <c r="AJ70" s="20"/>
      <c r="AK70" s="20"/>
      <c r="AL70" s="20"/>
      <c r="AM70" s="20"/>
      <c r="AN70" s="20"/>
      <c r="AO70" s="20"/>
      <c r="AP70" s="20"/>
      <c r="AQ70" s="20"/>
      <c r="AR70" s="20"/>
      <c r="AS70" s="20"/>
      <c r="AT70" s="20"/>
      <c r="AU70" s="20"/>
      <c r="AV70" s="20"/>
      <c r="AW70" s="20"/>
      <c r="AX70" s="20"/>
      <c r="AY70" s="20"/>
      <c r="AZ70" s="20"/>
      <c r="BT70" s="33"/>
      <c r="BU70" s="33"/>
      <c r="BV70" s="33"/>
    </row>
    <row r="71" spans="1:74" ht="15.75" customHeight="1">
      <c r="A71" s="34"/>
      <c r="B71" s="1703" t="s">
        <v>785</v>
      </c>
      <c r="C71" s="1703"/>
      <c r="D71" s="1703"/>
      <c r="E71" s="1703"/>
      <c r="F71" s="1703"/>
      <c r="G71" s="1703"/>
      <c r="H71" s="1703"/>
      <c r="I71" s="1703"/>
      <c r="J71" s="1703"/>
      <c r="K71" s="1703"/>
      <c r="L71" s="1703"/>
      <c r="M71" s="1703"/>
      <c r="N71" s="1704"/>
      <c r="O71" s="1704"/>
      <c r="P71" s="1704"/>
      <c r="Q71" s="1704"/>
      <c r="R71" s="1704"/>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19"/>
      <c r="BB71" s="19"/>
      <c r="BC71" s="19"/>
    </row>
    <row r="72" spans="1:74" ht="15.75" customHeight="1">
      <c r="A72" s="34"/>
      <c r="B72" s="1703" t="s">
        <v>737</v>
      </c>
      <c r="C72" s="1703"/>
      <c r="D72" s="1703"/>
      <c r="E72" s="1703"/>
      <c r="F72" s="1703"/>
      <c r="G72" s="1703"/>
      <c r="H72" s="1703"/>
      <c r="I72" s="1703"/>
      <c r="J72" s="1703"/>
      <c r="K72" s="1703"/>
      <c r="L72" s="1703"/>
      <c r="M72" s="1703"/>
      <c r="N72" s="1704"/>
      <c r="O72" s="1704"/>
      <c r="P72" s="1704"/>
      <c r="Q72" s="1704"/>
      <c r="R72" s="1704"/>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19"/>
      <c r="BB72" s="19"/>
      <c r="BC72" s="19"/>
    </row>
    <row r="73" spans="1:74" ht="15.75" customHeight="1">
      <c r="A73" s="34"/>
      <c r="B73" s="1703" t="s">
        <v>738</v>
      </c>
      <c r="C73" s="1703"/>
      <c r="D73" s="1703"/>
      <c r="E73" s="1703"/>
      <c r="F73" s="1703"/>
      <c r="G73" s="1703"/>
      <c r="H73" s="1703"/>
      <c r="I73" s="1703"/>
      <c r="J73" s="1703"/>
      <c r="K73" s="1703"/>
      <c r="L73" s="1703"/>
      <c r="M73" s="1703"/>
      <c r="N73" s="1704"/>
      <c r="O73" s="1704"/>
      <c r="P73" s="1704"/>
      <c r="Q73" s="1704"/>
      <c r="R73" s="1704"/>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19"/>
      <c r="BB73" s="19"/>
      <c r="BC73" s="19"/>
    </row>
    <row r="74" spans="1:74" s="36" customFormat="1" ht="15.75" customHeight="1">
      <c r="A74" s="34"/>
      <c r="B74" s="38"/>
      <c r="C74" s="38"/>
      <c r="D74" s="38"/>
      <c r="E74" s="38"/>
      <c r="F74" s="38"/>
      <c r="G74" s="38"/>
      <c r="H74" s="38"/>
      <c r="I74" s="38"/>
      <c r="J74" s="38"/>
      <c r="K74" s="38"/>
      <c r="L74" s="38"/>
      <c r="M74" s="38"/>
      <c r="N74" s="364"/>
      <c r="O74" s="364"/>
      <c r="P74" s="364"/>
      <c r="Q74" s="364"/>
      <c r="R74" s="364"/>
      <c r="BA74" s="20"/>
      <c r="BB74" s="20"/>
      <c r="BC74" s="20"/>
      <c r="BD74" s="20"/>
      <c r="BE74" s="20"/>
      <c r="BF74" s="20"/>
      <c r="BG74" s="20"/>
      <c r="BH74" s="20"/>
      <c r="BI74" s="20"/>
      <c r="BJ74" s="20"/>
      <c r="BK74" s="20"/>
      <c r="BL74" s="20"/>
      <c r="BM74" s="20"/>
      <c r="BN74" s="20"/>
      <c r="BO74" s="20"/>
      <c r="BP74" s="20"/>
      <c r="BQ74" s="20"/>
      <c r="BR74" s="20"/>
      <c r="BS74" s="20"/>
    </row>
    <row r="75" spans="1:74" s="19" customFormat="1" ht="15" customHeight="1">
      <c r="A75" s="34"/>
      <c r="B75" s="1817" t="s">
        <v>3201</v>
      </c>
      <c r="C75" s="1817"/>
      <c r="D75" s="1817"/>
      <c r="E75" s="1817"/>
      <c r="F75" s="1817"/>
      <c r="G75" s="1817"/>
      <c r="H75" s="1817"/>
      <c r="I75" s="1817"/>
      <c r="J75" s="1817"/>
      <c r="K75" s="1817"/>
      <c r="L75" s="1817"/>
      <c r="M75" s="1817"/>
      <c r="N75" s="1817"/>
      <c r="O75" s="1817"/>
      <c r="P75" s="1817"/>
      <c r="Q75" s="1817"/>
      <c r="R75" s="1817"/>
      <c r="S75" s="1817"/>
      <c r="T75" s="1817"/>
      <c r="U75" s="1817"/>
      <c r="V75" s="1817"/>
      <c r="W75" s="1817"/>
      <c r="X75" s="1817"/>
      <c r="Y75" s="1817"/>
      <c r="Z75" s="1817"/>
      <c r="AA75" s="1817"/>
      <c r="AB75" s="1817"/>
      <c r="AC75" s="1817"/>
      <c r="AD75" s="1817"/>
      <c r="AE75" s="1817"/>
      <c r="AF75" s="1817"/>
      <c r="AG75" s="1817"/>
      <c r="AH75" s="1817"/>
      <c r="AI75" s="1817"/>
      <c r="AJ75" s="1817"/>
      <c r="AK75" s="1817"/>
      <c r="AL75" s="1817"/>
      <c r="AM75" s="1817"/>
      <c r="AN75" s="1817"/>
      <c r="AO75" s="1817"/>
      <c r="AP75" s="1817"/>
      <c r="AQ75" s="1817"/>
      <c r="AR75" s="1817"/>
      <c r="AS75" s="1817"/>
      <c r="AT75" s="1817"/>
      <c r="AU75" s="20"/>
      <c r="AV75" s="20"/>
      <c r="AW75" s="20"/>
      <c r="AX75" s="20"/>
      <c r="AY75" s="20"/>
      <c r="AZ75" s="20"/>
      <c r="BT75" s="33"/>
      <c r="BU75" s="33"/>
      <c r="BV75" s="33"/>
    </row>
    <row r="76" spans="1:74" s="19" customFormat="1" ht="31.5" customHeight="1">
      <c r="A76" s="34"/>
      <c r="B76" s="1816" t="s">
        <v>3203</v>
      </c>
      <c r="C76" s="1816"/>
      <c r="D76" s="1816"/>
      <c r="E76" s="1816"/>
      <c r="F76" s="1816"/>
      <c r="G76" s="1816"/>
      <c r="H76" s="1816"/>
      <c r="I76" s="1816"/>
      <c r="J76" s="1816"/>
      <c r="K76" s="1816"/>
      <c r="L76" s="1816"/>
      <c r="M76" s="1816"/>
      <c r="N76" s="1816"/>
      <c r="O76" s="1816"/>
      <c r="P76" s="1816"/>
      <c r="Q76" s="1816"/>
      <c r="R76" s="1816"/>
      <c r="S76" s="1816"/>
      <c r="T76" s="1816"/>
      <c r="U76" s="1816"/>
      <c r="V76" s="1816"/>
      <c r="W76" s="20"/>
      <c r="X76" s="20"/>
      <c r="Y76" s="20"/>
      <c r="AB76" s="1818" t="s">
        <v>3202</v>
      </c>
      <c r="AC76" s="1818"/>
      <c r="AD76" s="1818"/>
      <c r="AE76" s="1818"/>
      <c r="AF76" s="1818"/>
      <c r="AG76" s="1818"/>
      <c r="AH76" s="1818"/>
      <c r="AI76" s="1818"/>
      <c r="AJ76" s="1818"/>
      <c r="AK76" s="1818"/>
      <c r="AL76" s="1818"/>
      <c r="AM76" s="1818"/>
      <c r="AN76" s="1818"/>
      <c r="AO76" s="1818"/>
      <c r="AP76" s="1818"/>
      <c r="AQ76" s="1818"/>
      <c r="AR76" s="1818"/>
      <c r="AS76" s="1818"/>
      <c r="AT76" s="1818"/>
      <c r="AU76" s="1818"/>
      <c r="AV76" s="1818"/>
      <c r="AW76" s="1818"/>
      <c r="AX76" s="1818"/>
      <c r="AY76" s="20"/>
      <c r="AZ76" s="20"/>
      <c r="BT76" s="33"/>
      <c r="BU76" s="33"/>
      <c r="BV76" s="33"/>
    </row>
    <row r="77" spans="1:74" s="19" customFormat="1" ht="30.75" customHeight="1">
      <c r="A77" s="34"/>
      <c r="B77" s="1725" t="s">
        <v>640</v>
      </c>
      <c r="C77" s="1725"/>
      <c r="D77" s="1725"/>
      <c r="E77" s="1725"/>
      <c r="F77" s="1725"/>
      <c r="G77" s="1725"/>
      <c r="H77" s="1725"/>
      <c r="I77" s="1725"/>
      <c r="J77" s="1725" t="s">
        <v>641</v>
      </c>
      <c r="K77" s="1725"/>
      <c r="L77" s="1725"/>
      <c r="M77" s="1725"/>
      <c r="N77" s="1819" t="s">
        <v>642</v>
      </c>
      <c r="O77" s="1819"/>
      <c r="P77" s="1819"/>
      <c r="Q77" s="1819"/>
      <c r="R77" s="1819"/>
      <c r="S77" s="1727" t="s">
        <v>730</v>
      </c>
      <c r="T77" s="1727"/>
      <c r="U77" s="1727"/>
      <c r="V77" s="1727"/>
      <c r="W77" s="20"/>
      <c r="X77" s="20"/>
      <c r="Y77" s="20"/>
      <c r="AB77" s="1725" t="s">
        <v>640</v>
      </c>
      <c r="AC77" s="1725"/>
      <c r="AD77" s="1725"/>
      <c r="AE77" s="1725"/>
      <c r="AF77" s="1725"/>
      <c r="AG77" s="1725"/>
      <c r="AH77" s="1725"/>
      <c r="AI77" s="1725"/>
      <c r="AJ77" s="1725" t="s">
        <v>641</v>
      </c>
      <c r="AK77" s="1725"/>
      <c r="AL77" s="1725"/>
      <c r="AM77" s="1725"/>
      <c r="AN77" s="1819" t="s">
        <v>642</v>
      </c>
      <c r="AO77" s="1819"/>
      <c r="AP77" s="1819"/>
      <c r="AQ77" s="1819"/>
      <c r="AR77" s="1819"/>
      <c r="AS77" s="1820" t="s">
        <v>730</v>
      </c>
      <c r="AT77" s="1820"/>
      <c r="AU77" s="1820"/>
      <c r="AV77" s="1820"/>
      <c r="AW77" s="20"/>
      <c r="AX77" s="20"/>
      <c r="AY77" s="20"/>
      <c r="AZ77" s="20"/>
      <c r="BT77" s="33"/>
      <c r="BU77" s="33"/>
      <c r="BV77" s="33"/>
    </row>
    <row r="78" spans="1:74" s="19" customFormat="1" ht="16.5" customHeight="1">
      <c r="A78" s="34"/>
      <c r="B78" s="1730" t="s">
        <v>635</v>
      </c>
      <c r="C78" s="1730"/>
      <c r="D78" s="1730"/>
      <c r="E78" s="1730"/>
      <c r="F78" s="1730"/>
      <c r="G78" s="1730"/>
      <c r="H78" s="1730"/>
      <c r="I78" s="1730"/>
      <c r="J78" s="1724"/>
      <c r="K78" s="1724"/>
      <c r="L78" s="1724"/>
      <c r="M78" s="1724"/>
      <c r="N78" s="1724"/>
      <c r="O78" s="1724"/>
      <c r="P78" s="1724"/>
      <c r="Q78" s="1724"/>
      <c r="R78" s="1724"/>
      <c r="S78" s="1726">
        <f>J78*N78/1000</f>
        <v>0</v>
      </c>
      <c r="T78" s="1726"/>
      <c r="U78" s="1726"/>
      <c r="V78" s="1726"/>
      <c r="W78" s="20"/>
      <c r="AB78" s="1730" t="s">
        <v>635</v>
      </c>
      <c r="AC78" s="1730"/>
      <c r="AD78" s="1730"/>
      <c r="AE78" s="1730"/>
      <c r="AF78" s="1730"/>
      <c r="AG78" s="1730"/>
      <c r="AH78" s="1730"/>
      <c r="AI78" s="1730"/>
      <c r="AJ78" s="1724"/>
      <c r="AK78" s="1724"/>
      <c r="AL78" s="1724"/>
      <c r="AM78" s="1724"/>
      <c r="AN78" s="1724"/>
      <c r="AO78" s="1724"/>
      <c r="AP78" s="1724"/>
      <c r="AQ78" s="1724"/>
      <c r="AR78" s="1724"/>
      <c r="AS78" s="1726">
        <f>AJ78*AN78/1000</f>
        <v>0</v>
      </c>
      <c r="AT78" s="1726"/>
      <c r="AU78" s="1726"/>
      <c r="AV78" s="1726"/>
      <c r="AW78" s="20"/>
      <c r="AX78" s="20"/>
      <c r="AY78" s="20"/>
      <c r="AZ78" s="20"/>
      <c r="BT78" s="33"/>
      <c r="BU78" s="33"/>
      <c r="BV78" s="33"/>
    </row>
    <row r="79" spans="1:74" s="19" customFormat="1" ht="16.5" customHeight="1">
      <c r="A79" s="34"/>
      <c r="B79" s="1730" t="s">
        <v>727</v>
      </c>
      <c r="C79" s="1730"/>
      <c r="D79" s="1730"/>
      <c r="E79" s="1730"/>
      <c r="F79" s="1730"/>
      <c r="G79" s="1730"/>
      <c r="H79" s="1730"/>
      <c r="I79" s="1730"/>
      <c r="J79" s="1724"/>
      <c r="K79" s="1724"/>
      <c r="L79" s="1724"/>
      <c r="M79" s="1724"/>
      <c r="N79" s="1724"/>
      <c r="O79" s="1724"/>
      <c r="P79" s="1724"/>
      <c r="Q79" s="1724"/>
      <c r="R79" s="1724"/>
      <c r="S79" s="1726">
        <f>J79*N79/1000</f>
        <v>0</v>
      </c>
      <c r="T79" s="1726"/>
      <c r="U79" s="1726"/>
      <c r="V79" s="1726"/>
      <c r="W79" s="20"/>
      <c r="AB79" s="1730" t="s">
        <v>727</v>
      </c>
      <c r="AC79" s="1730"/>
      <c r="AD79" s="1730"/>
      <c r="AE79" s="1730"/>
      <c r="AF79" s="1730"/>
      <c r="AG79" s="1730"/>
      <c r="AH79" s="1730"/>
      <c r="AI79" s="1730"/>
      <c r="AJ79" s="1724"/>
      <c r="AK79" s="1724"/>
      <c r="AL79" s="1724"/>
      <c r="AM79" s="1724"/>
      <c r="AN79" s="1724"/>
      <c r="AO79" s="1724"/>
      <c r="AP79" s="1724"/>
      <c r="AQ79" s="1724"/>
      <c r="AR79" s="1724"/>
      <c r="AS79" s="1726">
        <f>AJ79*AN79/1000</f>
        <v>0</v>
      </c>
      <c r="AT79" s="1726"/>
      <c r="AU79" s="1726"/>
      <c r="AV79" s="1726"/>
      <c r="AW79" s="20"/>
      <c r="AX79" s="20"/>
      <c r="AY79" s="20"/>
      <c r="AZ79" s="20"/>
      <c r="BT79" s="33"/>
      <c r="BU79" s="33"/>
      <c r="BV79" s="33"/>
    </row>
    <row r="80" spans="1:74" s="19" customFormat="1" ht="16.5" customHeight="1">
      <c r="A80" s="34"/>
      <c r="B80" s="1730" t="s">
        <v>703</v>
      </c>
      <c r="C80" s="1730"/>
      <c r="D80" s="1730"/>
      <c r="E80" s="1730"/>
      <c r="F80" s="1730"/>
      <c r="G80" s="1730"/>
      <c r="H80" s="1730"/>
      <c r="I80" s="1730"/>
      <c r="J80" s="1724"/>
      <c r="K80" s="1724"/>
      <c r="L80" s="1724"/>
      <c r="M80" s="1724"/>
      <c r="N80" s="1724"/>
      <c r="O80" s="1724"/>
      <c r="P80" s="1724"/>
      <c r="Q80" s="1724"/>
      <c r="R80" s="1724"/>
      <c r="S80" s="1726">
        <f>J80*N80/1000</f>
        <v>0</v>
      </c>
      <c r="T80" s="1726"/>
      <c r="U80" s="1726"/>
      <c r="V80" s="1726"/>
      <c r="W80" s="20"/>
      <c r="X80" s="20"/>
      <c r="Y80" s="20"/>
      <c r="AB80" s="1730" t="s">
        <v>703</v>
      </c>
      <c r="AC80" s="1730"/>
      <c r="AD80" s="1730"/>
      <c r="AE80" s="1730"/>
      <c r="AF80" s="1730"/>
      <c r="AG80" s="1730"/>
      <c r="AH80" s="1730"/>
      <c r="AI80" s="1730"/>
      <c r="AJ80" s="1724"/>
      <c r="AK80" s="1724"/>
      <c r="AL80" s="1724"/>
      <c r="AM80" s="1724"/>
      <c r="AN80" s="1724"/>
      <c r="AO80" s="1724"/>
      <c r="AP80" s="1724"/>
      <c r="AQ80" s="1724"/>
      <c r="AR80" s="1724"/>
      <c r="AS80" s="1726">
        <f>AJ80*AN80/1000</f>
        <v>0</v>
      </c>
      <c r="AT80" s="1726"/>
      <c r="AU80" s="1726"/>
      <c r="AV80" s="1726"/>
      <c r="AW80" s="20"/>
      <c r="AX80" s="20"/>
      <c r="AY80" s="20"/>
      <c r="AZ80" s="20"/>
      <c r="BT80" s="33"/>
      <c r="BU80" s="33"/>
      <c r="BV80" s="33"/>
    </row>
    <row r="81" spans="1:74" s="19" customFormat="1" ht="16.5" customHeight="1">
      <c r="A81" s="34"/>
      <c r="B81" s="1730" t="s">
        <v>728</v>
      </c>
      <c r="C81" s="1730"/>
      <c r="D81" s="1730"/>
      <c r="E81" s="1730"/>
      <c r="F81" s="1730"/>
      <c r="G81" s="1730"/>
      <c r="H81" s="1730"/>
      <c r="I81" s="1730"/>
      <c r="J81" s="1724"/>
      <c r="K81" s="1724"/>
      <c r="L81" s="1724"/>
      <c r="M81" s="1724"/>
      <c r="N81" s="1724"/>
      <c r="O81" s="1724"/>
      <c r="P81" s="1724"/>
      <c r="Q81" s="1724"/>
      <c r="R81" s="1724"/>
      <c r="S81" s="1726">
        <f>J81*N81/1000</f>
        <v>0</v>
      </c>
      <c r="T81" s="1726"/>
      <c r="U81" s="1726"/>
      <c r="V81" s="1726"/>
      <c r="W81" s="20"/>
      <c r="AB81" s="1730" t="s">
        <v>728</v>
      </c>
      <c r="AC81" s="1730"/>
      <c r="AD81" s="1730"/>
      <c r="AE81" s="1730"/>
      <c r="AF81" s="1730"/>
      <c r="AG81" s="1730"/>
      <c r="AH81" s="1730"/>
      <c r="AI81" s="1730"/>
      <c r="AJ81" s="1724"/>
      <c r="AK81" s="1724"/>
      <c r="AL81" s="1724"/>
      <c r="AM81" s="1724"/>
      <c r="AN81" s="1724"/>
      <c r="AO81" s="1724"/>
      <c r="AP81" s="1724"/>
      <c r="AQ81" s="1724"/>
      <c r="AR81" s="1724"/>
      <c r="AS81" s="1726">
        <f>AJ81*AN81/1000</f>
        <v>0</v>
      </c>
      <c r="AT81" s="1726"/>
      <c r="AU81" s="1726"/>
      <c r="AV81" s="1726"/>
      <c r="AW81" s="20"/>
      <c r="AX81" s="20"/>
      <c r="AY81" s="20"/>
      <c r="AZ81" s="20"/>
      <c r="BT81" s="33"/>
      <c r="BU81" s="33"/>
      <c r="BV81" s="33"/>
    </row>
    <row r="82" spans="1:74" s="19" customFormat="1" ht="16.5" customHeight="1">
      <c r="A82" s="34"/>
      <c r="B82" s="1729" t="s">
        <v>731</v>
      </c>
      <c r="C82" s="1729"/>
      <c r="D82" s="1729"/>
      <c r="E82" s="1729"/>
      <c r="F82" s="1729"/>
      <c r="G82" s="1729"/>
      <c r="H82" s="1729"/>
      <c r="I82" s="1729"/>
      <c r="J82" s="1729"/>
      <c r="K82" s="1729"/>
      <c r="L82" s="1729"/>
      <c r="M82" s="1729"/>
      <c r="N82" s="1729"/>
      <c r="O82" s="1729"/>
      <c r="P82" s="1729"/>
      <c r="Q82" s="1729"/>
      <c r="R82" s="1729"/>
      <c r="S82" s="1737">
        <f>SUM(S78:V81)</f>
        <v>0</v>
      </c>
      <c r="T82" s="1738"/>
      <c r="U82" s="1738"/>
      <c r="V82" s="1739"/>
      <c r="W82" s="20"/>
      <c r="AB82" s="1729" t="s">
        <v>731</v>
      </c>
      <c r="AC82" s="1729"/>
      <c r="AD82" s="1729"/>
      <c r="AE82" s="1729"/>
      <c r="AF82" s="1729"/>
      <c r="AG82" s="1729"/>
      <c r="AH82" s="1729"/>
      <c r="AI82" s="1729"/>
      <c r="AJ82" s="1729"/>
      <c r="AK82" s="1729"/>
      <c r="AL82" s="1729"/>
      <c r="AM82" s="1729"/>
      <c r="AN82" s="1729"/>
      <c r="AO82" s="1729"/>
      <c r="AP82" s="1729"/>
      <c r="AQ82" s="1729"/>
      <c r="AR82" s="1729"/>
      <c r="AS82" s="1737">
        <f>SUM(AS78:AV81)</f>
        <v>0</v>
      </c>
      <c r="AT82" s="1738"/>
      <c r="AU82" s="1738"/>
      <c r="AV82" s="1739"/>
      <c r="AW82" s="20"/>
      <c r="AX82" s="20"/>
      <c r="AY82" s="20"/>
      <c r="AZ82" s="20"/>
      <c r="BT82" s="33"/>
      <c r="BU82" s="33"/>
      <c r="BV82" s="33"/>
    </row>
    <row r="83" spans="1:74" s="19" customFormat="1">
      <c r="A83" s="34"/>
      <c r="B83" s="20"/>
      <c r="C83" s="20"/>
      <c r="D83" s="20"/>
      <c r="E83" s="20"/>
      <c r="F83" s="20"/>
      <c r="G83" s="20"/>
      <c r="H83" s="20"/>
      <c r="I83" s="20"/>
      <c r="J83" s="20"/>
      <c r="K83" s="20"/>
      <c r="L83" s="20"/>
      <c r="M83" s="20"/>
      <c r="N83" s="20"/>
      <c r="O83" s="20"/>
      <c r="P83" s="20"/>
      <c r="Q83" s="20"/>
      <c r="R83" s="20"/>
      <c r="S83" s="20"/>
      <c r="T83" s="42"/>
      <c r="U83" s="42"/>
      <c r="V83" s="42"/>
      <c r="W83" s="20"/>
      <c r="AB83" s="20"/>
      <c r="AC83" s="20"/>
      <c r="AD83" s="20"/>
      <c r="AE83" s="20"/>
      <c r="AF83" s="20"/>
      <c r="AG83" s="20"/>
      <c r="AH83" s="20"/>
      <c r="AI83" s="20"/>
      <c r="AJ83" s="20"/>
      <c r="AK83" s="20"/>
      <c r="AL83" s="20"/>
      <c r="AM83" s="20"/>
      <c r="AN83" s="20"/>
      <c r="AO83" s="20"/>
      <c r="AP83" s="20"/>
      <c r="AQ83" s="20"/>
      <c r="AR83" s="20"/>
      <c r="AS83" s="20"/>
      <c r="AT83" s="42"/>
      <c r="AU83" s="42"/>
      <c r="AV83" s="42"/>
      <c r="AW83" s="20"/>
      <c r="AX83" s="20"/>
      <c r="AY83" s="20"/>
      <c r="AZ83" s="20"/>
      <c r="BT83" s="33"/>
      <c r="BU83" s="33"/>
      <c r="BV83" s="33"/>
    </row>
    <row r="84" spans="1:74" s="19" customFormat="1" ht="36.75" customHeight="1">
      <c r="A84" s="34"/>
      <c r="B84" s="1818" t="s">
        <v>3004</v>
      </c>
      <c r="C84" s="1818"/>
      <c r="D84" s="1818"/>
      <c r="E84" s="1818"/>
      <c r="F84" s="1818"/>
      <c r="G84" s="1818"/>
      <c r="H84" s="1818"/>
      <c r="I84" s="1818"/>
      <c r="J84" s="1818"/>
      <c r="K84" s="1818"/>
      <c r="L84" s="1818"/>
      <c r="M84" s="1818"/>
      <c r="N84" s="1818"/>
      <c r="O84" s="1818"/>
      <c r="P84" s="1818"/>
      <c r="Q84" s="1818"/>
      <c r="R84" s="1818"/>
      <c r="S84" s="1818"/>
      <c r="T84" s="1818"/>
      <c r="U84" s="1818"/>
      <c r="V84" s="1818"/>
      <c r="W84" s="1818"/>
      <c r="AB84" s="1818" t="s">
        <v>3005</v>
      </c>
      <c r="AC84" s="1818"/>
      <c r="AD84" s="1818"/>
      <c r="AE84" s="1818"/>
      <c r="AF84" s="1818"/>
      <c r="AG84" s="1818"/>
      <c r="AH84" s="1818"/>
      <c r="AI84" s="1818"/>
      <c r="AJ84" s="1818"/>
      <c r="AK84" s="1818"/>
      <c r="AL84" s="1818"/>
      <c r="AM84" s="1818"/>
      <c r="AN84" s="1818"/>
      <c r="AO84" s="1818"/>
      <c r="AP84" s="1818"/>
      <c r="AQ84" s="1818"/>
      <c r="AR84" s="1818"/>
      <c r="AS84" s="1818"/>
      <c r="AT84" s="1818"/>
      <c r="AU84" s="1818"/>
      <c r="AV84" s="1818"/>
      <c r="AW84" s="1818"/>
      <c r="AX84" s="20"/>
      <c r="AY84" s="20"/>
      <c r="AZ84" s="20"/>
      <c r="BT84" s="33"/>
      <c r="BU84" s="33"/>
      <c r="BV84" s="33"/>
    </row>
    <row r="85" spans="1:74" s="19" customFormat="1" ht="30" customHeight="1">
      <c r="A85" s="34"/>
      <c r="B85" s="1725" t="s">
        <v>640</v>
      </c>
      <c r="C85" s="1725"/>
      <c r="D85" s="1725"/>
      <c r="E85" s="1725"/>
      <c r="F85" s="1725"/>
      <c r="G85" s="1725"/>
      <c r="H85" s="1725"/>
      <c r="I85" s="1725"/>
      <c r="J85" s="1725" t="s">
        <v>641</v>
      </c>
      <c r="K85" s="1725"/>
      <c r="L85" s="1725"/>
      <c r="M85" s="1725"/>
      <c r="N85" s="1819" t="s">
        <v>642</v>
      </c>
      <c r="O85" s="1819"/>
      <c r="P85" s="1819"/>
      <c r="Q85" s="1819"/>
      <c r="R85" s="1819"/>
      <c r="S85" s="1727" t="s">
        <v>730</v>
      </c>
      <c r="T85" s="1727"/>
      <c r="U85" s="1727"/>
      <c r="V85" s="1727"/>
      <c r="W85" s="20"/>
      <c r="AB85" s="1725" t="s">
        <v>640</v>
      </c>
      <c r="AC85" s="1725"/>
      <c r="AD85" s="1725"/>
      <c r="AE85" s="1725"/>
      <c r="AF85" s="1725"/>
      <c r="AG85" s="1725"/>
      <c r="AH85" s="1725"/>
      <c r="AI85" s="1725"/>
      <c r="AJ85" s="1725" t="s">
        <v>641</v>
      </c>
      <c r="AK85" s="1725"/>
      <c r="AL85" s="1725"/>
      <c r="AM85" s="1725"/>
      <c r="AN85" s="1819" t="s">
        <v>642</v>
      </c>
      <c r="AO85" s="1819"/>
      <c r="AP85" s="1819"/>
      <c r="AQ85" s="1819"/>
      <c r="AR85" s="1819"/>
      <c r="AS85" s="1820" t="s">
        <v>730</v>
      </c>
      <c r="AT85" s="1820"/>
      <c r="AU85" s="1820"/>
      <c r="AV85" s="1820"/>
      <c r="AW85" s="20"/>
      <c r="AX85" s="20"/>
      <c r="AY85" s="20"/>
      <c r="AZ85" s="20"/>
      <c r="BT85" s="33"/>
      <c r="BU85" s="33"/>
      <c r="BV85" s="33"/>
    </row>
    <row r="86" spans="1:74" s="19" customFormat="1">
      <c r="A86" s="34"/>
      <c r="B86" s="1730" t="s">
        <v>732</v>
      </c>
      <c r="C86" s="1730"/>
      <c r="D86" s="1730"/>
      <c r="E86" s="1730"/>
      <c r="F86" s="1730"/>
      <c r="G86" s="1730"/>
      <c r="H86" s="1730"/>
      <c r="I86" s="1730"/>
      <c r="J86" s="1724"/>
      <c r="K86" s="1724"/>
      <c r="L86" s="1724"/>
      <c r="M86" s="1724"/>
      <c r="N86" s="1724"/>
      <c r="O86" s="1724"/>
      <c r="P86" s="1724"/>
      <c r="Q86" s="1724"/>
      <c r="R86" s="1724"/>
      <c r="S86" s="1726">
        <f t="shared" ref="S86:S91" si="0">J86*N86/1000</f>
        <v>0</v>
      </c>
      <c r="T86" s="1726"/>
      <c r="U86" s="1726"/>
      <c r="V86" s="1726"/>
      <c r="W86" s="20"/>
      <c r="AB86" s="1730" t="s">
        <v>732</v>
      </c>
      <c r="AC86" s="1730"/>
      <c r="AD86" s="1730"/>
      <c r="AE86" s="1730"/>
      <c r="AF86" s="1730"/>
      <c r="AG86" s="1730"/>
      <c r="AH86" s="1730"/>
      <c r="AI86" s="1730"/>
      <c r="AJ86" s="1724"/>
      <c r="AK86" s="1724"/>
      <c r="AL86" s="1724"/>
      <c r="AM86" s="1724"/>
      <c r="AN86" s="1724"/>
      <c r="AO86" s="1724"/>
      <c r="AP86" s="1724"/>
      <c r="AQ86" s="1724"/>
      <c r="AR86" s="1724"/>
      <c r="AS86" s="1726">
        <f t="shared" ref="AS86:AS91" si="1">AJ86*AN86/1000</f>
        <v>0</v>
      </c>
      <c r="AT86" s="1726"/>
      <c r="AU86" s="1726"/>
      <c r="AV86" s="1726"/>
      <c r="AW86" s="20"/>
      <c r="AX86" s="20"/>
      <c r="AY86" s="20"/>
      <c r="AZ86" s="20"/>
      <c r="BT86" s="33"/>
      <c r="BU86" s="33"/>
      <c r="BV86" s="33"/>
    </row>
    <row r="87" spans="1:74" s="19" customFormat="1" ht="15" customHeight="1">
      <c r="A87" s="34"/>
      <c r="B87" s="1730" t="s">
        <v>733</v>
      </c>
      <c r="C87" s="1730"/>
      <c r="D87" s="1730"/>
      <c r="E87" s="1730"/>
      <c r="F87" s="1730"/>
      <c r="G87" s="1730"/>
      <c r="H87" s="1730"/>
      <c r="I87" s="1730"/>
      <c r="J87" s="1724"/>
      <c r="K87" s="1724"/>
      <c r="L87" s="1724"/>
      <c r="M87" s="1724"/>
      <c r="N87" s="1724"/>
      <c r="O87" s="1724"/>
      <c r="P87" s="1724"/>
      <c r="Q87" s="1724"/>
      <c r="R87" s="1724"/>
      <c r="S87" s="1726">
        <f t="shared" si="0"/>
        <v>0</v>
      </c>
      <c r="T87" s="1726"/>
      <c r="U87" s="1726"/>
      <c r="V87" s="1726"/>
      <c r="W87" s="20"/>
      <c r="AB87" s="1730" t="s">
        <v>733</v>
      </c>
      <c r="AC87" s="1730"/>
      <c r="AD87" s="1730"/>
      <c r="AE87" s="1730"/>
      <c r="AF87" s="1730"/>
      <c r="AG87" s="1730"/>
      <c r="AH87" s="1730"/>
      <c r="AI87" s="1730"/>
      <c r="AJ87" s="1724"/>
      <c r="AK87" s="1724"/>
      <c r="AL87" s="1724"/>
      <c r="AM87" s="1724"/>
      <c r="AN87" s="1724"/>
      <c r="AO87" s="1724"/>
      <c r="AP87" s="1724"/>
      <c r="AQ87" s="1724"/>
      <c r="AR87" s="1724"/>
      <c r="AS87" s="1726">
        <f t="shared" si="1"/>
        <v>0</v>
      </c>
      <c r="AT87" s="1726"/>
      <c r="AU87" s="1726"/>
      <c r="AV87" s="1726"/>
      <c r="AW87" s="20"/>
      <c r="AX87" s="20"/>
      <c r="AY87" s="20"/>
      <c r="AZ87" s="20"/>
      <c r="BT87" s="33"/>
      <c r="BU87" s="33"/>
      <c r="BV87" s="33"/>
    </row>
    <row r="88" spans="1:74" s="19" customFormat="1" ht="15" customHeight="1">
      <c r="A88" s="34"/>
      <c r="B88" s="1730" t="s">
        <v>734</v>
      </c>
      <c r="C88" s="1730"/>
      <c r="D88" s="1730"/>
      <c r="E88" s="1730"/>
      <c r="F88" s="1730"/>
      <c r="G88" s="1730"/>
      <c r="H88" s="1730"/>
      <c r="I88" s="1730"/>
      <c r="J88" s="1724"/>
      <c r="K88" s="1724"/>
      <c r="L88" s="1724"/>
      <c r="M88" s="1724"/>
      <c r="N88" s="1724"/>
      <c r="O88" s="1724"/>
      <c r="P88" s="1724"/>
      <c r="Q88" s="1724"/>
      <c r="R88" s="1724"/>
      <c r="S88" s="1726">
        <f t="shared" si="0"/>
        <v>0</v>
      </c>
      <c r="T88" s="1726"/>
      <c r="U88" s="1726"/>
      <c r="V88" s="1726"/>
      <c r="W88" s="20"/>
      <c r="AB88" s="1730" t="s">
        <v>734</v>
      </c>
      <c r="AC88" s="1730"/>
      <c r="AD88" s="1730"/>
      <c r="AE88" s="1730"/>
      <c r="AF88" s="1730"/>
      <c r="AG88" s="1730"/>
      <c r="AH88" s="1730"/>
      <c r="AI88" s="1730"/>
      <c r="AJ88" s="1724"/>
      <c r="AK88" s="1724"/>
      <c r="AL88" s="1724"/>
      <c r="AM88" s="1724"/>
      <c r="AN88" s="1724"/>
      <c r="AO88" s="1724"/>
      <c r="AP88" s="1724"/>
      <c r="AQ88" s="1724"/>
      <c r="AR88" s="1724"/>
      <c r="AS88" s="1726">
        <f t="shared" si="1"/>
        <v>0</v>
      </c>
      <c r="AT88" s="1726"/>
      <c r="AU88" s="1726"/>
      <c r="AV88" s="1726"/>
      <c r="AW88" s="20"/>
      <c r="AX88" s="20"/>
      <c r="AY88" s="20"/>
      <c r="AZ88" s="20"/>
      <c r="BT88" s="33"/>
      <c r="BU88" s="33"/>
      <c r="BV88" s="33"/>
    </row>
    <row r="89" spans="1:74" s="19" customFormat="1" ht="15" customHeight="1">
      <c r="A89" s="34"/>
      <c r="B89" s="1730" t="s">
        <v>735</v>
      </c>
      <c r="C89" s="1730"/>
      <c r="D89" s="1730"/>
      <c r="E89" s="1730"/>
      <c r="F89" s="1730"/>
      <c r="G89" s="1730"/>
      <c r="H89" s="1730"/>
      <c r="I89" s="1730"/>
      <c r="J89" s="1724"/>
      <c r="K89" s="1724"/>
      <c r="L89" s="1724"/>
      <c r="M89" s="1724"/>
      <c r="N89" s="1724"/>
      <c r="O89" s="1724"/>
      <c r="P89" s="1724"/>
      <c r="Q89" s="1724"/>
      <c r="R89" s="1724"/>
      <c r="S89" s="1726">
        <f t="shared" si="0"/>
        <v>0</v>
      </c>
      <c r="T89" s="1726"/>
      <c r="U89" s="1726"/>
      <c r="V89" s="1726"/>
      <c r="W89" s="20"/>
      <c r="AB89" s="1730" t="s">
        <v>735</v>
      </c>
      <c r="AC89" s="1730"/>
      <c r="AD89" s="1730"/>
      <c r="AE89" s="1730"/>
      <c r="AF89" s="1730"/>
      <c r="AG89" s="1730"/>
      <c r="AH89" s="1730"/>
      <c r="AI89" s="1730"/>
      <c r="AJ89" s="1724"/>
      <c r="AK89" s="1724"/>
      <c r="AL89" s="1724"/>
      <c r="AM89" s="1724"/>
      <c r="AN89" s="1724"/>
      <c r="AO89" s="1724"/>
      <c r="AP89" s="1724"/>
      <c r="AQ89" s="1724"/>
      <c r="AR89" s="1724"/>
      <c r="AS89" s="1726">
        <f t="shared" si="1"/>
        <v>0</v>
      </c>
      <c r="AT89" s="1726"/>
      <c r="AU89" s="1726"/>
      <c r="AV89" s="1726"/>
      <c r="AW89" s="20"/>
      <c r="AX89" s="20"/>
      <c r="AY89" s="20"/>
      <c r="AZ89" s="20"/>
      <c r="BT89" s="33"/>
      <c r="BU89" s="33"/>
      <c r="BV89" s="33"/>
    </row>
    <row r="90" spans="1:74" s="19" customFormat="1">
      <c r="A90" s="34"/>
      <c r="B90" s="1730" t="s">
        <v>736</v>
      </c>
      <c r="C90" s="1730"/>
      <c r="D90" s="1730"/>
      <c r="E90" s="1730"/>
      <c r="F90" s="1730"/>
      <c r="G90" s="1730"/>
      <c r="H90" s="1730"/>
      <c r="I90" s="1730"/>
      <c r="J90" s="1724"/>
      <c r="K90" s="1724"/>
      <c r="L90" s="1724"/>
      <c r="M90" s="1724"/>
      <c r="N90" s="1724"/>
      <c r="O90" s="1724"/>
      <c r="P90" s="1724"/>
      <c r="Q90" s="1724"/>
      <c r="R90" s="1724"/>
      <c r="S90" s="1726">
        <f t="shared" si="0"/>
        <v>0</v>
      </c>
      <c r="T90" s="1726"/>
      <c r="U90" s="1726"/>
      <c r="V90" s="1726"/>
      <c r="W90" s="20"/>
      <c r="AB90" s="1730" t="s">
        <v>736</v>
      </c>
      <c r="AC90" s="1730"/>
      <c r="AD90" s="1730"/>
      <c r="AE90" s="1730"/>
      <c r="AF90" s="1730"/>
      <c r="AG90" s="1730"/>
      <c r="AH90" s="1730"/>
      <c r="AI90" s="1730"/>
      <c r="AJ90" s="1724"/>
      <c r="AK90" s="1724"/>
      <c r="AL90" s="1724"/>
      <c r="AM90" s="1724"/>
      <c r="AN90" s="1724"/>
      <c r="AO90" s="1724"/>
      <c r="AP90" s="1724"/>
      <c r="AQ90" s="1724"/>
      <c r="AR90" s="1724"/>
      <c r="AS90" s="1726">
        <f t="shared" si="1"/>
        <v>0</v>
      </c>
      <c r="AT90" s="1726"/>
      <c r="AU90" s="1726"/>
      <c r="AV90" s="1726"/>
      <c r="AW90" s="20"/>
      <c r="AX90" s="20"/>
      <c r="AY90" s="20"/>
      <c r="AZ90" s="20"/>
      <c r="BT90" s="33"/>
      <c r="BU90" s="33"/>
      <c r="BV90" s="33"/>
    </row>
    <row r="91" spans="1:74" s="19" customFormat="1">
      <c r="A91" s="34"/>
      <c r="B91" s="1730" t="s">
        <v>632</v>
      </c>
      <c r="C91" s="1730"/>
      <c r="D91" s="1730"/>
      <c r="E91" s="1730"/>
      <c r="F91" s="1730"/>
      <c r="G91" s="1730"/>
      <c r="H91" s="1730"/>
      <c r="I91" s="1730"/>
      <c r="J91" s="1724"/>
      <c r="K91" s="1724"/>
      <c r="L91" s="1724"/>
      <c r="M91" s="1724"/>
      <c r="N91" s="1724"/>
      <c r="O91" s="1724"/>
      <c r="P91" s="1724"/>
      <c r="Q91" s="1724"/>
      <c r="R91" s="1724"/>
      <c r="S91" s="1726">
        <f t="shared" si="0"/>
        <v>0</v>
      </c>
      <c r="T91" s="1726"/>
      <c r="U91" s="1726"/>
      <c r="V91" s="1726"/>
      <c r="W91" s="20"/>
      <c r="AB91" s="1730" t="s">
        <v>632</v>
      </c>
      <c r="AC91" s="1730"/>
      <c r="AD91" s="1730"/>
      <c r="AE91" s="1730"/>
      <c r="AF91" s="1730"/>
      <c r="AG91" s="1730"/>
      <c r="AH91" s="1730"/>
      <c r="AI91" s="1730"/>
      <c r="AJ91" s="1724"/>
      <c r="AK91" s="1724"/>
      <c r="AL91" s="1724"/>
      <c r="AM91" s="1724"/>
      <c r="AN91" s="1724"/>
      <c r="AO91" s="1724"/>
      <c r="AP91" s="1724"/>
      <c r="AQ91" s="1724"/>
      <c r="AR91" s="1724"/>
      <c r="AS91" s="1726">
        <f t="shared" si="1"/>
        <v>0</v>
      </c>
      <c r="AT91" s="1726"/>
      <c r="AU91" s="1726"/>
      <c r="AV91" s="1726"/>
      <c r="AW91" s="20"/>
      <c r="AX91" s="20"/>
      <c r="AY91" s="20"/>
      <c r="AZ91" s="20"/>
      <c r="BT91" s="33"/>
      <c r="BU91" s="33"/>
      <c r="BV91" s="33"/>
    </row>
    <row r="92" spans="1:74" s="19" customFormat="1">
      <c r="A92" s="34"/>
      <c r="B92" s="1729" t="s">
        <v>731</v>
      </c>
      <c r="C92" s="1729"/>
      <c r="D92" s="1729"/>
      <c r="E92" s="1729"/>
      <c r="F92" s="1729"/>
      <c r="G92" s="1729"/>
      <c r="H92" s="1729"/>
      <c r="I92" s="1729"/>
      <c r="J92" s="1729"/>
      <c r="K92" s="1729"/>
      <c r="L92" s="1729"/>
      <c r="M92" s="1729"/>
      <c r="N92" s="1729"/>
      <c r="O92" s="1729"/>
      <c r="P92" s="1729"/>
      <c r="Q92" s="1729"/>
      <c r="R92" s="1729"/>
      <c r="S92" s="1737">
        <f>SUM(S86:V91)</f>
        <v>0</v>
      </c>
      <c r="T92" s="1738"/>
      <c r="U92" s="1738"/>
      <c r="V92" s="1739"/>
      <c r="W92" s="20"/>
      <c r="AB92" s="1729" t="s">
        <v>731</v>
      </c>
      <c r="AC92" s="1729"/>
      <c r="AD92" s="1729"/>
      <c r="AE92" s="1729"/>
      <c r="AF92" s="1729"/>
      <c r="AG92" s="1729"/>
      <c r="AH92" s="1729"/>
      <c r="AI92" s="1729"/>
      <c r="AJ92" s="1729"/>
      <c r="AK92" s="1729"/>
      <c r="AL92" s="1729"/>
      <c r="AM92" s="1729"/>
      <c r="AN92" s="1729"/>
      <c r="AO92" s="1729"/>
      <c r="AP92" s="1729"/>
      <c r="AQ92" s="1729"/>
      <c r="AR92" s="1729"/>
      <c r="AS92" s="1737">
        <f>SUM(AS86:AV91)</f>
        <v>0</v>
      </c>
      <c r="AT92" s="1738"/>
      <c r="AU92" s="1738"/>
      <c r="AV92" s="1739"/>
      <c r="AW92" s="20"/>
      <c r="AX92" s="20"/>
      <c r="AY92" s="20"/>
      <c r="AZ92" s="20"/>
      <c r="BT92" s="33"/>
      <c r="BU92" s="33"/>
      <c r="BV92" s="33"/>
    </row>
    <row r="93" spans="1:74" s="19" customFormat="1">
      <c r="A93" s="34"/>
      <c r="B93" s="20"/>
      <c r="C93" s="20"/>
      <c r="D93" s="20"/>
      <c r="E93" s="20"/>
      <c r="F93" s="20"/>
      <c r="G93" s="20"/>
      <c r="H93" s="20"/>
      <c r="I93" s="20"/>
      <c r="J93" s="20"/>
      <c r="K93" s="20"/>
      <c r="L93" s="20"/>
      <c r="M93" s="20"/>
      <c r="N93" s="20"/>
      <c r="O93" s="20"/>
      <c r="P93" s="20"/>
      <c r="Q93" s="20"/>
      <c r="R93" s="20"/>
      <c r="S93" s="20"/>
      <c r="T93" s="42"/>
      <c r="U93" s="42"/>
      <c r="V93" s="42"/>
      <c r="W93" s="20"/>
      <c r="AT93" s="20"/>
      <c r="AU93" s="20"/>
      <c r="AV93" s="20"/>
      <c r="AW93" s="20"/>
      <c r="AX93" s="20"/>
      <c r="AY93" s="20"/>
      <c r="AZ93" s="20"/>
      <c r="BT93" s="33"/>
      <c r="BU93" s="33"/>
      <c r="BV93" s="33"/>
    </row>
    <row r="94" spans="1:74" s="19" customFormat="1" ht="15" customHeight="1">
      <c r="A94" s="34"/>
      <c r="B94" s="1817" t="s">
        <v>3006</v>
      </c>
      <c r="C94" s="1817"/>
      <c r="D94" s="1817"/>
      <c r="E94" s="1817"/>
      <c r="F94" s="1817"/>
      <c r="G94" s="1817"/>
      <c r="H94" s="1817"/>
      <c r="I94" s="1817"/>
      <c r="J94" s="1817"/>
      <c r="K94" s="1817"/>
      <c r="L94" s="1817"/>
      <c r="M94" s="1817"/>
      <c r="N94" s="1817"/>
      <c r="O94" s="1817"/>
      <c r="P94" s="1817"/>
      <c r="Q94" s="1817"/>
      <c r="R94" s="1817"/>
      <c r="S94" s="1817"/>
      <c r="T94" s="1817"/>
      <c r="U94" s="1817"/>
      <c r="V94" s="1817"/>
      <c r="W94" s="1817"/>
      <c r="X94" s="1817"/>
      <c r="Y94" s="1817"/>
      <c r="Z94" s="1817"/>
      <c r="AA94" s="1817"/>
      <c r="AB94" s="1817"/>
      <c r="AC94" s="1817"/>
      <c r="AD94" s="1817"/>
      <c r="AE94" s="1817"/>
      <c r="AF94" s="1817"/>
      <c r="AG94" s="1817"/>
      <c r="AH94" s="1817"/>
      <c r="AI94" s="1817"/>
      <c r="AJ94" s="1817"/>
      <c r="AK94" s="1817"/>
      <c r="AL94" s="1817"/>
      <c r="AM94" s="1817"/>
      <c r="AN94" s="1817"/>
      <c r="AO94" s="1817"/>
      <c r="AP94" s="1817"/>
      <c r="AQ94" s="1817"/>
      <c r="AR94" s="1817"/>
      <c r="AS94" s="1817"/>
      <c r="AT94" s="1817"/>
      <c r="AU94" s="20"/>
      <c r="AV94" s="20"/>
      <c r="AW94" s="20"/>
      <c r="AX94" s="20"/>
      <c r="AY94" s="20"/>
      <c r="AZ94" s="20"/>
      <c r="BT94" s="33"/>
      <c r="BU94" s="33"/>
      <c r="BV94" s="33"/>
    </row>
    <row r="95" spans="1:74" s="19" customFormat="1" ht="18.75" customHeight="1">
      <c r="A95" s="34"/>
      <c r="B95" s="51" t="s">
        <v>3007</v>
      </c>
      <c r="C95" s="41"/>
      <c r="D95" s="39"/>
      <c r="E95" s="39"/>
      <c r="F95" s="39"/>
      <c r="G95" s="39"/>
      <c r="H95" s="39"/>
      <c r="I95" s="39"/>
      <c r="J95" s="20"/>
      <c r="K95" s="20"/>
      <c r="L95" s="20"/>
      <c r="M95" s="20"/>
      <c r="N95" s="20"/>
      <c r="O95" s="20"/>
      <c r="P95" s="20"/>
      <c r="Q95" s="20"/>
      <c r="R95" s="20"/>
      <c r="S95" s="20"/>
      <c r="T95" s="20"/>
      <c r="U95" s="20"/>
      <c r="V95" s="20"/>
      <c r="W95" s="20"/>
      <c r="X95" s="20"/>
      <c r="Y95" s="20"/>
      <c r="AU95" s="20"/>
      <c r="AV95" s="20"/>
      <c r="AW95" s="20"/>
      <c r="AX95" s="20"/>
      <c r="AY95" s="20"/>
      <c r="AZ95" s="20"/>
      <c r="BT95" s="33"/>
      <c r="BU95" s="33"/>
      <c r="BV95" s="33"/>
    </row>
    <row r="96" spans="1:74" s="19" customFormat="1" ht="30.75" customHeight="1">
      <c r="A96" s="34"/>
      <c r="B96" s="1725" t="s">
        <v>640</v>
      </c>
      <c r="C96" s="1725"/>
      <c r="D96" s="1725"/>
      <c r="E96" s="1725"/>
      <c r="F96" s="1725"/>
      <c r="G96" s="1725"/>
      <c r="H96" s="1725"/>
      <c r="I96" s="1725"/>
      <c r="J96" s="1725" t="s">
        <v>641</v>
      </c>
      <c r="K96" s="1725"/>
      <c r="L96" s="1725"/>
      <c r="M96" s="1725"/>
      <c r="N96" s="1819" t="s">
        <v>642</v>
      </c>
      <c r="O96" s="1819"/>
      <c r="P96" s="1819"/>
      <c r="Q96" s="1819"/>
      <c r="R96" s="1819"/>
      <c r="S96" s="1727" t="s">
        <v>730</v>
      </c>
      <c r="T96" s="1727"/>
      <c r="U96" s="1727"/>
      <c r="V96" s="1727"/>
      <c r="W96" s="20"/>
      <c r="X96" s="20"/>
      <c r="Y96" s="20"/>
      <c r="AU96" s="20"/>
      <c r="AV96" s="20"/>
      <c r="AW96" s="20"/>
      <c r="AX96" s="20"/>
      <c r="AY96" s="20"/>
      <c r="AZ96" s="20"/>
      <c r="BT96" s="33"/>
      <c r="BU96" s="33"/>
      <c r="BV96" s="33"/>
    </row>
    <row r="97" spans="1:74" s="19" customFormat="1" ht="16.5" customHeight="1">
      <c r="A97" s="34"/>
      <c r="B97" s="1730" t="s">
        <v>3296</v>
      </c>
      <c r="C97" s="1730"/>
      <c r="D97" s="1730"/>
      <c r="E97" s="1730"/>
      <c r="F97" s="1730"/>
      <c r="G97" s="1730"/>
      <c r="H97" s="1730"/>
      <c r="I97" s="1730"/>
      <c r="J97" s="1724"/>
      <c r="K97" s="1724"/>
      <c r="L97" s="1724"/>
      <c r="M97" s="1724"/>
      <c r="N97" s="1724"/>
      <c r="O97" s="1724"/>
      <c r="P97" s="1724"/>
      <c r="Q97" s="1724"/>
      <c r="R97" s="1724"/>
      <c r="S97" s="1726">
        <f>J97*N97/1000</f>
        <v>0</v>
      </c>
      <c r="T97" s="1726"/>
      <c r="U97" s="1726"/>
      <c r="V97" s="1726"/>
      <c r="W97" s="20"/>
      <c r="AU97" s="20"/>
      <c r="AV97" s="20"/>
      <c r="AW97" s="20"/>
      <c r="AX97" s="20"/>
      <c r="AY97" s="20"/>
      <c r="AZ97" s="20"/>
      <c r="BT97" s="33"/>
      <c r="BU97" s="33"/>
      <c r="BV97" s="33"/>
    </row>
    <row r="98" spans="1:74" s="19" customFormat="1" ht="16.5" customHeight="1">
      <c r="A98" s="34"/>
      <c r="B98" s="1730" t="s">
        <v>3297</v>
      </c>
      <c r="C98" s="1730"/>
      <c r="D98" s="1730"/>
      <c r="E98" s="1730"/>
      <c r="F98" s="1730"/>
      <c r="G98" s="1730"/>
      <c r="H98" s="1730"/>
      <c r="I98" s="1730"/>
      <c r="J98" s="1724"/>
      <c r="K98" s="1724"/>
      <c r="L98" s="1724"/>
      <c r="M98" s="1724"/>
      <c r="N98" s="1724"/>
      <c r="O98" s="1724"/>
      <c r="P98" s="1724"/>
      <c r="Q98" s="1724"/>
      <c r="R98" s="1724"/>
      <c r="S98" s="1726">
        <f>J98*N98/1000</f>
        <v>0</v>
      </c>
      <c r="T98" s="1726"/>
      <c r="U98" s="1726"/>
      <c r="V98" s="1726"/>
      <c r="W98" s="20"/>
      <c r="AU98" s="20"/>
      <c r="AV98" s="20"/>
      <c r="AW98" s="20"/>
      <c r="AX98" s="20"/>
      <c r="AY98" s="20"/>
      <c r="AZ98" s="20"/>
      <c r="BT98" s="33"/>
      <c r="BU98" s="33"/>
      <c r="BV98" s="33"/>
    </row>
    <row r="99" spans="1:74" s="19" customFormat="1" ht="16.5" customHeight="1">
      <c r="A99" s="34"/>
      <c r="B99" s="1730" t="s">
        <v>703</v>
      </c>
      <c r="C99" s="1730"/>
      <c r="D99" s="1730"/>
      <c r="E99" s="1730"/>
      <c r="F99" s="1730"/>
      <c r="G99" s="1730"/>
      <c r="H99" s="1730"/>
      <c r="I99" s="1730"/>
      <c r="J99" s="1724"/>
      <c r="K99" s="1724"/>
      <c r="L99" s="1724"/>
      <c r="M99" s="1724"/>
      <c r="N99" s="1724"/>
      <c r="O99" s="1724"/>
      <c r="P99" s="1724"/>
      <c r="Q99" s="1724"/>
      <c r="R99" s="1724"/>
      <c r="S99" s="1726">
        <f>J99*N99/1000</f>
        <v>0</v>
      </c>
      <c r="T99" s="1726"/>
      <c r="U99" s="1726"/>
      <c r="V99" s="1726"/>
      <c r="W99" s="20"/>
      <c r="X99" s="20"/>
      <c r="Y99" s="20"/>
      <c r="AU99" s="20"/>
      <c r="AV99" s="20"/>
      <c r="AW99" s="20"/>
      <c r="AX99" s="20"/>
      <c r="AY99" s="20"/>
      <c r="AZ99" s="20"/>
      <c r="BT99" s="33"/>
      <c r="BU99" s="33"/>
      <c r="BV99" s="33"/>
    </row>
    <row r="100" spans="1:74" s="19" customFormat="1" ht="16.5" customHeight="1">
      <c r="A100" s="34"/>
      <c r="B100" s="1730" t="s">
        <v>728</v>
      </c>
      <c r="C100" s="1730"/>
      <c r="D100" s="1730"/>
      <c r="E100" s="1730"/>
      <c r="F100" s="1730"/>
      <c r="G100" s="1730"/>
      <c r="H100" s="1730"/>
      <c r="I100" s="1730"/>
      <c r="J100" s="1724"/>
      <c r="K100" s="1724"/>
      <c r="L100" s="1724"/>
      <c r="M100" s="1724"/>
      <c r="N100" s="1724"/>
      <c r="O100" s="1724"/>
      <c r="P100" s="1724"/>
      <c r="Q100" s="1724"/>
      <c r="R100" s="1724"/>
      <c r="S100" s="1726">
        <f>J100*N100/1000</f>
        <v>0</v>
      </c>
      <c r="T100" s="1726"/>
      <c r="U100" s="1726"/>
      <c r="V100" s="1726"/>
      <c r="W100" s="20"/>
      <c r="AU100" s="20"/>
      <c r="AV100" s="20"/>
      <c r="AW100" s="20"/>
      <c r="AX100" s="20"/>
      <c r="AY100" s="20"/>
      <c r="AZ100" s="20"/>
      <c r="BT100" s="33"/>
      <c r="BU100" s="33"/>
      <c r="BV100" s="33"/>
    </row>
    <row r="101" spans="1:74" s="19" customFormat="1" ht="16.5" customHeight="1">
      <c r="A101" s="34"/>
      <c r="B101" s="1729" t="s">
        <v>731</v>
      </c>
      <c r="C101" s="1729"/>
      <c r="D101" s="1729"/>
      <c r="E101" s="1729"/>
      <c r="F101" s="1729"/>
      <c r="G101" s="1729"/>
      <c r="H101" s="1729"/>
      <c r="I101" s="1729"/>
      <c r="J101" s="1729"/>
      <c r="K101" s="1729"/>
      <c r="L101" s="1729"/>
      <c r="M101" s="1729"/>
      <c r="N101" s="1729"/>
      <c r="O101" s="1729"/>
      <c r="P101" s="1729"/>
      <c r="Q101" s="1729"/>
      <c r="R101" s="1729"/>
      <c r="S101" s="1737">
        <f>SUM(S97:V100)</f>
        <v>0</v>
      </c>
      <c r="T101" s="1738"/>
      <c r="U101" s="1738"/>
      <c r="V101" s="1739"/>
      <c r="W101" s="20"/>
      <c r="AU101" s="20"/>
      <c r="AV101" s="20"/>
      <c r="AW101" s="20"/>
      <c r="AX101" s="20"/>
      <c r="AY101" s="20"/>
      <c r="AZ101" s="20"/>
      <c r="BT101" s="33"/>
      <c r="BU101" s="33"/>
      <c r="BV101" s="33"/>
    </row>
    <row r="102" spans="1:74" s="19" customFormat="1">
      <c r="A102" s="34"/>
      <c r="B102" s="20"/>
      <c r="C102" s="20"/>
      <c r="D102" s="20"/>
      <c r="E102" s="20"/>
      <c r="F102" s="20"/>
      <c r="G102" s="20"/>
      <c r="H102" s="20"/>
      <c r="I102" s="20"/>
      <c r="J102" s="20"/>
      <c r="K102" s="20"/>
      <c r="L102" s="20"/>
      <c r="M102" s="20"/>
      <c r="N102" s="20"/>
      <c r="O102" s="20"/>
      <c r="P102" s="20"/>
      <c r="Q102" s="20"/>
      <c r="R102" s="20"/>
      <c r="S102" s="20"/>
      <c r="T102" s="42"/>
      <c r="U102" s="42"/>
      <c r="V102" s="42"/>
      <c r="W102" s="20"/>
      <c r="AT102" s="20"/>
      <c r="AU102" s="20"/>
      <c r="AV102" s="20"/>
      <c r="AW102" s="20"/>
      <c r="AX102" s="20"/>
      <c r="AY102" s="20"/>
      <c r="AZ102" s="20"/>
      <c r="BT102" s="33"/>
      <c r="BU102" s="33"/>
      <c r="BV102" s="33"/>
    </row>
    <row r="103" spans="1:74" s="19" customFormat="1">
      <c r="A103" s="34"/>
      <c r="B103" s="51" t="s">
        <v>3008</v>
      </c>
      <c r="C103" s="20"/>
      <c r="D103" s="20"/>
      <c r="E103" s="20"/>
      <c r="F103" s="20"/>
      <c r="G103" s="20"/>
      <c r="H103" s="20"/>
      <c r="I103" s="20"/>
      <c r="J103" s="20"/>
      <c r="K103" s="20"/>
      <c r="L103" s="20"/>
      <c r="M103" s="20"/>
      <c r="N103" s="20"/>
      <c r="O103" s="20"/>
      <c r="P103" s="20"/>
      <c r="Q103" s="20"/>
      <c r="R103" s="20"/>
      <c r="S103" s="20"/>
      <c r="T103" s="20"/>
      <c r="U103" s="20"/>
      <c r="V103" s="20"/>
      <c r="W103" s="20"/>
      <c r="AT103" s="20"/>
      <c r="AU103" s="20"/>
      <c r="AV103" s="20"/>
      <c r="AW103" s="20"/>
      <c r="AX103" s="20"/>
      <c r="AY103" s="20"/>
      <c r="AZ103" s="20"/>
      <c r="BT103" s="33"/>
      <c r="BU103" s="33"/>
      <c r="BV103" s="33"/>
    </row>
    <row r="104" spans="1:74" s="19" customFormat="1" ht="26.25" customHeight="1">
      <c r="A104" s="34"/>
      <c r="B104" s="1725" t="s">
        <v>640</v>
      </c>
      <c r="C104" s="1725"/>
      <c r="D104" s="1725"/>
      <c r="E104" s="1725"/>
      <c r="F104" s="1725"/>
      <c r="G104" s="1725"/>
      <c r="H104" s="1725"/>
      <c r="I104" s="1725"/>
      <c r="J104" s="1725" t="s">
        <v>641</v>
      </c>
      <c r="K104" s="1725"/>
      <c r="L104" s="1725"/>
      <c r="M104" s="1725"/>
      <c r="N104" s="1819" t="s">
        <v>642</v>
      </c>
      <c r="O104" s="1819"/>
      <c r="P104" s="1819"/>
      <c r="Q104" s="1819"/>
      <c r="R104" s="1819"/>
      <c r="S104" s="1727" t="s">
        <v>730</v>
      </c>
      <c r="T104" s="1727"/>
      <c r="U104" s="1727"/>
      <c r="V104" s="1727"/>
      <c r="W104" s="20"/>
      <c r="AT104" s="20"/>
      <c r="AU104" s="20"/>
      <c r="AV104" s="20"/>
      <c r="AW104" s="20"/>
      <c r="AX104" s="20"/>
      <c r="AY104" s="20"/>
      <c r="AZ104" s="20"/>
      <c r="BT104" s="33"/>
      <c r="BU104" s="33"/>
      <c r="BV104" s="33"/>
    </row>
    <row r="105" spans="1:74" s="19" customFormat="1">
      <c r="A105" s="34"/>
      <c r="B105" s="1730" t="s">
        <v>732</v>
      </c>
      <c r="C105" s="1730"/>
      <c r="D105" s="1730"/>
      <c r="E105" s="1730"/>
      <c r="F105" s="1730"/>
      <c r="G105" s="1730"/>
      <c r="H105" s="1730"/>
      <c r="I105" s="1730"/>
      <c r="J105" s="1724"/>
      <c r="K105" s="1724"/>
      <c r="L105" s="1724"/>
      <c r="M105" s="1724"/>
      <c r="N105" s="1724"/>
      <c r="O105" s="1724"/>
      <c r="P105" s="1724"/>
      <c r="Q105" s="1724"/>
      <c r="R105" s="1724"/>
      <c r="S105" s="1726">
        <f t="shared" ref="S105:S110" si="2">J105*N105/1000</f>
        <v>0</v>
      </c>
      <c r="T105" s="1726"/>
      <c r="U105" s="1726"/>
      <c r="V105" s="1726"/>
      <c r="W105" s="20"/>
      <c r="AT105" s="20"/>
      <c r="AU105" s="20"/>
      <c r="AV105" s="20"/>
      <c r="AW105" s="20"/>
      <c r="AX105" s="20"/>
      <c r="AY105" s="20"/>
      <c r="AZ105" s="20"/>
      <c r="BT105" s="33"/>
      <c r="BU105" s="33"/>
      <c r="BV105" s="33"/>
    </row>
    <row r="106" spans="1:74" s="19" customFormat="1" ht="15" customHeight="1">
      <c r="A106" s="34"/>
      <c r="B106" s="1730" t="s">
        <v>733</v>
      </c>
      <c r="C106" s="1730"/>
      <c r="D106" s="1730"/>
      <c r="E106" s="1730"/>
      <c r="F106" s="1730"/>
      <c r="G106" s="1730"/>
      <c r="H106" s="1730"/>
      <c r="I106" s="1730"/>
      <c r="J106" s="1724"/>
      <c r="K106" s="1724"/>
      <c r="L106" s="1724"/>
      <c r="M106" s="1724"/>
      <c r="N106" s="1724"/>
      <c r="O106" s="1724"/>
      <c r="P106" s="1724"/>
      <c r="Q106" s="1724"/>
      <c r="R106" s="1724"/>
      <c r="S106" s="1726">
        <f t="shared" si="2"/>
        <v>0</v>
      </c>
      <c r="T106" s="1726"/>
      <c r="U106" s="1726"/>
      <c r="V106" s="1726"/>
      <c r="W106" s="20"/>
      <c r="AT106" s="20"/>
      <c r="AU106" s="20"/>
      <c r="AV106" s="20"/>
      <c r="AW106" s="20"/>
      <c r="AX106" s="20"/>
      <c r="AY106" s="20"/>
      <c r="AZ106" s="20"/>
      <c r="BT106" s="33"/>
      <c r="BU106" s="33"/>
      <c r="BV106" s="33"/>
    </row>
    <row r="107" spans="1:74" s="19" customFormat="1" ht="15" customHeight="1">
      <c r="A107" s="34"/>
      <c r="B107" s="1730" t="s">
        <v>734</v>
      </c>
      <c r="C107" s="1730"/>
      <c r="D107" s="1730"/>
      <c r="E107" s="1730"/>
      <c r="F107" s="1730"/>
      <c r="G107" s="1730"/>
      <c r="H107" s="1730"/>
      <c r="I107" s="1730"/>
      <c r="J107" s="1724"/>
      <c r="K107" s="1724"/>
      <c r="L107" s="1724"/>
      <c r="M107" s="1724"/>
      <c r="N107" s="1724"/>
      <c r="O107" s="1724"/>
      <c r="P107" s="1724"/>
      <c r="Q107" s="1724"/>
      <c r="R107" s="1724"/>
      <c r="S107" s="1726">
        <f t="shared" si="2"/>
        <v>0</v>
      </c>
      <c r="T107" s="1726"/>
      <c r="U107" s="1726"/>
      <c r="V107" s="1726"/>
      <c r="W107" s="20"/>
      <c r="AT107" s="20"/>
      <c r="AU107" s="20"/>
      <c r="AV107" s="20"/>
      <c r="AW107" s="20"/>
      <c r="AX107" s="20"/>
      <c r="AY107" s="20"/>
      <c r="AZ107" s="20"/>
      <c r="BT107" s="33"/>
      <c r="BU107" s="33"/>
      <c r="BV107" s="33"/>
    </row>
    <row r="108" spans="1:74" s="19" customFormat="1" ht="15" customHeight="1">
      <c r="A108" s="34"/>
      <c r="B108" s="1730" t="s">
        <v>735</v>
      </c>
      <c r="C108" s="1730"/>
      <c r="D108" s="1730"/>
      <c r="E108" s="1730"/>
      <c r="F108" s="1730"/>
      <c r="G108" s="1730"/>
      <c r="H108" s="1730"/>
      <c r="I108" s="1730"/>
      <c r="J108" s="1724"/>
      <c r="K108" s="1724"/>
      <c r="L108" s="1724"/>
      <c r="M108" s="1724"/>
      <c r="N108" s="1724"/>
      <c r="O108" s="1724"/>
      <c r="P108" s="1724"/>
      <c r="Q108" s="1724"/>
      <c r="R108" s="1724"/>
      <c r="S108" s="1726">
        <f t="shared" si="2"/>
        <v>0</v>
      </c>
      <c r="T108" s="1726"/>
      <c r="U108" s="1726"/>
      <c r="V108" s="1726"/>
      <c r="W108" s="20"/>
      <c r="AT108" s="20"/>
      <c r="AU108" s="20"/>
      <c r="AV108" s="20"/>
      <c r="AW108" s="20"/>
      <c r="AX108" s="20"/>
      <c r="AY108" s="20"/>
      <c r="AZ108" s="20"/>
      <c r="BT108" s="33"/>
      <c r="BU108" s="33"/>
      <c r="BV108" s="33"/>
    </row>
    <row r="109" spans="1:74" s="19" customFormat="1">
      <c r="A109" s="34"/>
      <c r="B109" s="1730" t="s">
        <v>736</v>
      </c>
      <c r="C109" s="1730"/>
      <c r="D109" s="1730"/>
      <c r="E109" s="1730"/>
      <c r="F109" s="1730"/>
      <c r="G109" s="1730"/>
      <c r="H109" s="1730"/>
      <c r="I109" s="1730"/>
      <c r="J109" s="1724"/>
      <c r="K109" s="1724"/>
      <c r="L109" s="1724"/>
      <c r="M109" s="1724"/>
      <c r="N109" s="1724"/>
      <c r="O109" s="1724"/>
      <c r="P109" s="1724"/>
      <c r="Q109" s="1724"/>
      <c r="R109" s="1724"/>
      <c r="S109" s="1726">
        <f t="shared" si="2"/>
        <v>0</v>
      </c>
      <c r="T109" s="1726"/>
      <c r="U109" s="1726"/>
      <c r="V109" s="1726"/>
      <c r="W109" s="20"/>
      <c r="AT109" s="20"/>
      <c r="AU109" s="20"/>
      <c r="AV109" s="20"/>
      <c r="AW109" s="20"/>
      <c r="AX109" s="20"/>
      <c r="AY109" s="20"/>
      <c r="AZ109" s="20"/>
      <c r="BT109" s="33"/>
      <c r="BU109" s="33"/>
      <c r="BV109" s="33"/>
    </row>
    <row r="110" spans="1:74" s="19" customFormat="1">
      <c r="A110" s="34"/>
      <c r="B110" s="1730" t="s">
        <v>632</v>
      </c>
      <c r="C110" s="1730"/>
      <c r="D110" s="1730"/>
      <c r="E110" s="1730"/>
      <c r="F110" s="1730"/>
      <c r="G110" s="1730"/>
      <c r="H110" s="1730"/>
      <c r="I110" s="1730"/>
      <c r="J110" s="1724"/>
      <c r="K110" s="1724"/>
      <c r="L110" s="1724"/>
      <c r="M110" s="1724"/>
      <c r="N110" s="1724"/>
      <c r="O110" s="1724"/>
      <c r="P110" s="1724"/>
      <c r="Q110" s="1724"/>
      <c r="R110" s="1724"/>
      <c r="S110" s="1726">
        <f t="shared" si="2"/>
        <v>0</v>
      </c>
      <c r="T110" s="1726"/>
      <c r="U110" s="1726"/>
      <c r="V110" s="1726"/>
      <c r="W110" s="20"/>
      <c r="AT110" s="20"/>
      <c r="AU110" s="20"/>
      <c r="AV110" s="20"/>
      <c r="AW110" s="20"/>
      <c r="AX110" s="20"/>
      <c r="AY110" s="20"/>
      <c r="AZ110" s="20"/>
      <c r="BT110" s="33"/>
      <c r="BU110" s="33"/>
      <c r="BV110" s="33"/>
    </row>
    <row r="111" spans="1:74" s="19" customFormat="1">
      <c r="A111" s="34"/>
      <c r="B111" s="1729" t="s">
        <v>731</v>
      </c>
      <c r="C111" s="1729"/>
      <c r="D111" s="1729"/>
      <c r="E111" s="1729"/>
      <c r="F111" s="1729"/>
      <c r="G111" s="1729"/>
      <c r="H111" s="1729"/>
      <c r="I111" s="1729"/>
      <c r="J111" s="1729"/>
      <c r="K111" s="1729"/>
      <c r="L111" s="1729"/>
      <c r="M111" s="1729"/>
      <c r="N111" s="1729"/>
      <c r="O111" s="1729"/>
      <c r="P111" s="1729"/>
      <c r="Q111" s="1729"/>
      <c r="R111" s="1729"/>
      <c r="S111" s="1737">
        <f>SUM(S105:V110)</f>
        <v>0</v>
      </c>
      <c r="T111" s="1738"/>
      <c r="U111" s="1738"/>
      <c r="V111" s="1739"/>
      <c r="W111" s="20"/>
      <c r="AT111" s="20"/>
      <c r="AU111" s="20"/>
      <c r="AV111" s="20"/>
      <c r="AW111" s="20"/>
      <c r="AX111" s="20"/>
      <c r="AY111" s="20"/>
      <c r="AZ111" s="20"/>
      <c r="BT111" s="33"/>
      <c r="BU111" s="33"/>
      <c r="BV111" s="33"/>
    </row>
    <row r="112" spans="1:74" s="19" customFormat="1">
      <c r="A112" s="34"/>
      <c r="B112" s="41"/>
      <c r="C112" s="41"/>
      <c r="D112" s="39"/>
      <c r="E112" s="39"/>
      <c r="F112" s="39"/>
      <c r="G112" s="39"/>
      <c r="H112" s="39"/>
      <c r="I112" s="39"/>
      <c r="J112" s="20"/>
      <c r="K112" s="20"/>
      <c r="L112" s="20"/>
      <c r="M112" s="20"/>
      <c r="N112" s="20"/>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20"/>
      <c r="AM112" s="20"/>
      <c r="AN112" s="20"/>
      <c r="AO112" s="20"/>
      <c r="AP112" s="20"/>
      <c r="AQ112" s="20"/>
      <c r="AR112" s="20"/>
      <c r="AS112" s="20"/>
      <c r="AT112" s="20"/>
      <c r="AU112" s="20"/>
      <c r="AV112" s="20"/>
      <c r="AW112" s="20"/>
      <c r="AX112" s="20"/>
      <c r="AY112" s="20"/>
      <c r="AZ112" s="20"/>
      <c r="BT112" s="33"/>
      <c r="BU112" s="33"/>
      <c r="BV112" s="33"/>
    </row>
    <row r="113" spans="1:74" s="19" customFormat="1">
      <c r="A113" s="34"/>
      <c r="B113" s="35" t="s">
        <v>747</v>
      </c>
      <c r="C113" s="41"/>
      <c r="D113" s="39"/>
      <c r="E113" s="39"/>
      <c r="F113" s="39"/>
      <c r="G113" s="39"/>
      <c r="H113" s="39"/>
      <c r="I113" s="39"/>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20"/>
      <c r="AM113" s="20"/>
      <c r="AN113" s="20"/>
      <c r="AO113" s="20"/>
      <c r="AP113" s="20"/>
      <c r="AQ113" s="20"/>
      <c r="AR113" s="20"/>
      <c r="AS113" s="20"/>
      <c r="AT113" s="20"/>
      <c r="AU113" s="20"/>
      <c r="AV113" s="20"/>
      <c r="AW113" s="20"/>
      <c r="AX113" s="20"/>
      <c r="AY113" s="20"/>
      <c r="AZ113" s="20"/>
      <c r="BT113" s="33"/>
      <c r="BU113" s="33"/>
      <c r="BV113" s="33"/>
    </row>
    <row r="114" spans="1:74" s="19" customFormat="1">
      <c r="A114" s="34"/>
      <c r="B114" s="41"/>
      <c r="C114" s="41"/>
      <c r="D114" s="39"/>
      <c r="E114" s="39"/>
      <c r="F114" s="39"/>
      <c r="G114" s="39"/>
      <c r="H114" s="39"/>
      <c r="I114" s="39"/>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20"/>
      <c r="AM114" s="20"/>
      <c r="AN114" s="20"/>
      <c r="AO114" s="20"/>
      <c r="AP114" s="20"/>
      <c r="AQ114" s="20"/>
      <c r="AR114" s="20"/>
      <c r="AS114" s="20"/>
      <c r="AT114" s="20"/>
      <c r="AU114" s="20"/>
      <c r="AV114" s="20"/>
      <c r="AW114" s="20"/>
      <c r="AX114" s="20"/>
      <c r="AY114" s="20"/>
      <c r="AZ114" s="20"/>
      <c r="BT114" s="33"/>
      <c r="BU114" s="33"/>
      <c r="BV114" s="33"/>
    </row>
    <row r="115" spans="1:74" s="19" customFormat="1">
      <c r="A115" s="34"/>
      <c r="B115" s="44" t="s">
        <v>643</v>
      </c>
      <c r="C115" s="39"/>
      <c r="D115" s="39"/>
      <c r="E115" s="39"/>
      <c r="F115" s="39"/>
      <c r="G115" s="39"/>
      <c r="H115" s="39"/>
      <c r="I115" s="39"/>
      <c r="J115" s="39"/>
      <c r="K115" s="39"/>
      <c r="L115" s="39"/>
      <c r="M115" s="39"/>
      <c r="N115" s="39"/>
      <c r="O115" s="39"/>
      <c r="P115" s="39"/>
      <c r="Q115" s="39"/>
      <c r="R115" s="39"/>
      <c r="S115" s="20"/>
      <c r="T115" s="20"/>
      <c r="U115" s="20"/>
      <c r="V115" s="20"/>
      <c r="W115" s="20"/>
      <c r="X115" s="20"/>
      <c r="Y115" s="20"/>
      <c r="Z115" s="20"/>
      <c r="AA115" s="20"/>
      <c r="AB115" s="20"/>
      <c r="AC115" s="20"/>
      <c r="AD115" s="20"/>
      <c r="AE115" s="20"/>
      <c r="AF115" s="20"/>
      <c r="AG115" s="20"/>
      <c r="AH115" s="20"/>
      <c r="AI115" s="20"/>
      <c r="AJ115" s="20"/>
      <c r="AK115" s="20"/>
      <c r="AL115" s="20"/>
      <c r="AM115" s="20"/>
      <c r="AN115" s="20"/>
      <c r="AO115" s="20"/>
      <c r="AP115" s="20"/>
      <c r="AQ115" s="20"/>
      <c r="AR115" s="20"/>
      <c r="AS115" s="20"/>
      <c r="AT115" s="20"/>
      <c r="AU115" s="20"/>
      <c r="AV115" s="20"/>
      <c r="AW115" s="20"/>
      <c r="AX115" s="20"/>
      <c r="AY115" s="20"/>
      <c r="AZ115" s="20"/>
      <c r="BT115" s="33"/>
      <c r="BU115" s="33"/>
      <c r="BV115" s="33"/>
    </row>
    <row r="116" spans="1:74" s="19" customFormat="1" ht="9" customHeight="1">
      <c r="A116" s="34"/>
      <c r="B116" s="43"/>
      <c r="C116" s="43"/>
      <c r="D116" s="39"/>
      <c r="E116" s="39"/>
      <c r="F116" s="39"/>
      <c r="G116" s="39"/>
      <c r="H116" s="39"/>
      <c r="I116" s="39"/>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20"/>
      <c r="AM116" s="20"/>
      <c r="AN116" s="20"/>
      <c r="AO116" s="20"/>
      <c r="AP116" s="20"/>
      <c r="AQ116" s="20"/>
      <c r="AR116" s="20"/>
      <c r="AS116" s="20"/>
      <c r="AT116" s="20"/>
      <c r="AU116" s="20"/>
      <c r="AV116" s="20"/>
      <c r="AW116" s="20"/>
      <c r="AX116" s="20"/>
      <c r="AY116" s="20"/>
      <c r="AZ116" s="20"/>
      <c r="BT116" s="33"/>
      <c r="BU116" s="33"/>
      <c r="BV116" s="33"/>
    </row>
    <row r="117" spans="1:74" s="19" customFormat="1" ht="66" customHeight="1">
      <c r="A117" s="34"/>
      <c r="B117" s="1725" t="s">
        <v>3009</v>
      </c>
      <c r="C117" s="1725"/>
      <c r="D117" s="1725"/>
      <c r="E117" s="1725"/>
      <c r="F117" s="1725"/>
      <c r="G117" s="1725" t="s">
        <v>644</v>
      </c>
      <c r="H117" s="1725"/>
      <c r="I117" s="1725"/>
      <c r="J117" s="1725"/>
      <c r="K117" s="1725" t="s">
        <v>838</v>
      </c>
      <c r="L117" s="1725"/>
      <c r="M117" s="1725"/>
      <c r="N117" s="1725"/>
      <c r="O117" s="1725"/>
      <c r="P117" s="1725"/>
      <c r="Q117" s="1725" t="s">
        <v>645</v>
      </c>
      <c r="R117" s="1725"/>
      <c r="S117" s="1725"/>
      <c r="T117" s="1725"/>
      <c r="U117" s="1725"/>
      <c r="V117" s="1725"/>
      <c r="W117" s="1725" t="s">
        <v>646</v>
      </c>
      <c r="X117" s="1725"/>
      <c r="Y117" s="1725"/>
      <c r="Z117" s="1725"/>
      <c r="AA117" s="1725" t="s">
        <v>647</v>
      </c>
      <c r="AB117" s="1725"/>
      <c r="AC117" s="1725"/>
      <c r="AD117" s="1725"/>
      <c r="AE117" s="1725"/>
      <c r="AF117" s="1725" t="s">
        <v>648</v>
      </c>
      <c r="AG117" s="1725"/>
      <c r="AH117" s="1725"/>
      <c r="AI117" s="1725" t="s">
        <v>649</v>
      </c>
      <c r="AJ117" s="1725"/>
      <c r="AK117" s="1725"/>
      <c r="AL117" s="1725" t="s">
        <v>650</v>
      </c>
      <c r="AM117" s="1725"/>
      <c r="AN117" s="1725"/>
      <c r="AO117" s="1725" t="s">
        <v>651</v>
      </c>
      <c r="AP117" s="1725"/>
      <c r="AQ117" s="1725"/>
      <c r="AR117" s="1725"/>
      <c r="AS117" s="1725"/>
      <c r="AT117" s="1725" t="s">
        <v>652</v>
      </c>
      <c r="AU117" s="1725"/>
      <c r="AV117" s="1725"/>
      <c r="AW117" s="1725"/>
      <c r="AX117" s="1725"/>
      <c r="AY117" s="1725"/>
      <c r="AZ117" s="1725"/>
      <c r="BT117" s="33"/>
      <c r="BU117" s="33"/>
      <c r="BV117" s="33"/>
    </row>
    <row r="118" spans="1:74" s="19" customFormat="1" ht="27" customHeight="1">
      <c r="A118" s="34"/>
      <c r="B118" s="1704"/>
      <c r="C118" s="1704"/>
      <c r="D118" s="1704"/>
      <c r="E118" s="1704"/>
      <c r="F118" s="1704"/>
      <c r="G118" s="1733"/>
      <c r="H118" s="1733"/>
      <c r="I118" s="1733"/>
      <c r="J118" s="1733"/>
      <c r="K118" s="1732"/>
      <c r="L118" s="1732"/>
      <c r="M118" s="1732"/>
      <c r="N118" s="1732"/>
      <c r="O118" s="1732"/>
      <c r="P118" s="1732"/>
      <c r="Q118" s="1729">
        <f>IF(G118="",0,IF(ISNUMBER(FIND("Compactador",G118)),0.5,$Q$26/1000))</f>
        <v>0</v>
      </c>
      <c r="R118" s="1729"/>
      <c r="S118" s="1729"/>
      <c r="T118" s="1729"/>
      <c r="U118" s="1729"/>
      <c r="V118" s="1729"/>
      <c r="W118" s="1736">
        <v>0.9</v>
      </c>
      <c r="X118" s="1736"/>
      <c r="Y118" s="1736"/>
      <c r="Z118" s="1736"/>
      <c r="AA118" s="1731">
        <f>+K118*Q118*W118</f>
        <v>0</v>
      </c>
      <c r="AB118" s="1731"/>
      <c r="AC118" s="1731"/>
      <c r="AD118" s="1731"/>
      <c r="AE118" s="1731"/>
      <c r="AF118" s="1732"/>
      <c r="AG118" s="1732"/>
      <c r="AH118" s="1732"/>
      <c r="AI118" s="1732"/>
      <c r="AJ118" s="1732"/>
      <c r="AK118" s="1732"/>
      <c r="AL118" s="1732"/>
      <c r="AM118" s="1732"/>
      <c r="AN118" s="1732"/>
      <c r="AO118" s="1732"/>
      <c r="AP118" s="1732"/>
      <c r="AQ118" s="1732"/>
      <c r="AR118" s="1732"/>
      <c r="AS118" s="1732"/>
      <c r="AT118" s="1731">
        <f>IF(B118&gt;5,0,+AA118*AF118*AI118*AL118*AO118/7)</f>
        <v>0</v>
      </c>
      <c r="AU118" s="1731"/>
      <c r="AV118" s="1731"/>
      <c r="AW118" s="1731"/>
      <c r="AX118" s="1731"/>
      <c r="AY118" s="1731"/>
      <c r="AZ118" s="1731"/>
      <c r="BT118" s="33"/>
      <c r="BU118" s="33"/>
      <c r="BV118" s="33"/>
    </row>
    <row r="119" spans="1:74" s="19" customFormat="1" ht="27" customHeight="1">
      <c r="A119" s="34"/>
      <c r="B119" s="1704"/>
      <c r="C119" s="1704"/>
      <c r="D119" s="1704"/>
      <c r="E119" s="1704"/>
      <c r="F119" s="1704"/>
      <c r="G119" s="1733"/>
      <c r="H119" s="1733"/>
      <c r="I119" s="1733"/>
      <c r="J119" s="1733"/>
      <c r="K119" s="1732"/>
      <c r="L119" s="1732"/>
      <c r="M119" s="1732"/>
      <c r="N119" s="1732"/>
      <c r="O119" s="1732"/>
      <c r="P119" s="1732"/>
      <c r="Q119" s="1729">
        <f t="shared" ref="Q119:Q127" si="3">IF(G119="",0,IF(ISNUMBER(FIND("Compactador",G119)),0.5,$Q$26/1000))</f>
        <v>0</v>
      </c>
      <c r="R119" s="1729"/>
      <c r="S119" s="1729"/>
      <c r="T119" s="1729"/>
      <c r="U119" s="1729"/>
      <c r="V119" s="1729"/>
      <c r="W119" s="1736">
        <v>0.9</v>
      </c>
      <c r="X119" s="1736"/>
      <c r="Y119" s="1736"/>
      <c r="Z119" s="1736"/>
      <c r="AA119" s="1731">
        <f t="shared" ref="AA119:AA127" si="4">+K119*Q119*W119</f>
        <v>0</v>
      </c>
      <c r="AB119" s="1731"/>
      <c r="AC119" s="1731"/>
      <c r="AD119" s="1731"/>
      <c r="AE119" s="1731"/>
      <c r="AF119" s="1732"/>
      <c r="AG119" s="1732"/>
      <c r="AH119" s="1732"/>
      <c r="AI119" s="1732"/>
      <c r="AJ119" s="1732"/>
      <c r="AK119" s="1732"/>
      <c r="AL119" s="1732"/>
      <c r="AM119" s="1732"/>
      <c r="AN119" s="1732"/>
      <c r="AO119" s="1732"/>
      <c r="AP119" s="1732"/>
      <c r="AQ119" s="1732"/>
      <c r="AR119" s="1732"/>
      <c r="AS119" s="1732"/>
      <c r="AT119" s="1731">
        <f t="shared" ref="AT119:AT127" si="5">IF(B119&gt;5,0,+AA119*AF119*AI119*AL119*AO119/7)</f>
        <v>0</v>
      </c>
      <c r="AU119" s="1731"/>
      <c r="AV119" s="1731"/>
      <c r="AW119" s="1731"/>
      <c r="AX119" s="1731"/>
      <c r="AY119" s="1731"/>
      <c r="AZ119" s="1731"/>
      <c r="BT119" s="33"/>
      <c r="BU119" s="33"/>
      <c r="BV119" s="33"/>
    </row>
    <row r="120" spans="1:74" s="19" customFormat="1" ht="27" customHeight="1">
      <c r="A120" s="34"/>
      <c r="B120" s="1704"/>
      <c r="C120" s="1704"/>
      <c r="D120" s="1704"/>
      <c r="E120" s="1704"/>
      <c r="F120" s="1704"/>
      <c r="G120" s="1733"/>
      <c r="H120" s="1733"/>
      <c r="I120" s="1733"/>
      <c r="J120" s="1733"/>
      <c r="K120" s="1732"/>
      <c r="L120" s="1732"/>
      <c r="M120" s="1732"/>
      <c r="N120" s="1732"/>
      <c r="O120" s="1732"/>
      <c r="P120" s="1732"/>
      <c r="Q120" s="1729">
        <f t="shared" si="3"/>
        <v>0</v>
      </c>
      <c r="R120" s="1729"/>
      <c r="S120" s="1729"/>
      <c r="T120" s="1729"/>
      <c r="U120" s="1729"/>
      <c r="V120" s="1729"/>
      <c r="W120" s="1736">
        <v>0.9</v>
      </c>
      <c r="X120" s="1736"/>
      <c r="Y120" s="1736"/>
      <c r="Z120" s="1736"/>
      <c r="AA120" s="1731">
        <f t="shared" si="4"/>
        <v>0</v>
      </c>
      <c r="AB120" s="1731"/>
      <c r="AC120" s="1731"/>
      <c r="AD120" s="1731"/>
      <c r="AE120" s="1731"/>
      <c r="AF120" s="1732"/>
      <c r="AG120" s="1732"/>
      <c r="AH120" s="1732"/>
      <c r="AI120" s="1732"/>
      <c r="AJ120" s="1732"/>
      <c r="AK120" s="1732"/>
      <c r="AL120" s="1732"/>
      <c r="AM120" s="1732"/>
      <c r="AN120" s="1732"/>
      <c r="AO120" s="1732"/>
      <c r="AP120" s="1732"/>
      <c r="AQ120" s="1732"/>
      <c r="AR120" s="1732"/>
      <c r="AS120" s="1732"/>
      <c r="AT120" s="1731">
        <f t="shared" si="5"/>
        <v>0</v>
      </c>
      <c r="AU120" s="1731"/>
      <c r="AV120" s="1731"/>
      <c r="AW120" s="1731"/>
      <c r="AX120" s="1731"/>
      <c r="AY120" s="1731"/>
      <c r="AZ120" s="1731"/>
      <c r="BT120" s="33"/>
      <c r="BU120" s="33"/>
      <c r="BV120" s="33"/>
    </row>
    <row r="121" spans="1:74" s="19" customFormat="1" ht="27" customHeight="1">
      <c r="A121" s="34"/>
      <c r="B121" s="1704"/>
      <c r="C121" s="1704"/>
      <c r="D121" s="1704"/>
      <c r="E121" s="1704"/>
      <c r="F121" s="1704"/>
      <c r="G121" s="1733"/>
      <c r="H121" s="1733"/>
      <c r="I121" s="1733"/>
      <c r="J121" s="1733"/>
      <c r="K121" s="1732"/>
      <c r="L121" s="1732"/>
      <c r="M121" s="1732"/>
      <c r="N121" s="1732"/>
      <c r="O121" s="1732"/>
      <c r="P121" s="1732"/>
      <c r="Q121" s="1729">
        <f t="shared" si="3"/>
        <v>0</v>
      </c>
      <c r="R121" s="1729"/>
      <c r="S121" s="1729"/>
      <c r="T121" s="1729"/>
      <c r="U121" s="1729"/>
      <c r="V121" s="1729"/>
      <c r="W121" s="1736">
        <v>0.9</v>
      </c>
      <c r="X121" s="1736"/>
      <c r="Y121" s="1736"/>
      <c r="Z121" s="1736"/>
      <c r="AA121" s="1731">
        <f t="shared" si="4"/>
        <v>0</v>
      </c>
      <c r="AB121" s="1731"/>
      <c r="AC121" s="1731"/>
      <c r="AD121" s="1731"/>
      <c r="AE121" s="1731"/>
      <c r="AF121" s="1732"/>
      <c r="AG121" s="1732"/>
      <c r="AH121" s="1732"/>
      <c r="AI121" s="1732"/>
      <c r="AJ121" s="1732"/>
      <c r="AK121" s="1732"/>
      <c r="AL121" s="1732"/>
      <c r="AM121" s="1732"/>
      <c r="AN121" s="1732"/>
      <c r="AO121" s="1732"/>
      <c r="AP121" s="1732"/>
      <c r="AQ121" s="1732"/>
      <c r="AR121" s="1732"/>
      <c r="AS121" s="1732"/>
      <c r="AT121" s="1731">
        <f t="shared" si="5"/>
        <v>0</v>
      </c>
      <c r="AU121" s="1731"/>
      <c r="AV121" s="1731"/>
      <c r="AW121" s="1731"/>
      <c r="AX121" s="1731"/>
      <c r="AY121" s="1731"/>
      <c r="AZ121" s="1731"/>
      <c r="BT121" s="33"/>
      <c r="BU121" s="33"/>
      <c r="BV121" s="33"/>
    </row>
    <row r="122" spans="1:74" s="19" customFormat="1" ht="27" customHeight="1">
      <c r="A122" s="34"/>
      <c r="B122" s="1704"/>
      <c r="C122" s="1704"/>
      <c r="D122" s="1704"/>
      <c r="E122" s="1704"/>
      <c r="F122" s="1704"/>
      <c r="G122" s="1733"/>
      <c r="H122" s="1733"/>
      <c r="I122" s="1733"/>
      <c r="J122" s="1733"/>
      <c r="K122" s="1732"/>
      <c r="L122" s="1732"/>
      <c r="M122" s="1732"/>
      <c r="N122" s="1732"/>
      <c r="O122" s="1732"/>
      <c r="P122" s="1732"/>
      <c r="Q122" s="1729">
        <f t="shared" si="3"/>
        <v>0</v>
      </c>
      <c r="R122" s="1729"/>
      <c r="S122" s="1729"/>
      <c r="T122" s="1729"/>
      <c r="U122" s="1729"/>
      <c r="V122" s="1729"/>
      <c r="W122" s="1736">
        <v>0.9</v>
      </c>
      <c r="X122" s="1736"/>
      <c r="Y122" s="1736"/>
      <c r="Z122" s="1736"/>
      <c r="AA122" s="1731">
        <f t="shared" si="4"/>
        <v>0</v>
      </c>
      <c r="AB122" s="1731"/>
      <c r="AC122" s="1731"/>
      <c r="AD122" s="1731"/>
      <c r="AE122" s="1731"/>
      <c r="AF122" s="1732"/>
      <c r="AG122" s="1732"/>
      <c r="AH122" s="1732"/>
      <c r="AI122" s="1732"/>
      <c r="AJ122" s="1732"/>
      <c r="AK122" s="1732"/>
      <c r="AL122" s="1732"/>
      <c r="AM122" s="1732"/>
      <c r="AN122" s="1732"/>
      <c r="AO122" s="1732"/>
      <c r="AP122" s="1732"/>
      <c r="AQ122" s="1732"/>
      <c r="AR122" s="1732"/>
      <c r="AS122" s="1732"/>
      <c r="AT122" s="1731">
        <f t="shared" si="5"/>
        <v>0</v>
      </c>
      <c r="AU122" s="1731"/>
      <c r="AV122" s="1731"/>
      <c r="AW122" s="1731"/>
      <c r="AX122" s="1731"/>
      <c r="AY122" s="1731"/>
      <c r="AZ122" s="1731"/>
      <c r="BT122" s="33"/>
      <c r="BU122" s="33"/>
      <c r="BV122" s="33"/>
    </row>
    <row r="123" spans="1:74" s="19" customFormat="1" ht="27" customHeight="1">
      <c r="A123" s="34"/>
      <c r="B123" s="1704"/>
      <c r="C123" s="1704"/>
      <c r="D123" s="1704"/>
      <c r="E123" s="1704"/>
      <c r="F123" s="1704"/>
      <c r="G123" s="1733"/>
      <c r="H123" s="1733"/>
      <c r="I123" s="1733"/>
      <c r="J123" s="1733"/>
      <c r="K123" s="1732"/>
      <c r="L123" s="1732"/>
      <c r="M123" s="1732"/>
      <c r="N123" s="1732"/>
      <c r="O123" s="1732"/>
      <c r="P123" s="1732"/>
      <c r="Q123" s="1729">
        <f t="shared" si="3"/>
        <v>0</v>
      </c>
      <c r="R123" s="1729"/>
      <c r="S123" s="1729"/>
      <c r="T123" s="1729"/>
      <c r="U123" s="1729"/>
      <c r="V123" s="1729"/>
      <c r="W123" s="1736">
        <v>0.9</v>
      </c>
      <c r="X123" s="1736"/>
      <c r="Y123" s="1736"/>
      <c r="Z123" s="1736"/>
      <c r="AA123" s="1731">
        <f t="shared" si="4"/>
        <v>0</v>
      </c>
      <c r="AB123" s="1731"/>
      <c r="AC123" s="1731"/>
      <c r="AD123" s="1731"/>
      <c r="AE123" s="1731"/>
      <c r="AF123" s="1732"/>
      <c r="AG123" s="1732"/>
      <c r="AH123" s="1732"/>
      <c r="AI123" s="1732"/>
      <c r="AJ123" s="1732"/>
      <c r="AK123" s="1732"/>
      <c r="AL123" s="1732"/>
      <c r="AM123" s="1732"/>
      <c r="AN123" s="1732"/>
      <c r="AO123" s="1732"/>
      <c r="AP123" s="1732"/>
      <c r="AQ123" s="1732"/>
      <c r="AR123" s="1732"/>
      <c r="AS123" s="1732"/>
      <c r="AT123" s="1731">
        <f t="shared" si="5"/>
        <v>0</v>
      </c>
      <c r="AU123" s="1731"/>
      <c r="AV123" s="1731"/>
      <c r="AW123" s="1731"/>
      <c r="AX123" s="1731"/>
      <c r="AY123" s="1731"/>
      <c r="AZ123" s="1731"/>
      <c r="BT123" s="33"/>
      <c r="BU123" s="33"/>
      <c r="BV123" s="33"/>
    </row>
    <row r="124" spans="1:74" s="19" customFormat="1" ht="27" customHeight="1">
      <c r="A124" s="34"/>
      <c r="B124" s="1704"/>
      <c r="C124" s="1704"/>
      <c r="D124" s="1704"/>
      <c r="E124" s="1704"/>
      <c r="F124" s="1704"/>
      <c r="G124" s="1733"/>
      <c r="H124" s="1733"/>
      <c r="I124" s="1733"/>
      <c r="J124" s="1733"/>
      <c r="K124" s="1732"/>
      <c r="L124" s="1732"/>
      <c r="M124" s="1732"/>
      <c r="N124" s="1732"/>
      <c r="O124" s="1732"/>
      <c r="P124" s="1732"/>
      <c r="Q124" s="1729">
        <f t="shared" si="3"/>
        <v>0</v>
      </c>
      <c r="R124" s="1729"/>
      <c r="S124" s="1729"/>
      <c r="T124" s="1729"/>
      <c r="U124" s="1729"/>
      <c r="V124" s="1729"/>
      <c r="W124" s="1736">
        <v>0.9</v>
      </c>
      <c r="X124" s="1736"/>
      <c r="Y124" s="1736"/>
      <c r="Z124" s="1736"/>
      <c r="AA124" s="1731">
        <f t="shared" si="4"/>
        <v>0</v>
      </c>
      <c r="AB124" s="1731"/>
      <c r="AC124" s="1731"/>
      <c r="AD124" s="1731"/>
      <c r="AE124" s="1731"/>
      <c r="AF124" s="1732"/>
      <c r="AG124" s="1732"/>
      <c r="AH124" s="1732"/>
      <c r="AI124" s="1732"/>
      <c r="AJ124" s="1732"/>
      <c r="AK124" s="1732"/>
      <c r="AL124" s="1732"/>
      <c r="AM124" s="1732"/>
      <c r="AN124" s="1732"/>
      <c r="AO124" s="1732"/>
      <c r="AP124" s="1732"/>
      <c r="AQ124" s="1732"/>
      <c r="AR124" s="1732"/>
      <c r="AS124" s="1732"/>
      <c r="AT124" s="1731">
        <f t="shared" si="5"/>
        <v>0</v>
      </c>
      <c r="AU124" s="1731"/>
      <c r="AV124" s="1731"/>
      <c r="AW124" s="1731"/>
      <c r="AX124" s="1731"/>
      <c r="AY124" s="1731"/>
      <c r="AZ124" s="1731"/>
      <c r="BT124" s="33"/>
      <c r="BU124" s="33"/>
      <c r="BV124" s="33"/>
    </row>
    <row r="125" spans="1:74" s="19" customFormat="1" ht="27" customHeight="1">
      <c r="A125" s="34"/>
      <c r="B125" s="1704"/>
      <c r="C125" s="1704"/>
      <c r="D125" s="1704"/>
      <c r="E125" s="1704"/>
      <c r="F125" s="1704"/>
      <c r="G125" s="1733"/>
      <c r="H125" s="1733"/>
      <c r="I125" s="1733"/>
      <c r="J125" s="1733"/>
      <c r="K125" s="1732"/>
      <c r="L125" s="1732"/>
      <c r="M125" s="1732"/>
      <c r="N125" s="1732"/>
      <c r="O125" s="1732"/>
      <c r="P125" s="1732"/>
      <c r="Q125" s="1729">
        <f t="shared" si="3"/>
        <v>0</v>
      </c>
      <c r="R125" s="1729"/>
      <c r="S125" s="1729"/>
      <c r="T125" s="1729"/>
      <c r="U125" s="1729"/>
      <c r="V125" s="1729"/>
      <c r="W125" s="1736">
        <v>0.9</v>
      </c>
      <c r="X125" s="1736"/>
      <c r="Y125" s="1736"/>
      <c r="Z125" s="1736"/>
      <c r="AA125" s="1731">
        <f t="shared" si="4"/>
        <v>0</v>
      </c>
      <c r="AB125" s="1731"/>
      <c r="AC125" s="1731"/>
      <c r="AD125" s="1731"/>
      <c r="AE125" s="1731"/>
      <c r="AF125" s="1732"/>
      <c r="AG125" s="1732"/>
      <c r="AH125" s="1732"/>
      <c r="AI125" s="1732"/>
      <c r="AJ125" s="1732"/>
      <c r="AK125" s="1732"/>
      <c r="AL125" s="1732"/>
      <c r="AM125" s="1732"/>
      <c r="AN125" s="1732"/>
      <c r="AO125" s="1732"/>
      <c r="AP125" s="1732"/>
      <c r="AQ125" s="1732"/>
      <c r="AR125" s="1732"/>
      <c r="AS125" s="1732"/>
      <c r="AT125" s="1731">
        <f t="shared" si="5"/>
        <v>0</v>
      </c>
      <c r="AU125" s="1731"/>
      <c r="AV125" s="1731"/>
      <c r="AW125" s="1731"/>
      <c r="AX125" s="1731"/>
      <c r="AY125" s="1731"/>
      <c r="AZ125" s="1731"/>
      <c r="BT125" s="33"/>
      <c r="BU125" s="33"/>
      <c r="BV125" s="33"/>
    </row>
    <row r="126" spans="1:74" s="19" customFormat="1" ht="27" customHeight="1">
      <c r="A126" s="34"/>
      <c r="B126" s="1704"/>
      <c r="C126" s="1704"/>
      <c r="D126" s="1704"/>
      <c r="E126" s="1704"/>
      <c r="F126" s="1704"/>
      <c r="G126" s="1733"/>
      <c r="H126" s="1733"/>
      <c r="I126" s="1733"/>
      <c r="J126" s="1733"/>
      <c r="K126" s="1732"/>
      <c r="L126" s="1732"/>
      <c r="M126" s="1732"/>
      <c r="N126" s="1732"/>
      <c r="O126" s="1732"/>
      <c r="P126" s="1732"/>
      <c r="Q126" s="1729">
        <f t="shared" si="3"/>
        <v>0</v>
      </c>
      <c r="R126" s="1729"/>
      <c r="S126" s="1729"/>
      <c r="T126" s="1729"/>
      <c r="U126" s="1729"/>
      <c r="V126" s="1729"/>
      <c r="W126" s="1736">
        <v>0.9</v>
      </c>
      <c r="X126" s="1736"/>
      <c r="Y126" s="1736"/>
      <c r="Z126" s="1736"/>
      <c r="AA126" s="1731">
        <f t="shared" si="4"/>
        <v>0</v>
      </c>
      <c r="AB126" s="1731"/>
      <c r="AC126" s="1731"/>
      <c r="AD126" s="1731"/>
      <c r="AE126" s="1731"/>
      <c r="AF126" s="1732"/>
      <c r="AG126" s="1732"/>
      <c r="AH126" s="1732"/>
      <c r="AI126" s="1732"/>
      <c r="AJ126" s="1732"/>
      <c r="AK126" s="1732"/>
      <c r="AL126" s="1732"/>
      <c r="AM126" s="1732"/>
      <c r="AN126" s="1732"/>
      <c r="AO126" s="1732"/>
      <c r="AP126" s="1732"/>
      <c r="AQ126" s="1732"/>
      <c r="AR126" s="1732"/>
      <c r="AS126" s="1732"/>
      <c r="AT126" s="1731">
        <f t="shared" si="5"/>
        <v>0</v>
      </c>
      <c r="AU126" s="1731"/>
      <c r="AV126" s="1731"/>
      <c r="AW126" s="1731"/>
      <c r="AX126" s="1731"/>
      <c r="AY126" s="1731"/>
      <c r="AZ126" s="1731"/>
      <c r="BT126" s="33"/>
      <c r="BU126" s="33"/>
      <c r="BV126" s="33"/>
    </row>
    <row r="127" spans="1:74" s="19" customFormat="1" ht="27" customHeight="1">
      <c r="A127" s="34"/>
      <c r="B127" s="1704"/>
      <c r="C127" s="1704"/>
      <c r="D127" s="1704"/>
      <c r="E127" s="1704"/>
      <c r="F127" s="1704"/>
      <c r="G127" s="1733"/>
      <c r="H127" s="1733"/>
      <c r="I127" s="1733"/>
      <c r="J127" s="1733"/>
      <c r="K127" s="1732"/>
      <c r="L127" s="1732"/>
      <c r="M127" s="1732"/>
      <c r="N127" s="1732"/>
      <c r="O127" s="1732"/>
      <c r="P127" s="1732"/>
      <c r="Q127" s="1729">
        <f t="shared" si="3"/>
        <v>0</v>
      </c>
      <c r="R127" s="1729"/>
      <c r="S127" s="1729"/>
      <c r="T127" s="1729"/>
      <c r="U127" s="1729"/>
      <c r="V127" s="1729"/>
      <c r="W127" s="1736">
        <v>0.9</v>
      </c>
      <c r="X127" s="1736"/>
      <c r="Y127" s="1736"/>
      <c r="Z127" s="1736"/>
      <c r="AA127" s="1731">
        <f t="shared" si="4"/>
        <v>0</v>
      </c>
      <c r="AB127" s="1731"/>
      <c r="AC127" s="1731"/>
      <c r="AD127" s="1731"/>
      <c r="AE127" s="1731"/>
      <c r="AF127" s="1732"/>
      <c r="AG127" s="1732"/>
      <c r="AH127" s="1732"/>
      <c r="AI127" s="1732"/>
      <c r="AJ127" s="1732"/>
      <c r="AK127" s="1732"/>
      <c r="AL127" s="1732"/>
      <c r="AM127" s="1732"/>
      <c r="AN127" s="1732"/>
      <c r="AO127" s="1732"/>
      <c r="AP127" s="1732"/>
      <c r="AQ127" s="1732"/>
      <c r="AR127" s="1732"/>
      <c r="AS127" s="1732"/>
      <c r="AT127" s="1731">
        <f t="shared" si="5"/>
        <v>0</v>
      </c>
      <c r="AU127" s="1731"/>
      <c r="AV127" s="1731"/>
      <c r="AW127" s="1731"/>
      <c r="AX127" s="1731"/>
      <c r="AY127" s="1731"/>
      <c r="AZ127" s="1731"/>
      <c r="BT127" s="33"/>
      <c r="BU127" s="33"/>
      <c r="BV127" s="33"/>
    </row>
    <row r="128" spans="1:74" s="19" customFormat="1">
      <c r="A128" s="34"/>
      <c r="B128" s="1762" t="s">
        <v>654</v>
      </c>
      <c r="C128" s="1763"/>
      <c r="D128" s="1763"/>
      <c r="E128" s="1763"/>
      <c r="F128" s="1763"/>
      <c r="G128" s="1763"/>
      <c r="H128" s="1763"/>
      <c r="I128" s="1763"/>
      <c r="J128" s="1763"/>
      <c r="K128" s="1763"/>
      <c r="L128" s="1763"/>
      <c r="M128" s="1763"/>
      <c r="N128" s="1763"/>
      <c r="O128" s="1763"/>
      <c r="P128" s="1763"/>
      <c r="Q128" s="1763"/>
      <c r="R128" s="1763"/>
      <c r="S128" s="1763"/>
      <c r="T128" s="1763"/>
      <c r="U128" s="1763"/>
      <c r="V128" s="1763"/>
      <c r="W128" s="1763"/>
      <c r="X128" s="1763"/>
      <c r="Y128" s="1763"/>
      <c r="Z128" s="1764"/>
      <c r="AA128" s="1761">
        <f>SUM(AA118:AE127)</f>
        <v>0</v>
      </c>
      <c r="AB128" s="1639"/>
      <c r="AC128" s="1639"/>
      <c r="AD128" s="1639"/>
      <c r="AE128" s="1639"/>
      <c r="AF128" s="1729">
        <f>SUM(AF118:AH127)</f>
        <v>0</v>
      </c>
      <c r="AG128" s="1729"/>
      <c r="AH128" s="1729"/>
      <c r="AI128" s="1729"/>
      <c r="AJ128" s="1729"/>
      <c r="AK128" s="1729"/>
      <c r="AL128" s="1729"/>
      <c r="AM128" s="1729"/>
      <c r="AN128" s="1729"/>
      <c r="AO128" s="1729"/>
      <c r="AP128" s="1729"/>
      <c r="AQ128" s="1729"/>
      <c r="AR128" s="1729"/>
      <c r="AS128" s="1729"/>
      <c r="AT128" s="1761">
        <f>SUM(AT118:AZ127)</f>
        <v>0</v>
      </c>
      <c r="AU128" s="1639"/>
      <c r="AV128" s="1639"/>
      <c r="AW128" s="1639"/>
      <c r="AX128" s="1639"/>
      <c r="AY128" s="1639"/>
      <c r="AZ128" s="1639"/>
      <c r="BT128" s="33"/>
      <c r="BU128" s="33"/>
      <c r="BV128" s="33"/>
    </row>
    <row r="129" spans="1:74" s="19" customFormat="1">
      <c r="A129" s="34"/>
      <c r="B129" s="20"/>
      <c r="C129" s="20"/>
      <c r="D129" s="20"/>
      <c r="E129" s="39"/>
      <c r="F129" s="39"/>
      <c r="G129" s="39"/>
      <c r="H129" s="39"/>
      <c r="I129" s="39"/>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20"/>
      <c r="AM129" s="20"/>
      <c r="AN129" s="20"/>
      <c r="AO129" s="20"/>
      <c r="AP129" s="20"/>
      <c r="AQ129" s="20"/>
      <c r="AR129" s="20"/>
      <c r="AS129" s="20"/>
      <c r="AT129" s="20"/>
      <c r="AU129" s="23"/>
      <c r="AV129" s="23"/>
      <c r="AW129" s="23"/>
      <c r="AX129" s="23"/>
      <c r="AY129" s="23"/>
      <c r="AZ129" s="23"/>
      <c r="BT129" s="33"/>
      <c r="BU129" s="33"/>
      <c r="BV129" s="33"/>
    </row>
    <row r="130" spans="1:74" s="19" customFormat="1" ht="23.25" customHeight="1">
      <c r="A130" s="34"/>
      <c r="B130" s="35" t="s">
        <v>748</v>
      </c>
      <c r="C130" s="20"/>
      <c r="D130" s="20"/>
      <c r="E130" s="39"/>
      <c r="F130" s="39"/>
      <c r="G130" s="39"/>
      <c r="I130" s="1760" t="s">
        <v>2493</v>
      </c>
      <c r="J130" s="1760"/>
      <c r="K130" s="1760"/>
      <c r="L130" s="1760"/>
      <c r="M130" s="1760"/>
      <c r="N130" s="1760"/>
      <c r="O130" s="1760"/>
      <c r="P130" s="1760"/>
      <c r="Q130" s="1760"/>
      <c r="R130" s="1760"/>
      <c r="S130" s="1760"/>
      <c r="T130" s="1760"/>
      <c r="U130" s="1760"/>
      <c r="V130" s="1760"/>
      <c r="W130" s="1760"/>
      <c r="Y130" s="1723"/>
      <c r="Z130" s="1723"/>
      <c r="AA130" s="1723"/>
      <c r="AB130" s="1760" t="s">
        <v>2492</v>
      </c>
      <c r="AC130" s="1760"/>
      <c r="AD130" s="1760"/>
      <c r="AE130" s="1760"/>
      <c r="AF130" s="1760"/>
      <c r="AG130" s="1760"/>
      <c r="AH130" s="1760"/>
      <c r="AI130" s="1760"/>
      <c r="AJ130" s="1760"/>
      <c r="AK130" s="1760"/>
      <c r="AL130" s="1760"/>
      <c r="AM130" s="1760"/>
      <c r="AN130" s="1760"/>
      <c r="AO130" s="1760"/>
      <c r="AP130" s="1760"/>
      <c r="AQ130" s="1760"/>
      <c r="AR130" s="1760"/>
      <c r="AS130" s="1760"/>
      <c r="AT130" s="20"/>
      <c r="AU130" s="1723"/>
      <c r="AV130" s="1723"/>
      <c r="AW130" s="1723"/>
      <c r="AY130" s="20"/>
      <c r="AZ130" s="20"/>
      <c r="BT130" s="33"/>
      <c r="BU130" s="33"/>
      <c r="BV130" s="33"/>
    </row>
    <row r="131" spans="1:74" s="19" customFormat="1" ht="11.25" customHeight="1">
      <c r="A131" s="34"/>
      <c r="B131" s="39"/>
      <c r="C131" s="39"/>
      <c r="D131" s="39"/>
      <c r="E131" s="39"/>
      <c r="F131" s="39"/>
      <c r="G131" s="39"/>
      <c r="H131" s="39"/>
      <c r="I131" s="39"/>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T131" s="33"/>
      <c r="BU131" s="33"/>
      <c r="BV131" s="33"/>
    </row>
    <row r="132" spans="1:74" s="19" customFormat="1">
      <c r="A132" s="34"/>
      <c r="B132" s="1749" t="s">
        <v>655</v>
      </c>
      <c r="C132" s="1749"/>
      <c r="D132" s="1749"/>
      <c r="E132" s="1749"/>
      <c r="F132" s="1749"/>
      <c r="G132" s="1749"/>
      <c r="H132" s="1749"/>
      <c r="I132" s="1749"/>
      <c r="J132" s="1749"/>
      <c r="K132" s="1749"/>
      <c r="L132" s="1749"/>
      <c r="M132" s="1749"/>
      <c r="N132" s="1749"/>
      <c r="O132" s="1749"/>
      <c r="P132" s="1749"/>
      <c r="Q132" s="1749"/>
      <c r="R132" s="1749"/>
      <c r="S132" s="1749"/>
      <c r="T132" s="1749"/>
      <c r="U132" s="1749"/>
      <c r="V132" s="1749" t="s">
        <v>656</v>
      </c>
      <c r="W132" s="1749"/>
      <c r="X132" s="1749"/>
      <c r="Y132" s="1749"/>
      <c r="Z132" s="1749"/>
      <c r="AA132" s="1749"/>
      <c r="AB132" s="1749"/>
      <c r="AC132" s="1749"/>
      <c r="AD132" s="1749"/>
      <c r="AE132" s="1749"/>
      <c r="AF132" s="1749"/>
      <c r="AG132" s="1749"/>
      <c r="AH132" s="1749"/>
      <c r="AI132" s="1749"/>
      <c r="AJ132" s="1749"/>
      <c r="AK132" s="1749"/>
      <c r="AL132" s="1749"/>
      <c r="AM132" s="1749"/>
      <c r="AN132" s="1749"/>
      <c r="AO132" s="1749"/>
      <c r="AP132" s="20"/>
      <c r="AQ132" s="20"/>
      <c r="AR132" s="20"/>
      <c r="AS132" s="20"/>
      <c r="AT132" s="20"/>
      <c r="AU132" s="20"/>
      <c r="AV132" s="20"/>
      <c r="AW132" s="20"/>
      <c r="AX132" s="20"/>
      <c r="AY132" s="20"/>
      <c r="AZ132" s="20"/>
      <c r="BT132" s="33"/>
      <c r="BU132" s="33"/>
      <c r="BV132" s="33"/>
    </row>
    <row r="133" spans="1:74" s="19" customFormat="1">
      <c r="A133" s="34"/>
      <c r="B133" s="1765" t="s">
        <v>657</v>
      </c>
      <c r="C133" s="1765"/>
      <c r="D133" s="1765"/>
      <c r="E133" s="1765"/>
      <c r="F133" s="1765"/>
      <c r="G133" s="1765"/>
      <c r="H133" s="1765"/>
      <c r="I133" s="1765"/>
      <c r="J133" s="1765"/>
      <c r="K133" s="1765"/>
      <c r="L133" s="1765" t="s">
        <v>5</v>
      </c>
      <c r="M133" s="1765"/>
      <c r="N133" s="1765"/>
      <c r="O133" s="1765"/>
      <c r="P133" s="1765"/>
      <c r="Q133" s="1765"/>
      <c r="R133" s="1765"/>
      <c r="S133" s="1765"/>
      <c r="T133" s="1765"/>
      <c r="U133" s="1765"/>
      <c r="V133" s="1765" t="s">
        <v>657</v>
      </c>
      <c r="W133" s="1765"/>
      <c r="X133" s="1765"/>
      <c r="Y133" s="1765"/>
      <c r="Z133" s="1765"/>
      <c r="AA133" s="1765"/>
      <c r="AB133" s="1765"/>
      <c r="AC133" s="1765"/>
      <c r="AD133" s="1765"/>
      <c r="AE133" s="1765"/>
      <c r="AF133" s="1765" t="s">
        <v>5</v>
      </c>
      <c r="AG133" s="1765"/>
      <c r="AH133" s="1765"/>
      <c r="AI133" s="1765"/>
      <c r="AJ133" s="1765"/>
      <c r="AK133" s="1765"/>
      <c r="AL133" s="1765"/>
      <c r="AM133" s="1765"/>
      <c r="AN133" s="1765"/>
      <c r="AO133" s="1765"/>
      <c r="AP133" s="20"/>
      <c r="AQ133" s="20"/>
      <c r="AR133" s="20"/>
      <c r="AS133" s="20"/>
      <c r="AT133" s="20"/>
      <c r="AU133" s="20"/>
      <c r="AV133" s="20"/>
      <c r="AW133" s="20"/>
      <c r="AX133" s="20"/>
      <c r="AY133" s="20"/>
      <c r="AZ133" s="20"/>
      <c r="BT133" s="33"/>
      <c r="BU133" s="33"/>
      <c r="BV133" s="33"/>
    </row>
    <row r="134" spans="1:74" s="19" customFormat="1">
      <c r="A134" s="34"/>
      <c r="B134" s="1704"/>
      <c r="C134" s="1704"/>
      <c r="D134" s="1704"/>
      <c r="E134" s="1704"/>
      <c r="F134" s="1704"/>
      <c r="G134" s="1704"/>
      <c r="H134" s="1704"/>
      <c r="I134" s="1704"/>
      <c r="J134" s="1704"/>
      <c r="K134" s="1704"/>
      <c r="L134" s="1769">
        <f>IFERROR(+B134/Y130,0)</f>
        <v>0</v>
      </c>
      <c r="M134" s="1769"/>
      <c r="N134" s="1769"/>
      <c r="O134" s="1769"/>
      <c r="P134" s="1769"/>
      <c r="Q134" s="1769"/>
      <c r="R134" s="1769"/>
      <c r="S134" s="1769"/>
      <c r="T134" s="1769"/>
      <c r="U134" s="1769"/>
      <c r="V134" s="1704"/>
      <c r="W134" s="1704"/>
      <c r="X134" s="1704"/>
      <c r="Y134" s="1704"/>
      <c r="Z134" s="1704"/>
      <c r="AA134" s="1704"/>
      <c r="AB134" s="1704"/>
      <c r="AC134" s="1704"/>
      <c r="AD134" s="1704"/>
      <c r="AE134" s="1704"/>
      <c r="AF134" s="1769">
        <f>IFERROR(+V134/AU130,0)</f>
        <v>0</v>
      </c>
      <c r="AG134" s="1769"/>
      <c r="AH134" s="1769"/>
      <c r="AI134" s="1769"/>
      <c r="AJ134" s="1769"/>
      <c r="AK134" s="1769"/>
      <c r="AL134" s="1769"/>
      <c r="AM134" s="1769"/>
      <c r="AN134" s="1769"/>
      <c r="AO134" s="1769"/>
      <c r="AP134" s="20"/>
      <c r="AQ134" s="20"/>
      <c r="AR134" s="20"/>
      <c r="AS134" s="20"/>
      <c r="AT134" s="20"/>
      <c r="AU134" s="20"/>
      <c r="AV134" s="20"/>
      <c r="AW134" s="20"/>
      <c r="AX134" s="20"/>
      <c r="AY134" s="20"/>
      <c r="AZ134" s="20"/>
      <c r="BT134" s="33"/>
      <c r="BU134" s="33"/>
      <c r="BV134" s="33"/>
    </row>
    <row r="135" spans="1:74" s="19" customFormat="1">
      <c r="A135" s="34"/>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20"/>
      <c r="AM135" s="20"/>
      <c r="AN135" s="20"/>
      <c r="AO135" s="20"/>
      <c r="AP135" s="20"/>
      <c r="AQ135" s="20"/>
      <c r="AR135" s="20"/>
      <c r="AS135" s="20"/>
      <c r="AT135" s="20"/>
      <c r="AU135" s="20"/>
      <c r="AV135" s="20"/>
      <c r="AW135" s="20"/>
      <c r="AX135" s="20"/>
      <c r="AY135" s="20"/>
      <c r="AZ135" s="20"/>
      <c r="BT135" s="33"/>
      <c r="BU135" s="33"/>
      <c r="BV135" s="33"/>
    </row>
    <row r="136" spans="1:74" s="19" customFormat="1" ht="29.25" customHeight="1">
      <c r="A136" s="34"/>
      <c r="B136" s="1773" t="s">
        <v>408</v>
      </c>
      <c r="C136" s="1774"/>
      <c r="D136" s="1774"/>
      <c r="E136" s="1774"/>
      <c r="F136" s="1774"/>
      <c r="G136" s="1774"/>
      <c r="H136" s="1774"/>
      <c r="I136" s="1774"/>
      <c r="J136" s="1774"/>
      <c r="K136" s="1774"/>
      <c r="L136" s="1774"/>
      <c r="M136" s="1774"/>
      <c r="N136" s="1774"/>
      <c r="O136" s="1775"/>
      <c r="P136" s="1725" t="s">
        <v>658</v>
      </c>
      <c r="Q136" s="1725"/>
      <c r="R136" s="1725" t="s">
        <v>4</v>
      </c>
      <c r="S136" s="1725"/>
      <c r="T136" s="1725"/>
      <c r="U136" s="1725"/>
      <c r="V136" s="1725" t="s">
        <v>659</v>
      </c>
      <c r="W136" s="1725"/>
      <c r="X136" s="1725"/>
      <c r="Y136" s="1725"/>
      <c r="Z136" s="1725"/>
      <c r="AA136" s="1773" t="s">
        <v>660</v>
      </c>
      <c r="AB136" s="1774"/>
      <c r="AC136" s="1774"/>
      <c r="AD136" s="1774"/>
      <c r="AE136" s="1775"/>
      <c r="AF136" s="1773" t="s">
        <v>661</v>
      </c>
      <c r="AG136" s="1774"/>
      <c r="AH136" s="1774"/>
      <c r="AI136" s="1774"/>
      <c r="AJ136" s="1775"/>
      <c r="AK136" s="1725" t="s">
        <v>662</v>
      </c>
      <c r="AL136" s="1725"/>
      <c r="AM136" s="1725"/>
      <c r="AN136" s="1725"/>
      <c r="AO136" s="1725"/>
      <c r="AP136" s="1725"/>
      <c r="AQ136" s="1725" t="s">
        <v>746</v>
      </c>
      <c r="AR136" s="1725"/>
      <c r="AS136" s="1725"/>
      <c r="AT136" s="1725"/>
      <c r="AU136" s="1725"/>
      <c r="AV136" s="1725"/>
      <c r="AW136" s="1725"/>
      <c r="AX136" s="1725"/>
      <c r="AY136" s="1725"/>
      <c r="AZ136" s="1725"/>
      <c r="BT136" s="33"/>
      <c r="BU136" s="33"/>
      <c r="BV136" s="33"/>
    </row>
    <row r="137" spans="1:74" s="19" customFormat="1">
      <c r="A137" s="34"/>
      <c r="B137" s="1720" t="s">
        <v>403</v>
      </c>
      <c r="C137" s="1721"/>
      <c r="D137" s="1721"/>
      <c r="E137" s="1721"/>
      <c r="F137" s="1721"/>
      <c r="G137" s="1721"/>
      <c r="H137" s="1721"/>
      <c r="I137" s="1721"/>
      <c r="J137" s="1721"/>
      <c r="K137" s="1721"/>
      <c r="L137" s="1721"/>
      <c r="M137" s="1721"/>
      <c r="N137" s="1721"/>
      <c r="O137" s="1722"/>
      <c r="P137" s="1779" t="s">
        <v>472</v>
      </c>
      <c r="Q137" s="1780"/>
      <c r="R137" s="1735"/>
      <c r="S137" s="1735"/>
      <c r="T137" s="1735"/>
      <c r="U137" s="1735"/>
      <c r="V137" s="1735"/>
      <c r="W137" s="1735"/>
      <c r="X137" s="1735"/>
      <c r="Y137" s="1735"/>
      <c r="Z137" s="1735"/>
      <c r="AA137" s="1766"/>
      <c r="AB137" s="1767"/>
      <c r="AC137" s="1767"/>
      <c r="AD137" s="1767"/>
      <c r="AE137" s="1768"/>
      <c r="AF137" s="1770"/>
      <c r="AG137" s="1771"/>
      <c r="AH137" s="1771"/>
      <c r="AI137" s="1771"/>
      <c r="AJ137" s="1772"/>
      <c r="AK137" s="1734"/>
      <c r="AL137" s="1734"/>
      <c r="AM137" s="1734"/>
      <c r="AN137" s="1734"/>
      <c r="AO137" s="1734"/>
      <c r="AP137" s="1734"/>
      <c r="AQ137" s="1735"/>
      <c r="AR137" s="1735"/>
      <c r="AS137" s="1735"/>
      <c r="AT137" s="1735"/>
      <c r="AU137" s="1735"/>
      <c r="AV137" s="1735"/>
      <c r="AW137" s="1735"/>
      <c r="AX137" s="1735"/>
      <c r="AY137" s="1735"/>
      <c r="AZ137" s="1735"/>
      <c r="BT137" s="33"/>
      <c r="BU137" s="33"/>
      <c r="BV137" s="33"/>
    </row>
    <row r="138" spans="1:74" s="19" customFormat="1">
      <c r="A138" s="34"/>
      <c r="B138" s="1781" t="s">
        <v>767</v>
      </c>
      <c r="C138" s="1782"/>
      <c r="D138" s="1782"/>
      <c r="E138" s="1782"/>
      <c r="F138" s="1782"/>
      <c r="G138" s="1782"/>
      <c r="H138" s="1782"/>
      <c r="I138" s="1782"/>
      <c r="J138" s="1782"/>
      <c r="K138" s="1782"/>
      <c r="L138" s="1782"/>
      <c r="M138" s="1782"/>
      <c r="N138" s="1782"/>
      <c r="O138" s="1783"/>
      <c r="P138" s="1779" t="s">
        <v>472</v>
      </c>
      <c r="Q138" s="1780"/>
      <c r="R138" s="1735"/>
      <c r="S138" s="1735"/>
      <c r="T138" s="1735"/>
      <c r="U138" s="1735"/>
      <c r="V138" s="1735"/>
      <c r="W138" s="1735"/>
      <c r="X138" s="1735"/>
      <c r="Y138" s="1735"/>
      <c r="Z138" s="1735"/>
      <c r="AA138" s="1766"/>
      <c r="AB138" s="1767"/>
      <c r="AC138" s="1767"/>
      <c r="AD138" s="1767"/>
      <c r="AE138" s="1768"/>
      <c r="AF138" s="1770"/>
      <c r="AG138" s="1771"/>
      <c r="AH138" s="1771"/>
      <c r="AI138" s="1771"/>
      <c r="AJ138" s="1772"/>
      <c r="AK138" s="1734"/>
      <c r="AL138" s="1734"/>
      <c r="AM138" s="1734"/>
      <c r="AN138" s="1734"/>
      <c r="AO138" s="1734"/>
      <c r="AP138" s="1734"/>
      <c r="AQ138" s="1735"/>
      <c r="AR138" s="1735"/>
      <c r="AS138" s="1735"/>
      <c r="AT138" s="1735"/>
      <c r="AU138" s="1735"/>
      <c r="AV138" s="1735"/>
      <c r="AW138" s="1735"/>
      <c r="AX138" s="1735"/>
      <c r="AY138" s="1735"/>
      <c r="AZ138" s="1735"/>
      <c r="BT138" s="33"/>
      <c r="BU138" s="33"/>
      <c r="BV138" s="33"/>
    </row>
    <row r="139" spans="1:74" s="19" customFormat="1">
      <c r="A139" s="34"/>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20"/>
      <c r="AM139" s="20"/>
      <c r="AN139" s="20"/>
      <c r="AO139" s="20"/>
      <c r="AP139" s="20"/>
      <c r="AQ139" s="20"/>
      <c r="AR139" s="20"/>
      <c r="AS139" s="20"/>
      <c r="AT139" s="20"/>
      <c r="AU139" s="20"/>
      <c r="AV139" s="20"/>
      <c r="AW139" s="20"/>
      <c r="AX139" s="20"/>
      <c r="AY139" s="20"/>
      <c r="AZ139" s="20"/>
      <c r="BT139" s="33"/>
      <c r="BU139" s="33"/>
      <c r="BV139" s="33"/>
    </row>
    <row r="140" spans="1:74" s="19" customFormat="1" ht="30" customHeight="1">
      <c r="A140" s="34"/>
      <c r="B140" s="1773" t="s">
        <v>407</v>
      </c>
      <c r="C140" s="1774"/>
      <c r="D140" s="1774"/>
      <c r="E140" s="1774"/>
      <c r="F140" s="1774"/>
      <c r="G140" s="1774"/>
      <c r="H140" s="1774"/>
      <c r="I140" s="1774"/>
      <c r="J140" s="1774"/>
      <c r="K140" s="1774"/>
      <c r="L140" s="1774"/>
      <c r="M140" s="1774"/>
      <c r="N140" s="1774"/>
      <c r="O140" s="1775"/>
      <c r="P140" s="1725" t="s">
        <v>658</v>
      </c>
      <c r="Q140" s="1725"/>
      <c r="R140" s="1725" t="s">
        <v>4</v>
      </c>
      <c r="S140" s="1725"/>
      <c r="T140" s="1725"/>
      <c r="U140" s="1725"/>
      <c r="V140" s="1725" t="s">
        <v>659</v>
      </c>
      <c r="W140" s="1725"/>
      <c r="X140" s="1725"/>
      <c r="Y140" s="1725"/>
      <c r="Z140" s="1725"/>
      <c r="AA140" s="1725" t="s">
        <v>664</v>
      </c>
      <c r="AB140" s="1725"/>
      <c r="AC140" s="1725"/>
      <c r="AD140" s="1725"/>
      <c r="AE140" s="1725"/>
      <c r="AF140" s="1773" t="s">
        <v>660</v>
      </c>
      <c r="AG140" s="1774"/>
      <c r="AH140" s="1774"/>
      <c r="AI140" s="1774"/>
      <c r="AJ140" s="1775"/>
      <c r="AK140" s="1773" t="s">
        <v>661</v>
      </c>
      <c r="AL140" s="1774"/>
      <c r="AM140" s="1774"/>
      <c r="AN140" s="1774"/>
      <c r="AO140" s="1775"/>
      <c r="AP140" s="1773" t="s">
        <v>662</v>
      </c>
      <c r="AQ140" s="1774"/>
      <c r="AR140" s="1774"/>
      <c r="AS140" s="1774"/>
      <c r="AT140" s="1774"/>
      <c r="AU140" s="1775"/>
      <c r="AV140" s="1773" t="s">
        <v>663</v>
      </c>
      <c r="AW140" s="1774"/>
      <c r="AX140" s="1774"/>
      <c r="AY140" s="1774"/>
      <c r="AZ140" s="1775"/>
      <c r="BT140" s="33"/>
      <c r="BU140" s="33"/>
      <c r="BV140" s="33"/>
    </row>
    <row r="141" spans="1:74" s="19" customFormat="1">
      <c r="A141" s="34"/>
      <c r="B141" s="1776" t="s">
        <v>742</v>
      </c>
      <c r="C141" s="1777"/>
      <c r="D141" s="1777"/>
      <c r="E141" s="1777"/>
      <c r="F141" s="1777"/>
      <c r="G141" s="1777"/>
      <c r="H141" s="1777"/>
      <c r="I141" s="1777"/>
      <c r="J141" s="1777"/>
      <c r="K141" s="1777"/>
      <c r="L141" s="1777"/>
      <c r="M141" s="1777"/>
      <c r="N141" s="1777"/>
      <c r="O141" s="1778"/>
      <c r="P141" s="360"/>
      <c r="Q141" s="362"/>
      <c r="R141" s="1633"/>
      <c r="S141" s="1634"/>
      <c r="T141" s="1634"/>
      <c r="U141" s="1635"/>
      <c r="V141" s="1633"/>
      <c r="W141" s="1634"/>
      <c r="X141" s="1634"/>
      <c r="Y141" s="1634"/>
      <c r="Z141" s="1635"/>
      <c r="AA141" s="1633"/>
      <c r="AB141" s="1634"/>
      <c r="AC141" s="1634"/>
      <c r="AD141" s="1634"/>
      <c r="AE141" s="1635"/>
      <c r="AF141" s="360"/>
      <c r="AG141" s="361"/>
      <c r="AH141" s="361"/>
      <c r="AI141" s="361"/>
      <c r="AJ141" s="362"/>
      <c r="AK141" s="360"/>
      <c r="AL141" s="361"/>
      <c r="AM141" s="361"/>
      <c r="AN141" s="361"/>
      <c r="AO141" s="362"/>
      <c r="AP141" s="360"/>
      <c r="AQ141" s="361"/>
      <c r="AR141" s="361"/>
      <c r="AS141" s="361"/>
      <c r="AT141" s="361"/>
      <c r="AU141" s="362"/>
      <c r="AV141" s="360"/>
      <c r="AW141" s="361"/>
      <c r="AX141" s="361"/>
      <c r="AY141" s="361"/>
      <c r="AZ141" s="362"/>
      <c r="BT141" s="33"/>
      <c r="BU141" s="33"/>
      <c r="BV141" s="33"/>
    </row>
    <row r="142" spans="1:74" s="19" customFormat="1">
      <c r="A142" s="34"/>
      <c r="B142" s="1720" t="s">
        <v>153</v>
      </c>
      <c r="C142" s="1721"/>
      <c r="D142" s="1721"/>
      <c r="E142" s="1721"/>
      <c r="F142" s="1721"/>
      <c r="G142" s="1721"/>
      <c r="H142" s="1721"/>
      <c r="I142" s="1721"/>
      <c r="J142" s="1721"/>
      <c r="K142" s="1721"/>
      <c r="L142" s="1721"/>
      <c r="M142" s="1721"/>
      <c r="N142" s="1721"/>
      <c r="O142" s="1722"/>
      <c r="P142" s="1779" t="s">
        <v>472</v>
      </c>
      <c r="Q142" s="1780"/>
      <c r="R142" s="1735"/>
      <c r="S142" s="1735"/>
      <c r="T142" s="1735"/>
      <c r="U142" s="1735"/>
      <c r="V142" s="1735"/>
      <c r="W142" s="1735"/>
      <c r="X142" s="1735"/>
      <c r="Y142" s="1735"/>
      <c r="Z142" s="1735"/>
      <c r="AA142" s="1766"/>
      <c r="AB142" s="1767"/>
      <c r="AC142" s="1767"/>
      <c r="AD142" s="1767"/>
      <c r="AE142" s="1768"/>
      <c r="AF142" s="1766"/>
      <c r="AG142" s="1767"/>
      <c r="AH142" s="1767"/>
      <c r="AI142" s="1767"/>
      <c r="AJ142" s="1768"/>
      <c r="AK142" s="1770"/>
      <c r="AL142" s="1771"/>
      <c r="AM142" s="1771"/>
      <c r="AN142" s="1771"/>
      <c r="AO142" s="1772"/>
      <c r="AP142" s="1734"/>
      <c r="AQ142" s="1734"/>
      <c r="AR142" s="1734"/>
      <c r="AS142" s="1734"/>
      <c r="AT142" s="1734"/>
      <c r="AU142" s="1734"/>
      <c r="AV142" s="1766"/>
      <c r="AW142" s="1767"/>
      <c r="AX142" s="1767"/>
      <c r="AY142" s="1767"/>
      <c r="AZ142" s="1768"/>
      <c r="BT142" s="33"/>
      <c r="BU142" s="33"/>
      <c r="BV142" s="33"/>
    </row>
    <row r="143" spans="1:74" s="19" customFormat="1">
      <c r="A143" s="34"/>
      <c r="B143" s="1720" t="s">
        <v>239</v>
      </c>
      <c r="C143" s="1721"/>
      <c r="D143" s="1721"/>
      <c r="E143" s="1721"/>
      <c r="F143" s="1721"/>
      <c r="G143" s="1721"/>
      <c r="H143" s="1721"/>
      <c r="I143" s="1721"/>
      <c r="J143" s="1721"/>
      <c r="K143" s="1721"/>
      <c r="L143" s="1721"/>
      <c r="M143" s="1721"/>
      <c r="N143" s="1721"/>
      <c r="O143" s="1722"/>
      <c r="P143" s="1779" t="s">
        <v>472</v>
      </c>
      <c r="Q143" s="1780"/>
      <c r="R143" s="1735"/>
      <c r="S143" s="1735"/>
      <c r="T143" s="1735"/>
      <c r="U143" s="1735"/>
      <c r="V143" s="1735"/>
      <c r="W143" s="1735"/>
      <c r="X143" s="1735"/>
      <c r="Y143" s="1735"/>
      <c r="Z143" s="1735"/>
      <c r="AA143" s="1766"/>
      <c r="AB143" s="1767"/>
      <c r="AC143" s="1767"/>
      <c r="AD143" s="1767"/>
      <c r="AE143" s="1768"/>
      <c r="AF143" s="1766"/>
      <c r="AG143" s="1767"/>
      <c r="AH143" s="1767"/>
      <c r="AI143" s="1767"/>
      <c r="AJ143" s="1768"/>
      <c r="AK143" s="1770"/>
      <c r="AL143" s="1771"/>
      <c r="AM143" s="1771"/>
      <c r="AN143" s="1771"/>
      <c r="AO143" s="1772"/>
      <c r="AP143" s="1734"/>
      <c r="AQ143" s="1734"/>
      <c r="AR143" s="1734"/>
      <c r="AS143" s="1734"/>
      <c r="AT143" s="1734"/>
      <c r="AU143" s="1734"/>
      <c r="AV143" s="1766"/>
      <c r="AW143" s="1767"/>
      <c r="AX143" s="1767"/>
      <c r="AY143" s="1767"/>
      <c r="AZ143" s="1768"/>
      <c r="BT143" s="33"/>
      <c r="BU143" s="33"/>
      <c r="BV143" s="33"/>
    </row>
    <row r="144" spans="1:74" s="19" customFormat="1" ht="17.25" customHeight="1">
      <c r="A144" s="34"/>
      <c r="B144" s="1720" t="s">
        <v>668</v>
      </c>
      <c r="C144" s="1721"/>
      <c r="D144" s="1721"/>
      <c r="E144" s="1721"/>
      <c r="F144" s="1721"/>
      <c r="G144" s="1721"/>
      <c r="H144" s="1721"/>
      <c r="I144" s="1721"/>
      <c r="J144" s="1721"/>
      <c r="K144" s="1721"/>
      <c r="L144" s="1721"/>
      <c r="M144" s="1721"/>
      <c r="N144" s="1721"/>
      <c r="O144" s="1722"/>
      <c r="P144" s="1779" t="s">
        <v>472</v>
      </c>
      <c r="Q144" s="1780"/>
      <c r="R144" s="1735"/>
      <c r="S144" s="1735"/>
      <c r="T144" s="1735"/>
      <c r="U144" s="1735"/>
      <c r="V144" s="1735"/>
      <c r="W144" s="1735"/>
      <c r="X144" s="1735"/>
      <c r="Y144" s="1735"/>
      <c r="Z144" s="1735"/>
      <c r="AA144" s="1766"/>
      <c r="AB144" s="1767"/>
      <c r="AC144" s="1767"/>
      <c r="AD144" s="1767"/>
      <c r="AE144" s="1768"/>
      <c r="AF144" s="1766"/>
      <c r="AG144" s="1767"/>
      <c r="AH144" s="1767"/>
      <c r="AI144" s="1767"/>
      <c r="AJ144" s="1768"/>
      <c r="AK144" s="1770"/>
      <c r="AL144" s="1771"/>
      <c r="AM144" s="1771"/>
      <c r="AN144" s="1771"/>
      <c r="AO144" s="1772"/>
      <c r="AP144" s="1734"/>
      <c r="AQ144" s="1734"/>
      <c r="AR144" s="1734"/>
      <c r="AS144" s="1734"/>
      <c r="AT144" s="1734"/>
      <c r="AU144" s="1734"/>
      <c r="AV144" s="1766"/>
      <c r="AW144" s="1767"/>
      <c r="AX144" s="1767"/>
      <c r="AY144" s="1767"/>
      <c r="AZ144" s="1768"/>
      <c r="BT144" s="33"/>
      <c r="BU144" s="33"/>
      <c r="BV144" s="33"/>
    </row>
    <row r="145" spans="1:74" s="19" customFormat="1">
      <c r="A145" s="34"/>
      <c r="B145" s="1720" t="s">
        <v>667</v>
      </c>
      <c r="C145" s="1721"/>
      <c r="D145" s="1721"/>
      <c r="E145" s="1721"/>
      <c r="F145" s="1721"/>
      <c r="G145" s="1721"/>
      <c r="H145" s="1721"/>
      <c r="I145" s="1721"/>
      <c r="J145" s="1721"/>
      <c r="K145" s="1721"/>
      <c r="L145" s="1721"/>
      <c r="M145" s="1721"/>
      <c r="N145" s="1721"/>
      <c r="O145" s="1722"/>
      <c r="P145" s="1779" t="s">
        <v>472</v>
      </c>
      <c r="Q145" s="1780"/>
      <c r="R145" s="1735"/>
      <c r="S145" s="1735"/>
      <c r="T145" s="1735"/>
      <c r="U145" s="1735"/>
      <c r="V145" s="1735"/>
      <c r="W145" s="1735"/>
      <c r="X145" s="1735"/>
      <c r="Y145" s="1735"/>
      <c r="Z145" s="1735"/>
      <c r="AA145" s="1766"/>
      <c r="AB145" s="1767"/>
      <c r="AC145" s="1767"/>
      <c r="AD145" s="1767"/>
      <c r="AE145" s="1768"/>
      <c r="AF145" s="1766"/>
      <c r="AG145" s="1767"/>
      <c r="AH145" s="1767"/>
      <c r="AI145" s="1767"/>
      <c r="AJ145" s="1768"/>
      <c r="AK145" s="1770"/>
      <c r="AL145" s="1771"/>
      <c r="AM145" s="1771"/>
      <c r="AN145" s="1771"/>
      <c r="AO145" s="1772"/>
      <c r="AP145" s="1734"/>
      <c r="AQ145" s="1734"/>
      <c r="AR145" s="1734"/>
      <c r="AS145" s="1734"/>
      <c r="AT145" s="1734"/>
      <c r="AU145" s="1734"/>
      <c r="AV145" s="1766"/>
      <c r="AW145" s="1767"/>
      <c r="AX145" s="1767"/>
      <c r="AY145" s="1767"/>
      <c r="AZ145" s="1768"/>
      <c r="BT145" s="33"/>
      <c r="BU145" s="33"/>
      <c r="BV145" s="33"/>
    </row>
    <row r="146" spans="1:74" s="19" customFormat="1">
      <c r="A146" s="34"/>
      <c r="B146" s="1720" t="s">
        <v>749</v>
      </c>
      <c r="C146" s="1721"/>
      <c r="D146" s="1721"/>
      <c r="E146" s="1721"/>
      <c r="F146" s="1721"/>
      <c r="G146" s="1721"/>
      <c r="H146" s="1721"/>
      <c r="I146" s="1721"/>
      <c r="J146" s="1721"/>
      <c r="K146" s="1721"/>
      <c r="L146" s="1721"/>
      <c r="M146" s="1721"/>
      <c r="N146" s="1721"/>
      <c r="O146" s="1722"/>
      <c r="P146" s="1779" t="s">
        <v>472</v>
      </c>
      <c r="Q146" s="1780"/>
      <c r="R146" s="1735"/>
      <c r="S146" s="1735"/>
      <c r="T146" s="1735"/>
      <c r="U146" s="1735"/>
      <c r="V146" s="1735"/>
      <c r="W146" s="1735"/>
      <c r="X146" s="1735"/>
      <c r="Y146" s="1735"/>
      <c r="Z146" s="1735"/>
      <c r="AA146" s="1766"/>
      <c r="AB146" s="1767"/>
      <c r="AC146" s="1767"/>
      <c r="AD146" s="1767"/>
      <c r="AE146" s="1768"/>
      <c r="AF146" s="1766"/>
      <c r="AG146" s="1767"/>
      <c r="AH146" s="1767"/>
      <c r="AI146" s="1767"/>
      <c r="AJ146" s="1768"/>
      <c r="AK146" s="1770"/>
      <c r="AL146" s="1771"/>
      <c r="AM146" s="1771"/>
      <c r="AN146" s="1771"/>
      <c r="AO146" s="1772"/>
      <c r="AP146" s="1734"/>
      <c r="AQ146" s="1734"/>
      <c r="AR146" s="1734"/>
      <c r="AS146" s="1734"/>
      <c r="AT146" s="1734"/>
      <c r="AU146" s="1734"/>
      <c r="AV146" s="1766"/>
      <c r="AW146" s="1767"/>
      <c r="AX146" s="1767"/>
      <c r="AY146" s="1767"/>
      <c r="AZ146" s="1768"/>
      <c r="BT146" s="33"/>
      <c r="BU146" s="33"/>
      <c r="BV146" s="33"/>
    </row>
    <row r="147" spans="1:74" s="19" customFormat="1">
      <c r="A147" s="34"/>
      <c r="B147" s="1720" t="s">
        <v>3204</v>
      </c>
      <c r="C147" s="1721"/>
      <c r="D147" s="1721"/>
      <c r="E147" s="1721"/>
      <c r="F147" s="1721"/>
      <c r="G147" s="1721"/>
      <c r="H147" s="1721"/>
      <c r="I147" s="1721"/>
      <c r="J147" s="1721"/>
      <c r="K147" s="1721"/>
      <c r="L147" s="1721"/>
      <c r="M147" s="1721"/>
      <c r="N147" s="1721"/>
      <c r="O147" s="1722"/>
      <c r="P147" s="1779" t="s">
        <v>472</v>
      </c>
      <c r="Q147" s="1780"/>
      <c r="R147" s="1735"/>
      <c r="S147" s="1735"/>
      <c r="T147" s="1735"/>
      <c r="U147" s="1735"/>
      <c r="V147" s="1735"/>
      <c r="W147" s="1735"/>
      <c r="X147" s="1735"/>
      <c r="Y147" s="1735"/>
      <c r="Z147" s="1735"/>
      <c r="AA147" s="1766"/>
      <c r="AB147" s="1767"/>
      <c r="AC147" s="1767"/>
      <c r="AD147" s="1767"/>
      <c r="AE147" s="1768"/>
      <c r="AF147" s="1766"/>
      <c r="AG147" s="1767"/>
      <c r="AH147" s="1767"/>
      <c r="AI147" s="1767"/>
      <c r="AJ147" s="1768"/>
      <c r="AK147" s="1770"/>
      <c r="AL147" s="1771"/>
      <c r="AM147" s="1771"/>
      <c r="AN147" s="1771"/>
      <c r="AO147" s="1772"/>
      <c r="AP147" s="1734"/>
      <c r="AQ147" s="1734"/>
      <c r="AR147" s="1734"/>
      <c r="AS147" s="1734"/>
      <c r="AT147" s="1734"/>
      <c r="AU147" s="1734"/>
      <c r="AV147" s="1766"/>
      <c r="AW147" s="1767"/>
      <c r="AX147" s="1767"/>
      <c r="AY147" s="1767"/>
      <c r="AZ147" s="1768"/>
      <c r="BT147" s="33"/>
      <c r="BU147" s="33"/>
      <c r="BV147" s="33"/>
    </row>
    <row r="148" spans="1:74" s="19" customFormat="1">
      <c r="A148" s="34"/>
      <c r="B148" s="1720" t="s">
        <v>744</v>
      </c>
      <c r="C148" s="1721"/>
      <c r="D148" s="1721"/>
      <c r="E148" s="1721"/>
      <c r="F148" s="1721"/>
      <c r="G148" s="1721"/>
      <c r="H148" s="1721"/>
      <c r="I148" s="1721"/>
      <c r="J148" s="1721"/>
      <c r="K148" s="1721"/>
      <c r="L148" s="1721"/>
      <c r="M148" s="1721"/>
      <c r="N148" s="1721"/>
      <c r="O148" s="1722"/>
      <c r="P148" s="1779" t="s">
        <v>472</v>
      </c>
      <c r="Q148" s="1780"/>
      <c r="R148" s="1735"/>
      <c r="S148" s="1735"/>
      <c r="T148" s="1735"/>
      <c r="U148" s="1735"/>
      <c r="V148" s="1735"/>
      <c r="W148" s="1735"/>
      <c r="X148" s="1735"/>
      <c r="Y148" s="1735"/>
      <c r="Z148" s="1735"/>
      <c r="AA148" s="1766"/>
      <c r="AB148" s="1767"/>
      <c r="AC148" s="1767"/>
      <c r="AD148" s="1767"/>
      <c r="AE148" s="1768"/>
      <c r="AF148" s="1766"/>
      <c r="AG148" s="1767"/>
      <c r="AH148" s="1767"/>
      <c r="AI148" s="1767"/>
      <c r="AJ148" s="1768"/>
      <c r="AK148" s="1770"/>
      <c r="AL148" s="1771"/>
      <c r="AM148" s="1771"/>
      <c r="AN148" s="1771"/>
      <c r="AO148" s="1772"/>
      <c r="AP148" s="1734"/>
      <c r="AQ148" s="1734"/>
      <c r="AR148" s="1734"/>
      <c r="AS148" s="1734"/>
      <c r="AT148" s="1734"/>
      <c r="AU148" s="1734"/>
      <c r="AV148" s="1766"/>
      <c r="AW148" s="1767"/>
      <c r="AX148" s="1767"/>
      <c r="AY148" s="1767"/>
      <c r="AZ148" s="1768"/>
      <c r="BT148" s="33"/>
      <c r="BU148" s="33"/>
      <c r="BV148" s="33"/>
    </row>
    <row r="149" spans="1:74" s="19" customFormat="1">
      <c r="A149" s="34"/>
      <c r="B149" s="1720" t="s">
        <v>745</v>
      </c>
      <c r="C149" s="1721"/>
      <c r="D149" s="1721"/>
      <c r="E149" s="1721"/>
      <c r="F149" s="1721"/>
      <c r="G149" s="1721"/>
      <c r="H149" s="1721"/>
      <c r="I149" s="1721"/>
      <c r="J149" s="1721"/>
      <c r="K149" s="1721"/>
      <c r="L149" s="1721"/>
      <c r="M149" s="1721"/>
      <c r="N149" s="1721"/>
      <c r="O149" s="1722"/>
      <c r="P149" s="1779" t="s">
        <v>472</v>
      </c>
      <c r="Q149" s="1780"/>
      <c r="R149" s="1735"/>
      <c r="S149" s="1735"/>
      <c r="T149" s="1735"/>
      <c r="U149" s="1735"/>
      <c r="V149" s="1735"/>
      <c r="W149" s="1735"/>
      <c r="X149" s="1735"/>
      <c r="Y149" s="1735"/>
      <c r="Z149" s="1735"/>
      <c r="AA149" s="1766"/>
      <c r="AB149" s="1767"/>
      <c r="AC149" s="1767"/>
      <c r="AD149" s="1767"/>
      <c r="AE149" s="1768"/>
      <c r="AF149" s="1766"/>
      <c r="AG149" s="1767"/>
      <c r="AH149" s="1767"/>
      <c r="AI149" s="1767"/>
      <c r="AJ149" s="1768"/>
      <c r="AK149" s="1770"/>
      <c r="AL149" s="1771"/>
      <c r="AM149" s="1771"/>
      <c r="AN149" s="1771"/>
      <c r="AO149" s="1772"/>
      <c r="AP149" s="1734"/>
      <c r="AQ149" s="1734"/>
      <c r="AR149" s="1734"/>
      <c r="AS149" s="1734"/>
      <c r="AT149" s="1734"/>
      <c r="AU149" s="1734"/>
      <c r="AV149" s="375"/>
      <c r="AW149" s="376"/>
      <c r="AX149" s="376"/>
      <c r="AY149" s="376"/>
      <c r="AZ149" s="377"/>
      <c r="BT149" s="33"/>
      <c r="BU149" s="33"/>
      <c r="BV149" s="33"/>
    </row>
    <row r="150" spans="1:74" s="19" customFormat="1">
      <c r="A150" s="34"/>
      <c r="B150" s="1776" t="s">
        <v>743</v>
      </c>
      <c r="C150" s="1777"/>
      <c r="D150" s="1777"/>
      <c r="E150" s="1777"/>
      <c r="F150" s="1777"/>
      <c r="G150" s="1777"/>
      <c r="H150" s="1777"/>
      <c r="I150" s="1777"/>
      <c r="J150" s="1777"/>
      <c r="K150" s="1777"/>
      <c r="L150" s="1777"/>
      <c r="M150" s="1777"/>
      <c r="N150" s="1777"/>
      <c r="O150" s="1778"/>
      <c r="P150" s="360"/>
      <c r="Q150" s="362"/>
      <c r="R150" s="1633"/>
      <c r="S150" s="1634"/>
      <c r="T150" s="1634"/>
      <c r="U150" s="1635"/>
      <c r="V150" s="1633"/>
      <c r="W150" s="1634"/>
      <c r="X150" s="1634"/>
      <c r="Y150" s="1634"/>
      <c r="Z150" s="1635"/>
      <c r="AA150" s="1633"/>
      <c r="AB150" s="1634"/>
      <c r="AC150" s="1634"/>
      <c r="AD150" s="1634"/>
      <c r="AE150" s="1635"/>
      <c r="AF150" s="360"/>
      <c r="AG150" s="361"/>
      <c r="AH150" s="361"/>
      <c r="AI150" s="361"/>
      <c r="AJ150" s="362"/>
      <c r="AK150" s="360"/>
      <c r="AL150" s="361"/>
      <c r="AM150" s="361"/>
      <c r="AN150" s="361"/>
      <c r="AO150" s="362"/>
      <c r="AP150" s="360"/>
      <c r="AQ150" s="361"/>
      <c r="AR150" s="361"/>
      <c r="AS150" s="361"/>
      <c r="AT150" s="361"/>
      <c r="AU150" s="362"/>
      <c r="AV150" s="360"/>
      <c r="AW150" s="361"/>
      <c r="AX150" s="361"/>
      <c r="AY150" s="361"/>
      <c r="AZ150" s="362"/>
      <c r="BT150" s="33"/>
      <c r="BU150" s="33"/>
      <c r="BV150" s="33"/>
    </row>
    <row r="151" spans="1:74" s="19" customFormat="1">
      <c r="A151" s="34"/>
      <c r="B151" s="1720" t="s">
        <v>153</v>
      </c>
      <c r="C151" s="1721"/>
      <c r="D151" s="1721"/>
      <c r="E151" s="1721"/>
      <c r="F151" s="1721"/>
      <c r="G151" s="1721"/>
      <c r="H151" s="1721"/>
      <c r="I151" s="1721"/>
      <c r="J151" s="1721"/>
      <c r="K151" s="1721"/>
      <c r="L151" s="1721"/>
      <c r="M151" s="1721"/>
      <c r="N151" s="1721"/>
      <c r="O151" s="1722"/>
      <c r="P151" s="1779" t="s">
        <v>472</v>
      </c>
      <c r="Q151" s="1780"/>
      <c r="R151" s="1735"/>
      <c r="S151" s="1735"/>
      <c r="T151" s="1735"/>
      <c r="U151" s="1735"/>
      <c r="V151" s="1735"/>
      <c r="W151" s="1735"/>
      <c r="X151" s="1735"/>
      <c r="Y151" s="1735"/>
      <c r="Z151" s="1735"/>
      <c r="AA151" s="1766"/>
      <c r="AB151" s="1767"/>
      <c r="AC151" s="1767"/>
      <c r="AD151" s="1767"/>
      <c r="AE151" s="1768"/>
      <c r="AF151" s="1766"/>
      <c r="AG151" s="1767"/>
      <c r="AH151" s="1767"/>
      <c r="AI151" s="1767"/>
      <c r="AJ151" s="1768"/>
      <c r="AK151" s="1770"/>
      <c r="AL151" s="1771"/>
      <c r="AM151" s="1771"/>
      <c r="AN151" s="1771"/>
      <c r="AO151" s="1772"/>
      <c r="AP151" s="1734"/>
      <c r="AQ151" s="1734"/>
      <c r="AR151" s="1734"/>
      <c r="AS151" s="1734"/>
      <c r="AT151" s="1734"/>
      <c r="AU151" s="1734"/>
      <c r="AV151" s="1766"/>
      <c r="AW151" s="1767"/>
      <c r="AX151" s="1767"/>
      <c r="AY151" s="1767"/>
      <c r="AZ151" s="1768"/>
      <c r="BT151" s="33"/>
      <c r="BU151" s="33"/>
      <c r="BV151" s="33"/>
    </row>
    <row r="152" spans="1:74" s="19" customFormat="1">
      <c r="A152" s="34"/>
      <c r="B152" s="1720" t="s">
        <v>665</v>
      </c>
      <c r="C152" s="1721"/>
      <c r="D152" s="1721"/>
      <c r="E152" s="1721"/>
      <c r="F152" s="1721"/>
      <c r="G152" s="1721"/>
      <c r="H152" s="1721"/>
      <c r="I152" s="1721"/>
      <c r="J152" s="1721"/>
      <c r="K152" s="1721"/>
      <c r="L152" s="1721"/>
      <c r="M152" s="1721"/>
      <c r="N152" s="1721"/>
      <c r="O152" s="1722"/>
      <c r="P152" s="1779" t="s">
        <v>472</v>
      </c>
      <c r="Q152" s="1780"/>
      <c r="R152" s="1735"/>
      <c r="S152" s="1735"/>
      <c r="T152" s="1735"/>
      <c r="U152" s="1735"/>
      <c r="V152" s="1735"/>
      <c r="W152" s="1735"/>
      <c r="X152" s="1735"/>
      <c r="Y152" s="1735"/>
      <c r="Z152" s="1735"/>
      <c r="AA152" s="1766"/>
      <c r="AB152" s="1767"/>
      <c r="AC152" s="1767"/>
      <c r="AD152" s="1767"/>
      <c r="AE152" s="1768"/>
      <c r="AF152" s="1766"/>
      <c r="AG152" s="1767"/>
      <c r="AH152" s="1767"/>
      <c r="AI152" s="1767"/>
      <c r="AJ152" s="1768"/>
      <c r="AK152" s="1770"/>
      <c r="AL152" s="1771"/>
      <c r="AM152" s="1771"/>
      <c r="AN152" s="1771"/>
      <c r="AO152" s="1772"/>
      <c r="AP152" s="1734"/>
      <c r="AQ152" s="1734"/>
      <c r="AR152" s="1734"/>
      <c r="AS152" s="1734"/>
      <c r="AT152" s="1734"/>
      <c r="AU152" s="1734"/>
      <c r="AV152" s="1766"/>
      <c r="AW152" s="1767"/>
      <c r="AX152" s="1767"/>
      <c r="AY152" s="1767"/>
      <c r="AZ152" s="1768"/>
      <c r="BT152" s="33"/>
      <c r="BU152" s="33"/>
      <c r="BV152" s="33"/>
    </row>
    <row r="153" spans="1:74" s="19" customFormat="1" ht="17.25" customHeight="1">
      <c r="A153" s="34"/>
      <c r="B153" s="1720" t="s">
        <v>750</v>
      </c>
      <c r="C153" s="1721"/>
      <c r="D153" s="1721"/>
      <c r="E153" s="1721"/>
      <c r="F153" s="1721"/>
      <c r="G153" s="1721"/>
      <c r="H153" s="1721"/>
      <c r="I153" s="1721"/>
      <c r="J153" s="1721"/>
      <c r="K153" s="1721"/>
      <c r="L153" s="1721"/>
      <c r="M153" s="1721"/>
      <c r="N153" s="1721"/>
      <c r="O153" s="1722"/>
      <c r="P153" s="1779" t="s">
        <v>472</v>
      </c>
      <c r="Q153" s="1780"/>
      <c r="R153" s="1735"/>
      <c r="S153" s="1735"/>
      <c r="T153" s="1735"/>
      <c r="U153" s="1735"/>
      <c r="V153" s="1735"/>
      <c r="W153" s="1735"/>
      <c r="X153" s="1735"/>
      <c r="Y153" s="1735"/>
      <c r="Z153" s="1735"/>
      <c r="AA153" s="1766"/>
      <c r="AB153" s="1767"/>
      <c r="AC153" s="1767"/>
      <c r="AD153" s="1767"/>
      <c r="AE153" s="1768"/>
      <c r="AF153" s="1766"/>
      <c r="AG153" s="1767"/>
      <c r="AH153" s="1767"/>
      <c r="AI153" s="1767"/>
      <c r="AJ153" s="1768"/>
      <c r="AK153" s="1770"/>
      <c r="AL153" s="1771"/>
      <c r="AM153" s="1771"/>
      <c r="AN153" s="1771"/>
      <c r="AO153" s="1772"/>
      <c r="AP153" s="1734"/>
      <c r="AQ153" s="1734"/>
      <c r="AR153" s="1734"/>
      <c r="AS153" s="1734"/>
      <c r="AT153" s="1734"/>
      <c r="AU153" s="1734"/>
      <c r="AV153" s="1766"/>
      <c r="AW153" s="1767"/>
      <c r="AX153" s="1767"/>
      <c r="AY153" s="1767"/>
      <c r="AZ153" s="1768"/>
      <c r="BT153" s="33"/>
      <c r="BU153" s="33"/>
      <c r="BV153" s="33"/>
    </row>
    <row r="154" spans="1:74" s="19" customFormat="1" ht="17.25" customHeight="1">
      <c r="A154" s="34"/>
      <c r="B154" s="1720" t="s">
        <v>666</v>
      </c>
      <c r="C154" s="1721"/>
      <c r="D154" s="1721"/>
      <c r="E154" s="1721"/>
      <c r="F154" s="1721"/>
      <c r="G154" s="1721"/>
      <c r="H154" s="1721"/>
      <c r="I154" s="1721"/>
      <c r="J154" s="1721"/>
      <c r="K154" s="1721"/>
      <c r="L154" s="1721"/>
      <c r="M154" s="1721"/>
      <c r="N154" s="1721"/>
      <c r="O154" s="1722"/>
      <c r="P154" s="1779" t="s">
        <v>658</v>
      </c>
      <c r="Q154" s="1780"/>
      <c r="R154" s="1735"/>
      <c r="S154" s="1735"/>
      <c r="T154" s="1735"/>
      <c r="U154" s="1735"/>
      <c r="V154" s="1735"/>
      <c r="W154" s="1735"/>
      <c r="X154" s="1735"/>
      <c r="Y154" s="1735"/>
      <c r="Z154" s="1735"/>
      <c r="AA154" s="1766"/>
      <c r="AB154" s="1767"/>
      <c r="AC154" s="1767"/>
      <c r="AD154" s="1767"/>
      <c r="AE154" s="1768"/>
      <c r="AF154" s="1766"/>
      <c r="AG154" s="1767"/>
      <c r="AH154" s="1767"/>
      <c r="AI154" s="1767"/>
      <c r="AJ154" s="1768"/>
      <c r="AK154" s="1770"/>
      <c r="AL154" s="1771"/>
      <c r="AM154" s="1771"/>
      <c r="AN154" s="1771"/>
      <c r="AO154" s="1772"/>
      <c r="AP154" s="1734"/>
      <c r="AQ154" s="1734"/>
      <c r="AR154" s="1734"/>
      <c r="AS154" s="1734"/>
      <c r="AT154" s="1734"/>
      <c r="AU154" s="1734"/>
      <c r="AV154" s="1766"/>
      <c r="AW154" s="1767"/>
      <c r="AX154" s="1767"/>
      <c r="AY154" s="1767"/>
      <c r="AZ154" s="1768"/>
      <c r="BT154" s="33"/>
      <c r="BU154" s="33"/>
      <c r="BV154" s="33"/>
    </row>
    <row r="155" spans="1:74" s="19" customFormat="1">
      <c r="A155" s="34"/>
      <c r="B155" s="1720" t="s">
        <v>667</v>
      </c>
      <c r="C155" s="1721"/>
      <c r="D155" s="1721"/>
      <c r="E155" s="1721"/>
      <c r="F155" s="1721"/>
      <c r="G155" s="1721"/>
      <c r="H155" s="1721"/>
      <c r="I155" s="1721"/>
      <c r="J155" s="1721"/>
      <c r="K155" s="1721"/>
      <c r="L155" s="1721"/>
      <c r="M155" s="1721"/>
      <c r="N155" s="1721"/>
      <c r="O155" s="1722"/>
      <c r="P155" s="1779" t="s">
        <v>472</v>
      </c>
      <c r="Q155" s="1780"/>
      <c r="R155" s="1735"/>
      <c r="S155" s="1735"/>
      <c r="T155" s="1735"/>
      <c r="U155" s="1735"/>
      <c r="V155" s="1735"/>
      <c r="W155" s="1735"/>
      <c r="X155" s="1735"/>
      <c r="Y155" s="1735"/>
      <c r="Z155" s="1735"/>
      <c r="AA155" s="1766"/>
      <c r="AB155" s="1767"/>
      <c r="AC155" s="1767"/>
      <c r="AD155" s="1767"/>
      <c r="AE155" s="1768"/>
      <c r="AF155" s="1766"/>
      <c r="AG155" s="1767"/>
      <c r="AH155" s="1767"/>
      <c r="AI155" s="1767"/>
      <c r="AJ155" s="1768"/>
      <c r="AK155" s="1770"/>
      <c r="AL155" s="1771"/>
      <c r="AM155" s="1771"/>
      <c r="AN155" s="1771"/>
      <c r="AO155" s="1772"/>
      <c r="AP155" s="1734"/>
      <c r="AQ155" s="1734"/>
      <c r="AR155" s="1734"/>
      <c r="AS155" s="1734"/>
      <c r="AT155" s="1734"/>
      <c r="AU155" s="1734"/>
      <c r="AV155" s="1766"/>
      <c r="AW155" s="1767"/>
      <c r="AX155" s="1767"/>
      <c r="AY155" s="1767"/>
      <c r="AZ155" s="1768"/>
      <c r="BT155" s="33"/>
      <c r="BU155" s="33"/>
      <c r="BV155" s="33"/>
    </row>
    <row r="156" spans="1:74" s="19" customFormat="1">
      <c r="A156" s="34"/>
      <c r="B156" s="1720" t="s">
        <v>3010</v>
      </c>
      <c r="C156" s="1721"/>
      <c r="D156" s="1721"/>
      <c r="E156" s="1721"/>
      <c r="F156" s="1721"/>
      <c r="G156" s="1721"/>
      <c r="H156" s="1721"/>
      <c r="I156" s="1721"/>
      <c r="J156" s="1721"/>
      <c r="K156" s="1721"/>
      <c r="L156" s="1721"/>
      <c r="M156" s="1721"/>
      <c r="N156" s="1721"/>
      <c r="O156" s="1722"/>
      <c r="P156" s="1779" t="s">
        <v>472</v>
      </c>
      <c r="Q156" s="1780"/>
      <c r="R156" s="1735"/>
      <c r="S156" s="1735"/>
      <c r="T156" s="1735"/>
      <c r="U156" s="1735"/>
      <c r="V156" s="1735"/>
      <c r="W156" s="1735"/>
      <c r="X156" s="1735"/>
      <c r="Y156" s="1735"/>
      <c r="Z156" s="1735"/>
      <c r="AA156" s="1766"/>
      <c r="AB156" s="1767"/>
      <c r="AC156" s="1767"/>
      <c r="AD156" s="1767"/>
      <c r="AE156" s="1768"/>
      <c r="AF156" s="1766"/>
      <c r="AG156" s="1767"/>
      <c r="AH156" s="1767"/>
      <c r="AI156" s="1767"/>
      <c r="AJ156" s="1768"/>
      <c r="AK156" s="1770"/>
      <c r="AL156" s="1771"/>
      <c r="AM156" s="1771"/>
      <c r="AN156" s="1771"/>
      <c r="AO156" s="1772"/>
      <c r="AP156" s="1734"/>
      <c r="AQ156" s="1734"/>
      <c r="AR156" s="1734"/>
      <c r="AS156" s="1734"/>
      <c r="AT156" s="1734"/>
      <c r="AU156" s="1734"/>
      <c r="AV156" s="1766"/>
      <c r="AW156" s="1767"/>
      <c r="AX156" s="1767"/>
      <c r="AY156" s="1767"/>
      <c r="AZ156" s="1768"/>
      <c r="BT156" s="33"/>
      <c r="BU156" s="33"/>
      <c r="BV156" s="33"/>
    </row>
    <row r="157" spans="1:74" s="19" customFormat="1">
      <c r="A157" s="34"/>
      <c r="B157" s="1720" t="s">
        <v>3011</v>
      </c>
      <c r="C157" s="1721"/>
      <c r="D157" s="1721"/>
      <c r="E157" s="1721"/>
      <c r="F157" s="1721"/>
      <c r="G157" s="1721"/>
      <c r="H157" s="1721"/>
      <c r="I157" s="1721"/>
      <c r="J157" s="1721"/>
      <c r="K157" s="1721"/>
      <c r="L157" s="1721"/>
      <c r="M157" s="1721"/>
      <c r="N157" s="1721"/>
      <c r="O157" s="1722"/>
      <c r="P157" s="1779" t="s">
        <v>472</v>
      </c>
      <c r="Q157" s="1780"/>
      <c r="R157" s="1735"/>
      <c r="S157" s="1735"/>
      <c r="T157" s="1735"/>
      <c r="U157" s="1735"/>
      <c r="V157" s="1735"/>
      <c r="W157" s="1735"/>
      <c r="X157" s="1735"/>
      <c r="Y157" s="1735"/>
      <c r="Z157" s="1735"/>
      <c r="AA157" s="1766"/>
      <c r="AB157" s="1767"/>
      <c r="AC157" s="1767"/>
      <c r="AD157" s="1767"/>
      <c r="AE157" s="1768"/>
      <c r="AF157" s="1766"/>
      <c r="AG157" s="1767"/>
      <c r="AH157" s="1767"/>
      <c r="AI157" s="1767"/>
      <c r="AJ157" s="1768"/>
      <c r="AK157" s="1770"/>
      <c r="AL157" s="1771"/>
      <c r="AM157" s="1771"/>
      <c r="AN157" s="1771"/>
      <c r="AO157" s="1772"/>
      <c r="AP157" s="1734"/>
      <c r="AQ157" s="1734"/>
      <c r="AR157" s="1734"/>
      <c r="AS157" s="1734"/>
      <c r="AT157" s="1734"/>
      <c r="AU157" s="1734"/>
      <c r="AV157" s="1766"/>
      <c r="AW157" s="1767"/>
      <c r="AX157" s="1767"/>
      <c r="AY157" s="1767"/>
      <c r="AZ157" s="1768"/>
      <c r="BT157" s="33"/>
      <c r="BU157" s="33"/>
      <c r="BV157" s="33"/>
    </row>
    <row r="158" spans="1:74" s="19" customFormat="1">
      <c r="A158" s="34"/>
      <c r="B158" s="1720" t="s">
        <v>751</v>
      </c>
      <c r="C158" s="1721"/>
      <c r="D158" s="1721"/>
      <c r="E158" s="1721"/>
      <c r="F158" s="1721"/>
      <c r="G158" s="1721"/>
      <c r="H158" s="1721"/>
      <c r="I158" s="1721"/>
      <c r="J158" s="1721"/>
      <c r="K158" s="1721"/>
      <c r="L158" s="1721"/>
      <c r="M158" s="1721"/>
      <c r="N158" s="1721"/>
      <c r="O158" s="1722"/>
      <c r="P158" s="1779" t="s">
        <v>472</v>
      </c>
      <c r="Q158" s="1780"/>
      <c r="R158" s="1735"/>
      <c r="S158" s="1735"/>
      <c r="T158" s="1735"/>
      <c r="U158" s="1735"/>
      <c r="V158" s="1735"/>
      <c r="W158" s="1735"/>
      <c r="X158" s="1735"/>
      <c r="Y158" s="1735"/>
      <c r="Z158" s="1735"/>
      <c r="AA158" s="1766"/>
      <c r="AB158" s="1767"/>
      <c r="AC158" s="1767"/>
      <c r="AD158" s="1767"/>
      <c r="AE158" s="1768"/>
      <c r="AF158" s="1766"/>
      <c r="AG158" s="1767"/>
      <c r="AH158" s="1767"/>
      <c r="AI158" s="1767"/>
      <c r="AJ158" s="1768"/>
      <c r="AK158" s="1770"/>
      <c r="AL158" s="1771"/>
      <c r="AM158" s="1771"/>
      <c r="AN158" s="1771"/>
      <c r="AO158" s="1772"/>
      <c r="AP158" s="1734"/>
      <c r="AQ158" s="1734"/>
      <c r="AR158" s="1734"/>
      <c r="AS158" s="1734"/>
      <c r="AT158" s="1734"/>
      <c r="AU158" s="1734"/>
      <c r="AV158" s="1766"/>
      <c r="AW158" s="1767"/>
      <c r="AX158" s="1767"/>
      <c r="AY158" s="1767"/>
      <c r="AZ158" s="1768"/>
      <c r="BT158" s="33"/>
      <c r="BU158" s="33"/>
      <c r="BV158" s="33"/>
    </row>
    <row r="159" spans="1:74" s="19" customFormat="1">
      <c r="A159" s="34"/>
      <c r="B159" s="1720" t="s">
        <v>668</v>
      </c>
      <c r="C159" s="1721"/>
      <c r="D159" s="1721"/>
      <c r="E159" s="1721"/>
      <c r="F159" s="1721"/>
      <c r="G159" s="1721"/>
      <c r="H159" s="1721"/>
      <c r="I159" s="1721"/>
      <c r="J159" s="1721"/>
      <c r="K159" s="1721"/>
      <c r="L159" s="1721"/>
      <c r="M159" s="1721"/>
      <c r="N159" s="1721"/>
      <c r="O159" s="1722"/>
      <c r="P159" s="1779" t="s">
        <v>472</v>
      </c>
      <c r="Q159" s="1780"/>
      <c r="R159" s="1735"/>
      <c r="S159" s="1735"/>
      <c r="T159" s="1735"/>
      <c r="U159" s="1735"/>
      <c r="V159" s="1735"/>
      <c r="W159" s="1735"/>
      <c r="X159" s="1735"/>
      <c r="Y159" s="1735"/>
      <c r="Z159" s="1735"/>
      <c r="AA159" s="1766"/>
      <c r="AB159" s="1767"/>
      <c r="AC159" s="1767"/>
      <c r="AD159" s="1767"/>
      <c r="AE159" s="1768"/>
      <c r="AF159" s="1766"/>
      <c r="AG159" s="1767"/>
      <c r="AH159" s="1767"/>
      <c r="AI159" s="1767"/>
      <c r="AJ159" s="1768"/>
      <c r="AK159" s="1770"/>
      <c r="AL159" s="1771"/>
      <c r="AM159" s="1771"/>
      <c r="AN159" s="1771"/>
      <c r="AO159" s="1772"/>
      <c r="AP159" s="1734"/>
      <c r="AQ159" s="1734"/>
      <c r="AR159" s="1734"/>
      <c r="AS159" s="1734"/>
      <c r="AT159" s="1734"/>
      <c r="AU159" s="1734"/>
      <c r="AV159" s="1766"/>
      <c r="AW159" s="1767"/>
      <c r="AX159" s="1767"/>
      <c r="AY159" s="1767"/>
      <c r="AZ159" s="1768"/>
      <c r="BT159" s="33"/>
      <c r="BU159" s="33"/>
      <c r="BV159" s="33"/>
    </row>
    <row r="160" spans="1:74" s="19" customFormat="1" ht="15" customHeight="1">
      <c r="A160" s="34"/>
      <c r="B160" s="1720" t="s">
        <v>3012</v>
      </c>
      <c r="C160" s="1721"/>
      <c r="D160" s="1721"/>
      <c r="E160" s="1721"/>
      <c r="F160" s="1721"/>
      <c r="G160" s="1721"/>
      <c r="H160" s="1721"/>
      <c r="I160" s="1721"/>
      <c r="J160" s="1721"/>
      <c r="K160" s="1721"/>
      <c r="L160" s="1721"/>
      <c r="M160" s="1721"/>
      <c r="N160" s="1721"/>
      <c r="O160" s="1722"/>
      <c r="P160" s="1779" t="s">
        <v>472</v>
      </c>
      <c r="Q160" s="1780"/>
      <c r="R160" s="1735"/>
      <c r="S160" s="1735"/>
      <c r="T160" s="1735"/>
      <c r="U160" s="1735"/>
      <c r="V160" s="1735"/>
      <c r="W160" s="1735"/>
      <c r="X160" s="1735"/>
      <c r="Y160" s="1735"/>
      <c r="Z160" s="1735"/>
      <c r="AA160" s="1766"/>
      <c r="AB160" s="1767"/>
      <c r="AC160" s="1767"/>
      <c r="AD160" s="1767"/>
      <c r="AE160" s="1768"/>
      <c r="AF160" s="1766"/>
      <c r="AG160" s="1767"/>
      <c r="AH160" s="1767"/>
      <c r="AI160" s="1767"/>
      <c r="AJ160" s="1768"/>
      <c r="AK160" s="1770"/>
      <c r="AL160" s="1771"/>
      <c r="AM160" s="1771"/>
      <c r="AN160" s="1771"/>
      <c r="AO160" s="1772"/>
      <c r="AP160" s="1734"/>
      <c r="AQ160" s="1734"/>
      <c r="AR160" s="1734"/>
      <c r="AS160" s="1734"/>
      <c r="AT160" s="1734"/>
      <c r="AU160" s="1734"/>
      <c r="AV160" s="1766"/>
      <c r="AW160" s="1767"/>
      <c r="AX160" s="1767"/>
      <c r="AY160" s="1767"/>
      <c r="AZ160" s="1768"/>
      <c r="BT160" s="33"/>
      <c r="BU160" s="33"/>
      <c r="BV160" s="33"/>
    </row>
    <row r="161" spans="1:74" s="19" customFormat="1">
      <c r="A161" s="34"/>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20"/>
      <c r="AM161" s="20"/>
      <c r="AN161" s="20"/>
      <c r="AO161" s="20"/>
      <c r="AP161" s="20"/>
      <c r="AQ161" s="20"/>
      <c r="AR161" s="20"/>
      <c r="AS161" s="20"/>
      <c r="AT161" s="20"/>
      <c r="AU161" s="20"/>
      <c r="AV161" s="20"/>
      <c r="AW161" s="20"/>
      <c r="AX161" s="20"/>
      <c r="AY161" s="20"/>
      <c r="AZ161" s="20"/>
      <c r="BT161" s="33"/>
      <c r="BU161" s="33"/>
      <c r="BV161" s="33"/>
    </row>
    <row r="162" spans="1:74" s="19" customFormat="1">
      <c r="A162" s="34"/>
      <c r="B162" s="35" t="s">
        <v>669</v>
      </c>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20"/>
      <c r="AM162" s="20"/>
      <c r="AN162" s="20"/>
      <c r="AO162" s="20"/>
      <c r="AP162" s="20"/>
      <c r="AQ162" s="20"/>
      <c r="AR162" s="20"/>
      <c r="AS162" s="20"/>
      <c r="AT162" s="20"/>
      <c r="AU162" s="20"/>
      <c r="AV162" s="20"/>
      <c r="AW162" s="20"/>
      <c r="AX162" s="20"/>
      <c r="AY162" s="20"/>
      <c r="AZ162" s="20"/>
      <c r="BT162" s="33"/>
      <c r="BU162" s="33"/>
      <c r="BV162" s="33"/>
    </row>
    <row r="163" spans="1:74" s="19" customFormat="1" ht="8.25" customHeight="1">
      <c r="A163" s="34"/>
      <c r="B163" s="35"/>
      <c r="C163" s="20"/>
      <c r="D163" s="20"/>
      <c r="E163" s="20"/>
      <c r="F163" s="20"/>
      <c r="G163" s="20"/>
      <c r="H163" s="20"/>
      <c r="I163" s="20"/>
      <c r="J163" s="20"/>
      <c r="K163" s="20"/>
      <c r="L163" s="20"/>
      <c r="M163" s="20"/>
      <c r="N163" s="20"/>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20"/>
      <c r="AM163" s="20"/>
      <c r="AN163" s="20"/>
      <c r="AO163" s="20"/>
      <c r="AP163" s="20"/>
      <c r="AQ163" s="20"/>
      <c r="AR163" s="20"/>
      <c r="AS163" s="20"/>
      <c r="AT163" s="20"/>
      <c r="AU163" s="20"/>
      <c r="AV163" s="20"/>
      <c r="AW163" s="20"/>
      <c r="AX163" s="20"/>
      <c r="AY163" s="20"/>
      <c r="AZ163" s="20"/>
      <c r="BT163" s="33"/>
      <c r="BU163" s="33"/>
      <c r="BV163" s="33"/>
    </row>
    <row r="164" spans="1:74" s="19" customFormat="1" ht="39.75" customHeight="1">
      <c r="A164" s="34"/>
      <c r="B164" s="1773" t="s">
        <v>408</v>
      </c>
      <c r="C164" s="1774"/>
      <c r="D164" s="1774"/>
      <c r="E164" s="1774"/>
      <c r="F164" s="1774"/>
      <c r="G164" s="1774"/>
      <c r="H164" s="1774"/>
      <c r="I164" s="1774"/>
      <c r="J164" s="1774"/>
      <c r="K164" s="1774"/>
      <c r="L164" s="1774"/>
      <c r="M164" s="1774"/>
      <c r="N164" s="1774"/>
      <c r="O164" s="1775"/>
      <c r="P164" s="1725" t="s">
        <v>658</v>
      </c>
      <c r="Q164" s="1725"/>
      <c r="R164" s="1725" t="s">
        <v>4</v>
      </c>
      <c r="S164" s="1725"/>
      <c r="T164" s="1725"/>
      <c r="U164" s="1725"/>
      <c r="V164" s="1725" t="s">
        <v>3255</v>
      </c>
      <c r="W164" s="1725"/>
      <c r="X164" s="1725"/>
      <c r="Y164" s="1725"/>
      <c r="Z164" s="1725"/>
      <c r="AA164" s="1725" t="s">
        <v>664</v>
      </c>
      <c r="AB164" s="1725"/>
      <c r="AC164" s="1725"/>
      <c r="AD164" s="1725"/>
      <c r="AE164" s="1725"/>
      <c r="AF164" s="1773" t="s">
        <v>660</v>
      </c>
      <c r="AG164" s="1774"/>
      <c r="AH164" s="1774"/>
      <c r="AI164" s="1774"/>
      <c r="AJ164" s="1775"/>
      <c r="AK164" s="1773" t="s">
        <v>661</v>
      </c>
      <c r="AL164" s="1774"/>
      <c r="AM164" s="1774"/>
      <c r="AN164" s="1774"/>
      <c r="AO164" s="1775"/>
      <c r="AP164" s="1773" t="s">
        <v>662</v>
      </c>
      <c r="AQ164" s="1774"/>
      <c r="AR164" s="1774"/>
      <c r="AS164" s="1774"/>
      <c r="AT164" s="1774"/>
      <c r="AU164" s="1775"/>
      <c r="AV164" s="1773" t="s">
        <v>663</v>
      </c>
      <c r="AW164" s="1774"/>
      <c r="AX164" s="1774"/>
      <c r="AY164" s="1774"/>
      <c r="AZ164" s="1775"/>
      <c r="BT164" s="33"/>
      <c r="BU164" s="33"/>
      <c r="BV164" s="33"/>
    </row>
    <row r="165" spans="1:74" s="19" customFormat="1" ht="17.25" customHeight="1">
      <c r="A165" s="34"/>
      <c r="B165" s="1720" t="s">
        <v>473</v>
      </c>
      <c r="C165" s="1721"/>
      <c r="D165" s="1721"/>
      <c r="E165" s="1721"/>
      <c r="F165" s="1721"/>
      <c r="G165" s="1721"/>
      <c r="H165" s="1721"/>
      <c r="I165" s="1721"/>
      <c r="J165" s="1721"/>
      <c r="K165" s="1721"/>
      <c r="L165" s="1721"/>
      <c r="M165" s="1721"/>
      <c r="N165" s="1721"/>
      <c r="O165" s="1722"/>
      <c r="P165" s="1779" t="s">
        <v>472</v>
      </c>
      <c r="Q165" s="1780"/>
      <c r="R165" s="1735"/>
      <c r="S165" s="1735"/>
      <c r="T165" s="1735"/>
      <c r="U165" s="1735"/>
      <c r="V165" s="1735"/>
      <c r="W165" s="1735"/>
      <c r="X165" s="1735"/>
      <c r="Y165" s="1735"/>
      <c r="Z165" s="1735"/>
      <c r="AA165" s="1766"/>
      <c r="AB165" s="1767"/>
      <c r="AC165" s="1767"/>
      <c r="AD165" s="1767"/>
      <c r="AE165" s="1768"/>
      <c r="AF165" s="1766"/>
      <c r="AG165" s="1767"/>
      <c r="AH165" s="1767"/>
      <c r="AI165" s="1767"/>
      <c r="AJ165" s="1768"/>
      <c r="AK165" s="1770"/>
      <c r="AL165" s="1771"/>
      <c r="AM165" s="1771"/>
      <c r="AN165" s="1771"/>
      <c r="AO165" s="1772"/>
      <c r="AP165" s="1734"/>
      <c r="AQ165" s="1734"/>
      <c r="AR165" s="1734"/>
      <c r="AS165" s="1734"/>
      <c r="AT165" s="1734"/>
      <c r="AU165" s="1734"/>
      <c r="AV165" s="1766"/>
      <c r="AW165" s="1767"/>
      <c r="AX165" s="1767"/>
      <c r="AY165" s="1767"/>
      <c r="AZ165" s="1768"/>
      <c r="BT165" s="33"/>
      <c r="BU165" s="33"/>
      <c r="BV165" s="33"/>
    </row>
    <row r="166" spans="1:74" s="19" customFormat="1" ht="17.25" customHeight="1">
      <c r="A166" s="34"/>
      <c r="B166" s="1720" t="s">
        <v>474</v>
      </c>
      <c r="C166" s="1721"/>
      <c r="D166" s="1721"/>
      <c r="E166" s="1721"/>
      <c r="F166" s="1721"/>
      <c r="G166" s="1721"/>
      <c r="H166" s="1721"/>
      <c r="I166" s="1721"/>
      <c r="J166" s="1721"/>
      <c r="K166" s="1721"/>
      <c r="L166" s="1721"/>
      <c r="M166" s="1721"/>
      <c r="N166" s="1721"/>
      <c r="O166" s="1722"/>
      <c r="P166" s="1779" t="s">
        <v>472</v>
      </c>
      <c r="Q166" s="1780"/>
      <c r="R166" s="1735"/>
      <c r="S166" s="1735"/>
      <c r="T166" s="1735"/>
      <c r="U166" s="1735"/>
      <c r="V166" s="1735"/>
      <c r="W166" s="1735"/>
      <c r="X166" s="1735"/>
      <c r="Y166" s="1735"/>
      <c r="Z166" s="1735"/>
      <c r="AA166" s="1766"/>
      <c r="AB166" s="1767"/>
      <c r="AC166" s="1767"/>
      <c r="AD166" s="1767"/>
      <c r="AE166" s="1768"/>
      <c r="AF166" s="1766"/>
      <c r="AG166" s="1767"/>
      <c r="AH166" s="1767"/>
      <c r="AI166" s="1767"/>
      <c r="AJ166" s="1768"/>
      <c r="AK166" s="1770"/>
      <c r="AL166" s="1771"/>
      <c r="AM166" s="1771"/>
      <c r="AN166" s="1771"/>
      <c r="AO166" s="1772"/>
      <c r="AP166" s="1734"/>
      <c r="AQ166" s="1734"/>
      <c r="AR166" s="1734"/>
      <c r="AS166" s="1734"/>
      <c r="AT166" s="1734"/>
      <c r="AU166" s="1734"/>
      <c r="AV166" s="1766"/>
      <c r="AW166" s="1767"/>
      <c r="AX166" s="1767"/>
      <c r="AY166" s="1767"/>
      <c r="AZ166" s="1768"/>
      <c r="BT166" s="33"/>
      <c r="BU166" s="33"/>
      <c r="BV166" s="33"/>
    </row>
    <row r="167" spans="1:74" s="19" customFormat="1" ht="17.25" customHeight="1">
      <c r="A167" s="34"/>
      <c r="B167" s="20"/>
      <c r="C167" s="20"/>
      <c r="D167" s="20"/>
      <c r="E167" s="20"/>
      <c r="F167" s="20"/>
      <c r="G167" s="20"/>
      <c r="H167" s="20"/>
      <c r="I167" s="20"/>
      <c r="J167" s="20"/>
      <c r="K167" s="20"/>
      <c r="L167" s="20"/>
      <c r="M167" s="20"/>
      <c r="N167" s="20"/>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20"/>
      <c r="AM167" s="20"/>
      <c r="AN167" s="20"/>
      <c r="AO167" s="20"/>
      <c r="AP167" s="20"/>
      <c r="AQ167" s="20"/>
      <c r="AR167" s="20"/>
      <c r="AS167" s="20"/>
      <c r="AT167" s="20"/>
      <c r="AU167" s="20"/>
      <c r="AV167" s="20"/>
      <c r="AW167" s="20"/>
      <c r="AX167" s="20"/>
      <c r="AY167" s="20"/>
      <c r="AZ167" s="20"/>
      <c r="BT167" s="33"/>
      <c r="BU167" s="33"/>
      <c r="BV167" s="33"/>
    </row>
    <row r="168" spans="1:74" s="19" customFormat="1" ht="40.5" customHeight="1">
      <c r="A168" s="34"/>
      <c r="B168" s="1773" t="s">
        <v>407</v>
      </c>
      <c r="C168" s="1774"/>
      <c r="D168" s="1774"/>
      <c r="E168" s="1774"/>
      <c r="F168" s="1774"/>
      <c r="G168" s="1774"/>
      <c r="H168" s="1774"/>
      <c r="I168" s="1774"/>
      <c r="J168" s="1774"/>
      <c r="K168" s="1774"/>
      <c r="L168" s="1774"/>
      <c r="M168" s="1774"/>
      <c r="N168" s="1774"/>
      <c r="O168" s="1775"/>
      <c r="P168" s="1725" t="s">
        <v>658</v>
      </c>
      <c r="Q168" s="1725"/>
      <c r="R168" s="1725" t="s">
        <v>4</v>
      </c>
      <c r="S168" s="1725"/>
      <c r="T168" s="1725"/>
      <c r="U168" s="1725"/>
      <c r="V168" s="1725" t="s">
        <v>659</v>
      </c>
      <c r="W168" s="1725"/>
      <c r="X168" s="1725"/>
      <c r="Y168" s="1725"/>
      <c r="Z168" s="1725"/>
      <c r="AA168" s="1725" t="s">
        <v>664</v>
      </c>
      <c r="AB168" s="1725"/>
      <c r="AC168" s="1725"/>
      <c r="AD168" s="1725"/>
      <c r="AE168" s="1725"/>
      <c r="AF168" s="1773" t="s">
        <v>660</v>
      </c>
      <c r="AG168" s="1774"/>
      <c r="AH168" s="1774"/>
      <c r="AI168" s="1774"/>
      <c r="AJ168" s="1775"/>
      <c r="AK168" s="1773" t="s">
        <v>661</v>
      </c>
      <c r="AL168" s="1774"/>
      <c r="AM168" s="1774"/>
      <c r="AN168" s="1774"/>
      <c r="AO168" s="1775"/>
      <c r="AP168" s="1773" t="s">
        <v>662</v>
      </c>
      <c r="AQ168" s="1774"/>
      <c r="AR168" s="1774"/>
      <c r="AS168" s="1774"/>
      <c r="AT168" s="1774"/>
      <c r="AU168" s="1775"/>
      <c r="AV168" s="1773" t="s">
        <v>663</v>
      </c>
      <c r="AW168" s="1774"/>
      <c r="AX168" s="1774"/>
      <c r="AY168" s="1774"/>
      <c r="AZ168" s="1775"/>
      <c r="BT168" s="33"/>
      <c r="BU168" s="33"/>
      <c r="BV168" s="33"/>
    </row>
    <row r="169" spans="1:74" s="19" customFormat="1" ht="17.25" customHeight="1">
      <c r="A169" s="34"/>
      <c r="B169" s="1784" t="s">
        <v>404</v>
      </c>
      <c r="C169" s="1785"/>
      <c r="D169" s="1785"/>
      <c r="E169" s="1785"/>
      <c r="F169" s="1785"/>
      <c r="G169" s="1785"/>
      <c r="H169" s="1785"/>
      <c r="I169" s="1785"/>
      <c r="J169" s="1785"/>
      <c r="K169" s="1785"/>
      <c r="L169" s="1785"/>
      <c r="M169" s="1785"/>
      <c r="N169" s="1785"/>
      <c r="O169" s="1786"/>
      <c r="P169" s="1787" t="s">
        <v>472</v>
      </c>
      <c r="Q169" s="1788"/>
      <c r="R169" s="1735"/>
      <c r="S169" s="1735"/>
      <c r="T169" s="1735"/>
      <c r="U169" s="1735"/>
      <c r="V169" s="1735"/>
      <c r="W169" s="1735"/>
      <c r="X169" s="1735"/>
      <c r="Y169" s="1735"/>
      <c r="Z169" s="1735"/>
      <c r="AA169" s="1766"/>
      <c r="AB169" s="1767"/>
      <c r="AC169" s="1767"/>
      <c r="AD169" s="1767"/>
      <c r="AE169" s="1768"/>
      <c r="AF169" s="1766"/>
      <c r="AG169" s="1767"/>
      <c r="AH169" s="1767"/>
      <c r="AI169" s="1767"/>
      <c r="AJ169" s="1768"/>
      <c r="AK169" s="1770"/>
      <c r="AL169" s="1771"/>
      <c r="AM169" s="1771"/>
      <c r="AN169" s="1771"/>
      <c r="AO169" s="1772"/>
      <c r="AP169" s="1734"/>
      <c r="AQ169" s="1734"/>
      <c r="AR169" s="1734"/>
      <c r="AS169" s="1734"/>
      <c r="AT169" s="1734"/>
      <c r="AU169" s="1734"/>
      <c r="AV169" s="1766"/>
      <c r="AW169" s="1767"/>
      <c r="AX169" s="1767"/>
      <c r="AY169" s="1767"/>
      <c r="AZ169" s="1768"/>
      <c r="BT169" s="33"/>
      <c r="BU169" s="33"/>
      <c r="BV169" s="33"/>
    </row>
    <row r="170" spans="1:74" s="19" customFormat="1" ht="17.25" customHeight="1">
      <c r="A170" s="34"/>
      <c r="B170" s="1784" t="s">
        <v>667</v>
      </c>
      <c r="C170" s="1785"/>
      <c r="D170" s="1785"/>
      <c r="E170" s="1785"/>
      <c r="F170" s="1785"/>
      <c r="G170" s="1785"/>
      <c r="H170" s="1785"/>
      <c r="I170" s="1785"/>
      <c r="J170" s="1785"/>
      <c r="K170" s="1785"/>
      <c r="L170" s="1785"/>
      <c r="M170" s="1785"/>
      <c r="N170" s="1785"/>
      <c r="O170" s="1786"/>
      <c r="P170" s="1787" t="s">
        <v>472</v>
      </c>
      <c r="Q170" s="1788"/>
      <c r="R170" s="1735"/>
      <c r="S170" s="1735"/>
      <c r="T170" s="1735"/>
      <c r="U170" s="1735"/>
      <c r="V170" s="1735"/>
      <c r="W170" s="1735"/>
      <c r="X170" s="1735"/>
      <c r="Y170" s="1735"/>
      <c r="Z170" s="1735"/>
      <c r="AA170" s="1766"/>
      <c r="AB170" s="1767"/>
      <c r="AC170" s="1767"/>
      <c r="AD170" s="1767"/>
      <c r="AE170" s="1768"/>
      <c r="AF170" s="1766"/>
      <c r="AG170" s="1767"/>
      <c r="AH170" s="1767"/>
      <c r="AI170" s="1767"/>
      <c r="AJ170" s="1768"/>
      <c r="AK170" s="1770"/>
      <c r="AL170" s="1771"/>
      <c r="AM170" s="1771"/>
      <c r="AN170" s="1771"/>
      <c r="AO170" s="1772"/>
      <c r="AP170" s="1734"/>
      <c r="AQ170" s="1734"/>
      <c r="AR170" s="1734"/>
      <c r="AS170" s="1734"/>
      <c r="AT170" s="1734"/>
      <c r="AU170" s="1734"/>
      <c r="AV170" s="1766"/>
      <c r="AW170" s="1767"/>
      <c r="AX170" s="1767"/>
      <c r="AY170" s="1767"/>
      <c r="AZ170" s="1768"/>
      <c r="BT170" s="33"/>
      <c r="BU170" s="33"/>
      <c r="BV170" s="33"/>
    </row>
    <row r="171" spans="1:74" s="19" customFormat="1" ht="17.25" customHeight="1">
      <c r="A171" s="34"/>
      <c r="B171" s="1784" t="s">
        <v>670</v>
      </c>
      <c r="C171" s="1785"/>
      <c r="D171" s="1785"/>
      <c r="E171" s="1785"/>
      <c r="F171" s="1785"/>
      <c r="G171" s="1785"/>
      <c r="H171" s="1785"/>
      <c r="I171" s="1785"/>
      <c r="J171" s="1785"/>
      <c r="K171" s="1785"/>
      <c r="L171" s="1785"/>
      <c r="M171" s="1785"/>
      <c r="N171" s="1785"/>
      <c r="O171" s="1786"/>
      <c r="P171" s="1787" t="s">
        <v>472</v>
      </c>
      <c r="Q171" s="1788"/>
      <c r="R171" s="1735"/>
      <c r="S171" s="1735"/>
      <c r="T171" s="1735"/>
      <c r="U171" s="1735"/>
      <c r="V171" s="1735"/>
      <c r="W171" s="1735"/>
      <c r="X171" s="1735"/>
      <c r="Y171" s="1735"/>
      <c r="Z171" s="1735"/>
      <c r="AA171" s="1766"/>
      <c r="AB171" s="1767"/>
      <c r="AC171" s="1767"/>
      <c r="AD171" s="1767"/>
      <c r="AE171" s="1768"/>
      <c r="AF171" s="1766"/>
      <c r="AG171" s="1767"/>
      <c r="AH171" s="1767"/>
      <c r="AI171" s="1767"/>
      <c r="AJ171" s="1768"/>
      <c r="AK171" s="1770"/>
      <c r="AL171" s="1771"/>
      <c r="AM171" s="1771"/>
      <c r="AN171" s="1771"/>
      <c r="AO171" s="1772"/>
      <c r="AP171" s="1734"/>
      <c r="AQ171" s="1734"/>
      <c r="AR171" s="1734"/>
      <c r="AS171" s="1734"/>
      <c r="AT171" s="1734"/>
      <c r="AU171" s="1734"/>
      <c r="AV171" s="1766"/>
      <c r="AW171" s="1767"/>
      <c r="AX171" s="1767"/>
      <c r="AY171" s="1767"/>
      <c r="AZ171" s="1768"/>
      <c r="BT171" s="33"/>
      <c r="BU171" s="33"/>
      <c r="BV171" s="33"/>
    </row>
    <row r="172" spans="1:74" s="19" customFormat="1" ht="17.25" customHeight="1">
      <c r="A172" s="34"/>
      <c r="B172" s="1784" t="s">
        <v>236</v>
      </c>
      <c r="C172" s="1785"/>
      <c r="D172" s="1785"/>
      <c r="E172" s="1785"/>
      <c r="F172" s="1785"/>
      <c r="G172" s="1785"/>
      <c r="H172" s="1785"/>
      <c r="I172" s="1785"/>
      <c r="J172" s="1785"/>
      <c r="K172" s="1785"/>
      <c r="L172" s="1785"/>
      <c r="M172" s="1785"/>
      <c r="N172" s="1785"/>
      <c r="O172" s="1786"/>
      <c r="P172" s="1787" t="s">
        <v>472</v>
      </c>
      <c r="Q172" s="1788"/>
      <c r="R172" s="1735"/>
      <c r="S172" s="1735"/>
      <c r="T172" s="1735"/>
      <c r="U172" s="1735"/>
      <c r="V172" s="1735"/>
      <c r="W172" s="1735"/>
      <c r="X172" s="1735"/>
      <c r="Y172" s="1735"/>
      <c r="Z172" s="1735"/>
      <c r="AA172" s="1766"/>
      <c r="AB172" s="1767"/>
      <c r="AC172" s="1767"/>
      <c r="AD172" s="1767"/>
      <c r="AE172" s="1768"/>
      <c r="AF172" s="1766"/>
      <c r="AG172" s="1767"/>
      <c r="AH172" s="1767"/>
      <c r="AI172" s="1767"/>
      <c r="AJ172" s="1768"/>
      <c r="AK172" s="1770"/>
      <c r="AL172" s="1771"/>
      <c r="AM172" s="1771"/>
      <c r="AN172" s="1771"/>
      <c r="AO172" s="1772"/>
      <c r="AP172" s="1734"/>
      <c r="AQ172" s="1734"/>
      <c r="AR172" s="1734"/>
      <c r="AS172" s="1734"/>
      <c r="AT172" s="1734"/>
      <c r="AU172" s="1734"/>
      <c r="AV172" s="1766"/>
      <c r="AW172" s="1767"/>
      <c r="AX172" s="1767"/>
      <c r="AY172" s="1767"/>
      <c r="AZ172" s="1768"/>
      <c r="BT172" s="33"/>
      <c r="BU172" s="33"/>
      <c r="BV172" s="33"/>
    </row>
    <row r="173" spans="1:74" s="19" customFormat="1" ht="17.25" customHeight="1">
      <c r="A173" s="34"/>
      <c r="B173" s="1784" t="s">
        <v>671</v>
      </c>
      <c r="C173" s="1785"/>
      <c r="D173" s="1785"/>
      <c r="E173" s="1785"/>
      <c r="F173" s="1785"/>
      <c r="G173" s="1785"/>
      <c r="H173" s="1785"/>
      <c r="I173" s="1785"/>
      <c r="J173" s="1785"/>
      <c r="K173" s="1785"/>
      <c r="L173" s="1785"/>
      <c r="M173" s="1785"/>
      <c r="N173" s="1785"/>
      <c r="O173" s="1786"/>
      <c r="P173" s="1787" t="s">
        <v>472</v>
      </c>
      <c r="Q173" s="1788"/>
      <c r="R173" s="1735"/>
      <c r="S173" s="1735"/>
      <c r="T173" s="1735"/>
      <c r="U173" s="1735"/>
      <c r="V173" s="1735"/>
      <c r="W173" s="1735"/>
      <c r="X173" s="1735"/>
      <c r="Y173" s="1735"/>
      <c r="Z173" s="1735"/>
      <c r="AA173" s="1766"/>
      <c r="AB173" s="1767"/>
      <c r="AC173" s="1767"/>
      <c r="AD173" s="1767"/>
      <c r="AE173" s="1768"/>
      <c r="AF173" s="1766"/>
      <c r="AG173" s="1767"/>
      <c r="AH173" s="1767"/>
      <c r="AI173" s="1767"/>
      <c r="AJ173" s="1768"/>
      <c r="AK173" s="1770"/>
      <c r="AL173" s="1771"/>
      <c r="AM173" s="1771"/>
      <c r="AN173" s="1771"/>
      <c r="AO173" s="1772"/>
      <c r="AP173" s="1734"/>
      <c r="AQ173" s="1734"/>
      <c r="AR173" s="1734"/>
      <c r="AS173" s="1734"/>
      <c r="AT173" s="1734"/>
      <c r="AU173" s="1734"/>
      <c r="AV173" s="1766"/>
      <c r="AW173" s="1767"/>
      <c r="AX173" s="1767"/>
      <c r="AY173" s="1767"/>
      <c r="AZ173" s="1768"/>
      <c r="BT173" s="33"/>
      <c r="BU173" s="33"/>
      <c r="BV173" s="33"/>
    </row>
    <row r="174" spans="1:74" s="19" customFormat="1" ht="17.25" customHeight="1">
      <c r="A174" s="34"/>
      <c r="B174" s="1784" t="s">
        <v>672</v>
      </c>
      <c r="C174" s="1785"/>
      <c r="D174" s="1785"/>
      <c r="E174" s="1785"/>
      <c r="F174" s="1785"/>
      <c r="G174" s="1785"/>
      <c r="H174" s="1785"/>
      <c r="I174" s="1785"/>
      <c r="J174" s="1785"/>
      <c r="K174" s="1785"/>
      <c r="L174" s="1785"/>
      <c r="M174" s="1785"/>
      <c r="N174" s="1785"/>
      <c r="O174" s="1786"/>
      <c r="P174" s="1787" t="s">
        <v>472</v>
      </c>
      <c r="Q174" s="1788"/>
      <c r="R174" s="1735"/>
      <c r="S174" s="1735"/>
      <c r="T174" s="1735"/>
      <c r="U174" s="1735"/>
      <c r="V174" s="1735"/>
      <c r="W174" s="1735"/>
      <c r="X174" s="1735"/>
      <c r="Y174" s="1735"/>
      <c r="Z174" s="1735"/>
      <c r="AA174" s="1766"/>
      <c r="AB174" s="1767"/>
      <c r="AC174" s="1767"/>
      <c r="AD174" s="1767"/>
      <c r="AE174" s="1768"/>
      <c r="AF174" s="1766"/>
      <c r="AG174" s="1767"/>
      <c r="AH174" s="1767"/>
      <c r="AI174" s="1767"/>
      <c r="AJ174" s="1768"/>
      <c r="AK174" s="1770"/>
      <c r="AL174" s="1771"/>
      <c r="AM174" s="1771"/>
      <c r="AN174" s="1771"/>
      <c r="AO174" s="1772"/>
      <c r="AP174" s="1734"/>
      <c r="AQ174" s="1734"/>
      <c r="AR174" s="1734"/>
      <c r="AS174" s="1734"/>
      <c r="AT174" s="1734"/>
      <c r="AU174" s="1734"/>
      <c r="AV174" s="1766"/>
      <c r="AW174" s="1767"/>
      <c r="AX174" s="1767"/>
      <c r="AY174" s="1767"/>
      <c r="AZ174" s="1768"/>
      <c r="BT174" s="33"/>
      <c r="BU174" s="33"/>
      <c r="BV174" s="33"/>
    </row>
    <row r="175" spans="1:74" s="19" customFormat="1" ht="17.25" customHeight="1">
      <c r="A175" s="34"/>
      <c r="B175" s="1784" t="s">
        <v>673</v>
      </c>
      <c r="C175" s="1785"/>
      <c r="D175" s="1785"/>
      <c r="E175" s="1785"/>
      <c r="F175" s="1785"/>
      <c r="G175" s="1785"/>
      <c r="H175" s="1785"/>
      <c r="I175" s="1785"/>
      <c r="J175" s="1785"/>
      <c r="K175" s="1785"/>
      <c r="L175" s="1785"/>
      <c r="M175" s="1785"/>
      <c r="N175" s="1785"/>
      <c r="O175" s="1786"/>
      <c r="P175" s="1787" t="s">
        <v>472</v>
      </c>
      <c r="Q175" s="1788"/>
      <c r="R175" s="1735"/>
      <c r="S175" s="1735"/>
      <c r="T175" s="1735"/>
      <c r="U175" s="1735"/>
      <c r="V175" s="1735"/>
      <c r="W175" s="1735"/>
      <c r="X175" s="1735"/>
      <c r="Y175" s="1735"/>
      <c r="Z175" s="1735"/>
      <c r="AA175" s="1766"/>
      <c r="AB175" s="1767"/>
      <c r="AC175" s="1767"/>
      <c r="AD175" s="1767"/>
      <c r="AE175" s="1768"/>
      <c r="AF175" s="1766"/>
      <c r="AG175" s="1767"/>
      <c r="AH175" s="1767"/>
      <c r="AI175" s="1767"/>
      <c r="AJ175" s="1768"/>
      <c r="AK175" s="1770"/>
      <c r="AL175" s="1771"/>
      <c r="AM175" s="1771"/>
      <c r="AN175" s="1771"/>
      <c r="AO175" s="1772"/>
      <c r="AP175" s="1734"/>
      <c r="AQ175" s="1734"/>
      <c r="AR175" s="1734"/>
      <c r="AS175" s="1734"/>
      <c r="AT175" s="1734"/>
      <c r="AU175" s="1734"/>
      <c r="AV175" s="1766"/>
      <c r="AW175" s="1767"/>
      <c r="AX175" s="1767"/>
      <c r="AY175" s="1767"/>
      <c r="AZ175" s="1768"/>
      <c r="BT175" s="33"/>
      <c r="BU175" s="33"/>
      <c r="BV175" s="33"/>
    </row>
    <row r="176" spans="1:74" s="19" customFormat="1" ht="17.25" customHeight="1">
      <c r="A176" s="34"/>
      <c r="B176" s="1784" t="s">
        <v>674</v>
      </c>
      <c r="C176" s="1785"/>
      <c r="D176" s="1785"/>
      <c r="E176" s="1785"/>
      <c r="F176" s="1785"/>
      <c r="G176" s="1785"/>
      <c r="H176" s="1785"/>
      <c r="I176" s="1785"/>
      <c r="J176" s="1785"/>
      <c r="K176" s="1785"/>
      <c r="L176" s="1785"/>
      <c r="M176" s="1785"/>
      <c r="N176" s="1785"/>
      <c r="O176" s="1786"/>
      <c r="P176" s="1787" t="s">
        <v>472</v>
      </c>
      <c r="Q176" s="1788"/>
      <c r="R176" s="1735"/>
      <c r="S176" s="1735"/>
      <c r="T176" s="1735"/>
      <c r="U176" s="1735"/>
      <c r="V176" s="1735"/>
      <c r="W176" s="1735"/>
      <c r="X176" s="1735"/>
      <c r="Y176" s="1735"/>
      <c r="Z176" s="1735"/>
      <c r="AA176" s="1766"/>
      <c r="AB176" s="1767"/>
      <c r="AC176" s="1767"/>
      <c r="AD176" s="1767"/>
      <c r="AE176" s="1768"/>
      <c r="AF176" s="1766"/>
      <c r="AG176" s="1767"/>
      <c r="AH176" s="1767"/>
      <c r="AI176" s="1767"/>
      <c r="AJ176" s="1768"/>
      <c r="AK176" s="1770"/>
      <c r="AL176" s="1771"/>
      <c r="AM176" s="1771"/>
      <c r="AN176" s="1771"/>
      <c r="AO176" s="1772"/>
      <c r="AP176" s="1734"/>
      <c r="AQ176" s="1734"/>
      <c r="AR176" s="1734"/>
      <c r="AS176" s="1734"/>
      <c r="AT176" s="1734"/>
      <c r="AU176" s="1734"/>
      <c r="AV176" s="1766"/>
      <c r="AW176" s="1767"/>
      <c r="AX176" s="1767"/>
      <c r="AY176" s="1767"/>
      <c r="AZ176" s="1768"/>
      <c r="BT176" s="33"/>
      <c r="BU176" s="33"/>
      <c r="BV176" s="33"/>
    </row>
    <row r="177" spans="1:74" s="19" customFormat="1" ht="17.25" customHeight="1">
      <c r="A177" s="34"/>
      <c r="B177" s="1784" t="s">
        <v>675</v>
      </c>
      <c r="C177" s="1785"/>
      <c r="D177" s="1785"/>
      <c r="E177" s="1785"/>
      <c r="F177" s="1785"/>
      <c r="G177" s="1785"/>
      <c r="H177" s="1785"/>
      <c r="I177" s="1785"/>
      <c r="J177" s="1785"/>
      <c r="K177" s="1785"/>
      <c r="L177" s="1785"/>
      <c r="M177" s="1785"/>
      <c r="N177" s="1785"/>
      <c r="O177" s="1786"/>
      <c r="P177" s="1787" t="s">
        <v>472</v>
      </c>
      <c r="Q177" s="1788"/>
      <c r="R177" s="1735"/>
      <c r="S177" s="1735"/>
      <c r="T177" s="1735"/>
      <c r="U177" s="1735"/>
      <c r="V177" s="1735"/>
      <c r="W177" s="1735"/>
      <c r="X177" s="1735"/>
      <c r="Y177" s="1735"/>
      <c r="Z177" s="1735"/>
      <c r="AA177" s="1766"/>
      <c r="AB177" s="1767"/>
      <c r="AC177" s="1767"/>
      <c r="AD177" s="1767"/>
      <c r="AE177" s="1768"/>
      <c r="AF177" s="1766"/>
      <c r="AG177" s="1767"/>
      <c r="AH177" s="1767"/>
      <c r="AI177" s="1767"/>
      <c r="AJ177" s="1768"/>
      <c r="AK177" s="1770"/>
      <c r="AL177" s="1771"/>
      <c r="AM177" s="1771"/>
      <c r="AN177" s="1771"/>
      <c r="AO177" s="1772"/>
      <c r="AP177" s="1734"/>
      <c r="AQ177" s="1734"/>
      <c r="AR177" s="1734"/>
      <c r="AS177" s="1734"/>
      <c r="AT177" s="1734"/>
      <c r="AU177" s="1734"/>
      <c r="AV177" s="1766"/>
      <c r="AW177" s="1767"/>
      <c r="AX177" s="1767"/>
      <c r="AY177" s="1767"/>
      <c r="AZ177" s="1768"/>
      <c r="BT177" s="33"/>
      <c r="BU177" s="33"/>
      <c r="BV177" s="33"/>
    </row>
    <row r="178" spans="1:74" s="19" customFormat="1" ht="17.25" customHeight="1">
      <c r="A178" s="34"/>
      <c r="B178" s="1784" t="s">
        <v>676</v>
      </c>
      <c r="C178" s="1785"/>
      <c r="D178" s="1785"/>
      <c r="E178" s="1785"/>
      <c r="F178" s="1785"/>
      <c r="G178" s="1785"/>
      <c r="H178" s="1785"/>
      <c r="I178" s="1785"/>
      <c r="J178" s="1785"/>
      <c r="K178" s="1785"/>
      <c r="L178" s="1785"/>
      <c r="M178" s="1785"/>
      <c r="N178" s="1785"/>
      <c r="O178" s="1786"/>
      <c r="P178" s="1787" t="s">
        <v>472</v>
      </c>
      <c r="Q178" s="1788"/>
      <c r="R178" s="1735"/>
      <c r="S178" s="1735"/>
      <c r="T178" s="1735"/>
      <c r="U178" s="1735"/>
      <c r="V178" s="1735"/>
      <c r="W178" s="1735"/>
      <c r="X178" s="1735"/>
      <c r="Y178" s="1735"/>
      <c r="Z178" s="1735"/>
      <c r="AA178" s="1766"/>
      <c r="AB178" s="1767"/>
      <c r="AC178" s="1767"/>
      <c r="AD178" s="1767"/>
      <c r="AE178" s="1768"/>
      <c r="AF178" s="1766"/>
      <c r="AG178" s="1767"/>
      <c r="AH178" s="1767"/>
      <c r="AI178" s="1767"/>
      <c r="AJ178" s="1768"/>
      <c r="AK178" s="1770"/>
      <c r="AL178" s="1771"/>
      <c r="AM178" s="1771"/>
      <c r="AN178" s="1771"/>
      <c r="AO178" s="1772"/>
      <c r="AP178" s="1734"/>
      <c r="AQ178" s="1734"/>
      <c r="AR178" s="1734"/>
      <c r="AS178" s="1734"/>
      <c r="AT178" s="1734"/>
      <c r="AU178" s="1734"/>
      <c r="AV178" s="1766"/>
      <c r="AW178" s="1767"/>
      <c r="AX178" s="1767"/>
      <c r="AY178" s="1767"/>
      <c r="AZ178" s="1768"/>
      <c r="BT178" s="33"/>
      <c r="BU178" s="33"/>
      <c r="BV178" s="33"/>
    </row>
    <row r="179" spans="1:74" s="19" customFormat="1" ht="17.25" customHeight="1">
      <c r="A179" s="34"/>
      <c r="B179" s="1784" t="s">
        <v>677</v>
      </c>
      <c r="C179" s="1785"/>
      <c r="D179" s="1785"/>
      <c r="E179" s="1785"/>
      <c r="F179" s="1785"/>
      <c r="G179" s="1785"/>
      <c r="H179" s="1785"/>
      <c r="I179" s="1785"/>
      <c r="J179" s="1785"/>
      <c r="K179" s="1785"/>
      <c r="L179" s="1785"/>
      <c r="M179" s="1785"/>
      <c r="N179" s="1785"/>
      <c r="O179" s="1786"/>
      <c r="P179" s="1787" t="s">
        <v>472</v>
      </c>
      <c r="Q179" s="1788"/>
      <c r="R179" s="1735"/>
      <c r="S179" s="1735"/>
      <c r="T179" s="1735"/>
      <c r="U179" s="1735"/>
      <c r="V179" s="1735"/>
      <c r="W179" s="1735"/>
      <c r="X179" s="1735"/>
      <c r="Y179" s="1735"/>
      <c r="Z179" s="1735"/>
      <c r="AA179" s="1766"/>
      <c r="AB179" s="1767"/>
      <c r="AC179" s="1767"/>
      <c r="AD179" s="1767"/>
      <c r="AE179" s="1768"/>
      <c r="AF179" s="1766"/>
      <c r="AG179" s="1767"/>
      <c r="AH179" s="1767"/>
      <c r="AI179" s="1767"/>
      <c r="AJ179" s="1768"/>
      <c r="AK179" s="1770"/>
      <c r="AL179" s="1771"/>
      <c r="AM179" s="1771"/>
      <c r="AN179" s="1771"/>
      <c r="AO179" s="1772"/>
      <c r="AP179" s="1734"/>
      <c r="AQ179" s="1734"/>
      <c r="AR179" s="1734"/>
      <c r="AS179" s="1734"/>
      <c r="AT179" s="1734"/>
      <c r="AU179" s="1734"/>
      <c r="AV179" s="1766"/>
      <c r="AW179" s="1767"/>
      <c r="AX179" s="1767"/>
      <c r="AY179" s="1767"/>
      <c r="AZ179" s="1768"/>
      <c r="BT179" s="33"/>
      <c r="BU179" s="33"/>
      <c r="BV179" s="33"/>
    </row>
    <row r="180" spans="1:74" s="19" customFormat="1" ht="17.25" customHeight="1">
      <c r="A180" s="34"/>
      <c r="B180" s="1789" t="s">
        <v>2604</v>
      </c>
      <c r="C180" s="1790"/>
      <c r="D180" s="1790"/>
      <c r="E180" s="1790"/>
      <c r="F180" s="1790"/>
      <c r="G180" s="1790"/>
      <c r="H180" s="1790"/>
      <c r="I180" s="1790"/>
      <c r="J180" s="1790"/>
      <c r="K180" s="1790"/>
      <c r="L180" s="1790"/>
      <c r="M180" s="1790"/>
      <c r="N180" s="1790"/>
      <c r="O180" s="1790"/>
      <c r="P180" s="1790"/>
      <c r="Q180" s="1790"/>
      <c r="R180" s="1790"/>
      <c r="S180" s="1790"/>
      <c r="T180" s="1790"/>
      <c r="U180" s="1790"/>
      <c r="V180" s="1790"/>
      <c r="W180" s="1790"/>
      <c r="X180" s="1790"/>
      <c r="Y180" s="1790"/>
      <c r="Z180" s="1790"/>
      <c r="AA180" s="1790"/>
      <c r="AB180" s="1790"/>
      <c r="AC180" s="1790"/>
      <c r="AD180" s="1790"/>
      <c r="AE180" s="1790"/>
      <c r="AF180" s="1790"/>
      <c r="AG180" s="1790"/>
      <c r="AH180" s="1790"/>
      <c r="AI180" s="1790"/>
      <c r="AJ180" s="1790"/>
      <c r="AK180" s="1790"/>
      <c r="AL180" s="1790"/>
      <c r="AM180" s="1790"/>
      <c r="AN180" s="1790"/>
      <c r="AO180" s="1790"/>
      <c r="AP180" s="1790"/>
      <c r="AQ180" s="1790"/>
      <c r="AR180" s="1790"/>
      <c r="AS180" s="1790"/>
      <c r="AT180" s="1790"/>
      <c r="AU180" s="1790"/>
      <c r="AV180" s="1790"/>
      <c r="AW180" s="1790"/>
      <c r="AX180" s="1790"/>
      <c r="AY180" s="1790"/>
      <c r="AZ180" s="1790"/>
      <c r="BT180" s="33"/>
      <c r="BU180" s="33"/>
      <c r="BV180" s="33"/>
    </row>
    <row r="181" spans="1:74" s="19" customFormat="1" ht="17.25" customHeight="1">
      <c r="A181" s="34"/>
      <c r="B181" s="35" t="s">
        <v>678</v>
      </c>
      <c r="C181" s="46"/>
      <c r="D181" s="46"/>
      <c r="E181" s="46"/>
      <c r="F181" s="46"/>
      <c r="G181" s="46"/>
      <c r="H181" s="46"/>
      <c r="I181" s="46"/>
      <c r="J181" s="46"/>
      <c r="K181" s="46"/>
      <c r="L181" s="46"/>
      <c r="M181" s="46"/>
      <c r="N181" s="46"/>
      <c r="O181" s="46"/>
      <c r="P181" s="47"/>
      <c r="Q181" s="47"/>
      <c r="R181" s="40"/>
      <c r="S181" s="40"/>
      <c r="T181" s="40"/>
      <c r="U181" s="40"/>
      <c r="V181" s="40"/>
      <c r="W181" s="40"/>
      <c r="X181" s="40"/>
      <c r="Y181" s="40"/>
      <c r="Z181" s="40"/>
      <c r="AA181" s="40"/>
      <c r="AB181" s="40"/>
      <c r="AC181" s="40"/>
      <c r="AD181" s="40"/>
      <c r="AE181" s="40"/>
      <c r="AF181" s="40"/>
      <c r="AG181" s="40"/>
      <c r="AH181" s="40"/>
      <c r="AI181" s="40"/>
      <c r="AJ181" s="40"/>
      <c r="AK181" s="40"/>
      <c r="AL181" s="40"/>
      <c r="AM181" s="40"/>
      <c r="AN181" s="40"/>
      <c r="AO181" s="40"/>
      <c r="AP181" s="40"/>
      <c r="AQ181" s="40"/>
      <c r="AR181" s="40"/>
      <c r="AS181" s="40"/>
      <c r="AT181" s="40"/>
      <c r="AU181" s="40"/>
      <c r="AV181" s="40"/>
      <c r="AW181" s="40"/>
      <c r="AX181" s="40"/>
      <c r="AY181" s="40"/>
      <c r="AZ181" s="40"/>
      <c r="BT181" s="33"/>
      <c r="BU181" s="33"/>
      <c r="BV181" s="33"/>
    </row>
    <row r="182" spans="1:74" s="19" customFormat="1" ht="12.75" customHeight="1">
      <c r="A182" s="34"/>
      <c r="B182" s="35"/>
      <c r="C182" s="46"/>
      <c r="D182" s="46"/>
      <c r="E182" s="46"/>
      <c r="F182" s="46"/>
      <c r="G182" s="46"/>
      <c r="H182" s="46"/>
      <c r="I182" s="46"/>
      <c r="J182" s="46"/>
      <c r="K182" s="46"/>
      <c r="L182" s="46"/>
      <c r="M182" s="46"/>
      <c r="N182" s="46"/>
      <c r="O182" s="46"/>
      <c r="P182" s="47"/>
      <c r="Q182" s="47"/>
      <c r="R182" s="40"/>
      <c r="S182" s="40"/>
      <c r="T182" s="40"/>
      <c r="U182" s="40"/>
      <c r="V182" s="40"/>
      <c r="W182" s="40"/>
      <c r="X182" s="40"/>
      <c r="Y182" s="40"/>
      <c r="Z182" s="40"/>
      <c r="AA182" s="40"/>
      <c r="AB182" s="40"/>
      <c r="AC182" s="40"/>
      <c r="AD182" s="40"/>
      <c r="AE182" s="40"/>
      <c r="AF182" s="40"/>
      <c r="AG182" s="40"/>
      <c r="AH182" s="40"/>
      <c r="AI182" s="40"/>
      <c r="AJ182" s="40"/>
      <c r="AK182" s="40"/>
      <c r="AL182" s="40"/>
      <c r="AM182" s="40"/>
      <c r="AN182" s="40"/>
      <c r="AO182" s="40"/>
      <c r="AP182" s="40"/>
      <c r="AQ182" s="40"/>
      <c r="AR182" s="40"/>
      <c r="AS182" s="40"/>
      <c r="AT182" s="40"/>
      <c r="AU182" s="40"/>
      <c r="AV182" s="40"/>
      <c r="AW182" s="40"/>
      <c r="AX182" s="40"/>
      <c r="AY182" s="40"/>
      <c r="AZ182" s="40"/>
      <c r="BT182" s="33"/>
      <c r="BU182" s="33"/>
      <c r="BV182" s="33"/>
    </row>
    <row r="183" spans="1:74" s="19" customFormat="1" ht="33.75" customHeight="1">
      <c r="A183" s="34"/>
      <c r="B183" s="1773" t="s">
        <v>7</v>
      </c>
      <c r="C183" s="1774"/>
      <c r="D183" s="1774"/>
      <c r="E183" s="1774"/>
      <c r="F183" s="1774"/>
      <c r="G183" s="1774"/>
      <c r="H183" s="1774"/>
      <c r="I183" s="1774"/>
      <c r="J183" s="1774"/>
      <c r="K183" s="1774"/>
      <c r="L183" s="1774"/>
      <c r="M183" s="1774"/>
      <c r="N183" s="1774"/>
      <c r="O183" s="1775"/>
      <c r="P183" s="1725" t="s">
        <v>658</v>
      </c>
      <c r="Q183" s="1725"/>
      <c r="R183" s="1725" t="s">
        <v>4</v>
      </c>
      <c r="S183" s="1725"/>
      <c r="T183" s="1725"/>
      <c r="U183" s="1725"/>
      <c r="V183" s="1773" t="s">
        <v>660</v>
      </c>
      <c r="W183" s="1774"/>
      <c r="X183" s="1774"/>
      <c r="Y183" s="1774"/>
      <c r="Z183" s="1775"/>
      <c r="AA183" s="1773" t="s">
        <v>661</v>
      </c>
      <c r="AB183" s="1774"/>
      <c r="AC183" s="1774"/>
      <c r="AD183" s="1774"/>
      <c r="AE183" s="1775"/>
      <c r="AF183" s="1725" t="s">
        <v>662</v>
      </c>
      <c r="AG183" s="1725"/>
      <c r="AH183" s="1725"/>
      <c r="AI183" s="1725"/>
      <c r="AJ183" s="1725"/>
      <c r="AK183" s="1725"/>
      <c r="AL183" s="1725" t="s">
        <v>663</v>
      </c>
      <c r="AM183" s="1725"/>
      <c r="AN183" s="1725"/>
      <c r="AO183" s="1725"/>
      <c r="AP183" s="1725"/>
      <c r="AQ183" s="1725"/>
      <c r="AR183" s="1725"/>
      <c r="AS183" s="1725"/>
      <c r="AT183" s="1725"/>
      <c r="AU183" s="1725"/>
      <c r="AV183" s="1725"/>
      <c r="AW183" s="1725"/>
      <c r="AX183" s="1725"/>
      <c r="AY183" s="1725"/>
      <c r="AZ183" s="1725"/>
      <c r="BT183" s="33"/>
      <c r="BU183" s="33"/>
      <c r="BV183" s="33"/>
    </row>
    <row r="184" spans="1:74" s="19" customFormat="1" ht="24" customHeight="1">
      <c r="A184" s="34"/>
      <c r="B184" s="1720" t="s">
        <v>679</v>
      </c>
      <c r="C184" s="1721"/>
      <c r="D184" s="1721"/>
      <c r="E184" s="1721"/>
      <c r="F184" s="1721"/>
      <c r="G184" s="1721"/>
      <c r="H184" s="1721"/>
      <c r="I184" s="1721"/>
      <c r="J184" s="1721"/>
      <c r="K184" s="1721"/>
      <c r="L184" s="1721"/>
      <c r="M184" s="1721"/>
      <c r="N184" s="1721"/>
      <c r="O184" s="1722"/>
      <c r="P184" s="1779" t="s">
        <v>472</v>
      </c>
      <c r="Q184" s="1780"/>
      <c r="R184" s="1735"/>
      <c r="S184" s="1735"/>
      <c r="T184" s="1735"/>
      <c r="U184" s="1735"/>
      <c r="V184" s="1766"/>
      <c r="W184" s="1767"/>
      <c r="X184" s="1767"/>
      <c r="Y184" s="1767"/>
      <c r="Z184" s="1768"/>
      <c r="AA184" s="1770"/>
      <c r="AB184" s="1771"/>
      <c r="AC184" s="1771"/>
      <c r="AD184" s="1771"/>
      <c r="AE184" s="1772"/>
      <c r="AF184" s="1734"/>
      <c r="AG184" s="1734"/>
      <c r="AH184" s="1734"/>
      <c r="AI184" s="1734"/>
      <c r="AJ184" s="1734"/>
      <c r="AK184" s="1734"/>
      <c r="AL184" s="1735"/>
      <c r="AM184" s="1735"/>
      <c r="AN184" s="1735"/>
      <c r="AO184" s="1735"/>
      <c r="AP184" s="1735"/>
      <c r="AQ184" s="1735"/>
      <c r="AR184" s="1735"/>
      <c r="AS184" s="1735"/>
      <c r="AT184" s="1735"/>
      <c r="AU184" s="1735"/>
      <c r="AV184" s="1735"/>
      <c r="AW184" s="1735"/>
      <c r="AX184" s="1735"/>
      <c r="AY184" s="1735"/>
      <c r="AZ184" s="1735"/>
      <c r="BT184" s="33"/>
      <c r="BU184" s="33"/>
      <c r="BV184" s="33"/>
    </row>
    <row r="185" spans="1:74" s="19" customFormat="1" ht="24" customHeight="1">
      <c r="A185" s="34"/>
      <c r="B185" s="1720" t="s">
        <v>680</v>
      </c>
      <c r="C185" s="1721"/>
      <c r="D185" s="1721"/>
      <c r="E185" s="1721"/>
      <c r="F185" s="1721"/>
      <c r="G185" s="1721"/>
      <c r="H185" s="1721"/>
      <c r="I185" s="1721"/>
      <c r="J185" s="1721"/>
      <c r="K185" s="1721"/>
      <c r="L185" s="1721"/>
      <c r="M185" s="1721"/>
      <c r="N185" s="1721"/>
      <c r="O185" s="1722"/>
      <c r="P185" s="1779" t="s">
        <v>472</v>
      </c>
      <c r="Q185" s="1780"/>
      <c r="R185" s="1735"/>
      <c r="S185" s="1735"/>
      <c r="T185" s="1735"/>
      <c r="U185" s="1735"/>
      <c r="V185" s="1766"/>
      <c r="W185" s="1767"/>
      <c r="X185" s="1767"/>
      <c r="Y185" s="1767"/>
      <c r="Z185" s="1768"/>
      <c r="AA185" s="1770"/>
      <c r="AB185" s="1771"/>
      <c r="AC185" s="1771"/>
      <c r="AD185" s="1771"/>
      <c r="AE185" s="1772"/>
      <c r="AF185" s="1734"/>
      <c r="AG185" s="1734"/>
      <c r="AH185" s="1734"/>
      <c r="AI185" s="1734"/>
      <c r="AJ185" s="1734"/>
      <c r="AK185" s="1734"/>
      <c r="AL185" s="1735"/>
      <c r="AM185" s="1735"/>
      <c r="AN185" s="1735"/>
      <c r="AO185" s="1735"/>
      <c r="AP185" s="1735"/>
      <c r="AQ185" s="1735"/>
      <c r="AR185" s="1735"/>
      <c r="AS185" s="1735"/>
      <c r="AT185" s="1735"/>
      <c r="AU185" s="1735"/>
      <c r="AV185" s="1735"/>
      <c r="AW185" s="1735"/>
      <c r="AX185" s="1735"/>
      <c r="AY185" s="1735"/>
      <c r="AZ185" s="1735"/>
      <c r="BT185" s="33"/>
      <c r="BU185" s="33"/>
      <c r="BV185" s="33"/>
    </row>
    <row r="186" spans="1:74" s="19" customFormat="1" ht="30" customHeight="1">
      <c r="A186" s="34"/>
      <c r="B186" s="1719" t="s">
        <v>681</v>
      </c>
      <c r="C186" s="1719"/>
      <c r="D186" s="1719"/>
      <c r="E186" s="1719"/>
      <c r="F186" s="1719"/>
      <c r="G186" s="1719"/>
      <c r="H186" s="1719"/>
      <c r="I186" s="1719"/>
      <c r="J186" s="1719"/>
      <c r="K186" s="1719"/>
      <c r="L186" s="1719"/>
      <c r="M186" s="1719"/>
      <c r="N186" s="1719"/>
      <c r="O186" s="1719"/>
      <c r="P186" s="1729" t="s">
        <v>141</v>
      </c>
      <c r="Q186" s="1729"/>
      <c r="R186" s="1735"/>
      <c r="S186" s="1735"/>
      <c r="T186" s="1735"/>
      <c r="U186" s="1735"/>
      <c r="V186" s="1766"/>
      <c r="W186" s="1767"/>
      <c r="X186" s="1767"/>
      <c r="Y186" s="1767"/>
      <c r="Z186" s="1768"/>
      <c r="AA186" s="1770"/>
      <c r="AB186" s="1771"/>
      <c r="AC186" s="1771"/>
      <c r="AD186" s="1771"/>
      <c r="AE186" s="1772"/>
      <c r="AF186" s="1734"/>
      <c r="AG186" s="1734"/>
      <c r="AH186" s="1734"/>
      <c r="AI186" s="1734"/>
      <c r="AJ186" s="1734"/>
      <c r="AK186" s="1734"/>
      <c r="AL186" s="1735"/>
      <c r="AM186" s="1735"/>
      <c r="AN186" s="1735"/>
      <c r="AO186" s="1735"/>
      <c r="AP186" s="1735"/>
      <c r="AQ186" s="1735"/>
      <c r="AR186" s="1735"/>
      <c r="AS186" s="1735"/>
      <c r="AT186" s="1735"/>
      <c r="AU186" s="1735"/>
      <c r="AV186" s="1735"/>
      <c r="AW186" s="1735"/>
      <c r="AX186" s="1735"/>
      <c r="AY186" s="1735"/>
      <c r="AZ186" s="1735"/>
      <c r="BT186" s="33"/>
      <c r="BU186" s="33"/>
      <c r="BV186" s="33"/>
    </row>
    <row r="187" spans="1:74" s="19" customFormat="1" ht="30" customHeight="1">
      <c r="A187" s="34"/>
      <c r="B187" s="1719" t="s">
        <v>632</v>
      </c>
      <c r="C187" s="1719"/>
      <c r="D187" s="1719"/>
      <c r="E187" s="1719"/>
      <c r="F187" s="1719"/>
      <c r="G187" s="1719"/>
      <c r="H187" s="1719"/>
      <c r="I187" s="1719"/>
      <c r="J187" s="1719"/>
      <c r="K187" s="1719"/>
      <c r="L187" s="1719"/>
      <c r="M187" s="1719"/>
      <c r="N187" s="1719"/>
      <c r="O187" s="1719"/>
      <c r="P187" s="1729" t="s">
        <v>141</v>
      </c>
      <c r="Q187" s="1729"/>
      <c r="R187" s="1735"/>
      <c r="S187" s="1735"/>
      <c r="T187" s="1735"/>
      <c r="U187" s="1735"/>
      <c r="V187" s="1766"/>
      <c r="W187" s="1767"/>
      <c r="X187" s="1767"/>
      <c r="Y187" s="1767"/>
      <c r="Z187" s="1768"/>
      <c r="AA187" s="1770"/>
      <c r="AB187" s="1771"/>
      <c r="AC187" s="1771"/>
      <c r="AD187" s="1771"/>
      <c r="AE187" s="1772"/>
      <c r="AF187" s="1734"/>
      <c r="AG187" s="1734"/>
      <c r="AH187" s="1734"/>
      <c r="AI187" s="1734"/>
      <c r="AJ187" s="1734"/>
      <c r="AK187" s="1734"/>
      <c r="AL187" s="1735"/>
      <c r="AM187" s="1735"/>
      <c r="AN187" s="1735"/>
      <c r="AO187" s="1735"/>
      <c r="AP187" s="1735"/>
      <c r="AQ187" s="1735"/>
      <c r="AR187" s="1735"/>
      <c r="AS187" s="1735"/>
      <c r="AT187" s="1735"/>
      <c r="AU187" s="1735"/>
      <c r="AV187" s="1735"/>
      <c r="AW187" s="1735"/>
      <c r="AX187" s="1735"/>
      <c r="AY187" s="1735"/>
      <c r="AZ187" s="1735"/>
      <c r="BT187" s="33"/>
      <c r="BU187" s="33"/>
      <c r="BV187" s="33"/>
    </row>
    <row r="188" spans="1:74" s="19" customFormat="1" ht="11.25" customHeight="1">
      <c r="A188" s="34"/>
      <c r="B188" s="48"/>
      <c r="C188" s="48"/>
      <c r="D188" s="48"/>
      <c r="E188" s="48"/>
      <c r="F188" s="48"/>
      <c r="G188" s="48"/>
      <c r="H188" s="48"/>
      <c r="I188" s="48"/>
      <c r="J188" s="48"/>
      <c r="K188" s="48"/>
      <c r="L188" s="48"/>
      <c r="M188" s="48"/>
      <c r="N188" s="48"/>
      <c r="O188" s="48"/>
      <c r="P188" s="45"/>
      <c r="Q188" s="45"/>
      <c r="R188" s="40"/>
      <c r="S188" s="40"/>
      <c r="T188" s="40"/>
      <c r="U188" s="40"/>
      <c r="V188" s="40"/>
      <c r="W188" s="40"/>
      <c r="X188" s="40"/>
      <c r="Y188" s="40"/>
      <c r="Z188" s="40"/>
      <c r="AA188" s="40"/>
      <c r="AB188" s="40"/>
      <c r="AC188" s="40"/>
      <c r="AD188" s="40"/>
      <c r="AE188" s="40"/>
      <c r="AF188" s="40"/>
      <c r="AG188" s="40"/>
      <c r="AH188" s="40"/>
      <c r="AI188" s="40"/>
      <c r="AJ188" s="40"/>
      <c r="AK188" s="40"/>
      <c r="AL188" s="40"/>
      <c r="AM188" s="40"/>
      <c r="AN188" s="40"/>
      <c r="AO188" s="40"/>
      <c r="AP188" s="40"/>
      <c r="AQ188" s="40"/>
      <c r="AR188" s="40"/>
      <c r="AS188" s="40"/>
      <c r="AT188" s="40"/>
      <c r="AU188" s="40"/>
      <c r="AV188" s="40"/>
      <c r="AW188" s="40"/>
      <c r="AX188" s="40"/>
      <c r="AY188" s="40"/>
      <c r="AZ188" s="40"/>
      <c r="BT188" s="33"/>
      <c r="BU188" s="33"/>
      <c r="BV188" s="33"/>
    </row>
    <row r="189" spans="1:74" s="19" customFormat="1">
      <c r="A189" s="34" t="s">
        <v>682</v>
      </c>
      <c r="B189" s="35" t="s">
        <v>683</v>
      </c>
      <c r="C189" s="20"/>
      <c r="D189" s="20"/>
      <c r="E189" s="20"/>
      <c r="F189" s="20"/>
      <c r="G189" s="20"/>
      <c r="H189" s="20"/>
      <c r="I189" s="20"/>
      <c r="J189" s="20"/>
      <c r="K189" s="20"/>
      <c r="L189" s="20"/>
      <c r="M189" s="20"/>
      <c r="N189" s="20"/>
      <c r="O189" s="20"/>
      <c r="P189" s="20"/>
      <c r="Q189" s="20"/>
      <c r="R189" s="20"/>
      <c r="S189" s="20"/>
      <c r="T189" s="20"/>
      <c r="U189" s="20"/>
      <c r="V189" s="20"/>
      <c r="W189" s="20"/>
      <c r="X189" s="20"/>
      <c r="Y189" s="20"/>
      <c r="Z189" s="20"/>
      <c r="AA189" s="20"/>
      <c r="AB189" s="20"/>
      <c r="AC189" s="20"/>
      <c r="AD189" s="20"/>
      <c r="AE189" s="20"/>
      <c r="AF189" s="20"/>
      <c r="AG189" s="20"/>
      <c r="AH189" s="20"/>
      <c r="AI189" s="20"/>
      <c r="AJ189" s="20"/>
      <c r="AK189" s="20"/>
      <c r="AL189" s="20"/>
      <c r="AM189" s="20"/>
      <c r="AN189" s="20"/>
      <c r="AO189" s="20"/>
      <c r="AP189" s="20"/>
      <c r="AQ189" s="20"/>
      <c r="AR189" s="20"/>
      <c r="AS189" s="20"/>
      <c r="AT189" s="20"/>
      <c r="AU189" s="20"/>
      <c r="AV189" s="20"/>
      <c r="AW189" s="20"/>
      <c r="AX189" s="20"/>
      <c r="AY189" s="20"/>
      <c r="AZ189" s="20"/>
      <c r="BT189" s="33"/>
      <c r="BU189" s="33"/>
      <c r="BV189" s="33"/>
    </row>
    <row r="191" spans="1:74" s="19" customFormat="1" ht="48" customHeight="1">
      <c r="A191" s="33"/>
      <c r="B191" s="1791" t="s">
        <v>0</v>
      </c>
      <c r="C191" s="1791"/>
      <c r="D191" s="1792" t="s">
        <v>77</v>
      </c>
      <c r="E191" s="1792"/>
      <c r="F191" s="1792"/>
      <c r="G191" s="1792"/>
      <c r="H191" s="1792"/>
      <c r="I191" s="1792"/>
      <c r="J191" s="1792"/>
      <c r="K191" s="1792"/>
      <c r="L191" s="1792"/>
      <c r="M191" s="1792"/>
      <c r="N191" s="1792"/>
      <c r="O191" s="1792"/>
      <c r="P191" s="1792"/>
      <c r="Q191" s="1792"/>
      <c r="R191" s="1792"/>
      <c r="S191" s="1792"/>
      <c r="T191" s="1792"/>
      <c r="U191" s="1792"/>
      <c r="V191" s="1792"/>
      <c r="W191" s="1793" t="s">
        <v>3256</v>
      </c>
      <c r="X191" s="1711"/>
      <c r="Y191" s="1711"/>
      <c r="Z191" s="1711"/>
      <c r="AA191" s="1711"/>
      <c r="AB191" s="33"/>
      <c r="AC191" s="33"/>
      <c r="AD191" s="33"/>
      <c r="AE191" s="33"/>
      <c r="AF191" s="33"/>
      <c r="AG191" s="33"/>
      <c r="AH191" s="33"/>
      <c r="AI191" s="33"/>
      <c r="AJ191" s="33"/>
      <c r="AK191" s="33"/>
      <c r="AL191" s="33"/>
      <c r="AM191" s="33"/>
      <c r="AN191" s="33"/>
      <c r="AO191" s="33"/>
      <c r="AP191" s="33"/>
      <c r="AQ191" s="33"/>
      <c r="AR191" s="33"/>
      <c r="AS191" s="33"/>
      <c r="AT191" s="33"/>
      <c r="AU191" s="33"/>
      <c r="AV191" s="33"/>
      <c r="AW191" s="33"/>
      <c r="AX191" s="33"/>
      <c r="AY191" s="33"/>
      <c r="AZ191" s="33"/>
      <c r="BA191" s="33"/>
      <c r="BB191" s="33"/>
      <c r="BC191" s="33"/>
      <c r="BT191" s="33"/>
      <c r="BU191" s="33"/>
      <c r="BV191" s="33"/>
    </row>
    <row r="192" spans="1:74" s="19" customFormat="1">
      <c r="A192" s="33"/>
      <c r="B192" s="1794">
        <v>1</v>
      </c>
      <c r="C192" s="1794"/>
      <c r="D192" s="1795" t="s">
        <v>13</v>
      </c>
      <c r="E192" s="1795"/>
      <c r="F192" s="1795"/>
      <c r="G192" s="1795"/>
      <c r="H192" s="1795"/>
      <c r="I192" s="1795"/>
      <c r="J192" s="1795"/>
      <c r="K192" s="1795"/>
      <c r="L192" s="1795"/>
      <c r="M192" s="1795"/>
      <c r="N192" s="1795"/>
      <c r="O192" s="1795"/>
      <c r="P192" s="1795"/>
      <c r="Q192" s="1795"/>
      <c r="R192" s="1795"/>
      <c r="S192" s="1795"/>
      <c r="T192" s="1795"/>
      <c r="U192" s="1795"/>
      <c r="V192" s="1795"/>
      <c r="W192" s="1796">
        <f>+W193+W196+W211+W249+W260</f>
        <v>0</v>
      </c>
      <c r="X192" s="1750"/>
      <c r="Y192" s="1750"/>
      <c r="Z192" s="1750"/>
      <c r="AA192" s="1750"/>
      <c r="AB192" s="33"/>
      <c r="AC192" s="33"/>
      <c r="AD192" s="33"/>
      <c r="AE192" s="33"/>
      <c r="AF192" s="33"/>
      <c r="AG192" s="33"/>
      <c r="AH192" s="33"/>
      <c r="AI192" s="33"/>
      <c r="AJ192" s="33"/>
      <c r="AK192" s="33"/>
      <c r="AL192" s="33"/>
      <c r="AM192" s="33"/>
      <c r="AN192" s="33"/>
      <c r="AO192" s="33"/>
      <c r="AP192" s="33"/>
      <c r="AQ192" s="33"/>
      <c r="AR192" s="33"/>
      <c r="AS192" s="33"/>
      <c r="AT192" s="33"/>
      <c r="AU192" s="33"/>
      <c r="AV192" s="33"/>
      <c r="AW192" s="33"/>
      <c r="AX192" s="33"/>
      <c r="AY192" s="33"/>
      <c r="AZ192" s="33"/>
      <c r="BA192" s="33"/>
      <c r="BB192" s="33"/>
      <c r="BC192" s="33"/>
      <c r="BT192" s="33"/>
      <c r="BU192" s="33"/>
      <c r="BV192" s="33"/>
    </row>
    <row r="193" spans="1:74" s="19" customFormat="1">
      <c r="A193" s="33"/>
      <c r="B193" s="1794" t="s">
        <v>273</v>
      </c>
      <c r="C193" s="1794"/>
      <c r="D193" s="1795" t="s">
        <v>14</v>
      </c>
      <c r="E193" s="1795"/>
      <c r="F193" s="1795"/>
      <c r="G193" s="1795"/>
      <c r="H193" s="1795"/>
      <c r="I193" s="1795"/>
      <c r="J193" s="1795"/>
      <c r="K193" s="1795"/>
      <c r="L193" s="1795"/>
      <c r="M193" s="1795"/>
      <c r="N193" s="1795"/>
      <c r="O193" s="1795"/>
      <c r="P193" s="1795"/>
      <c r="Q193" s="1795"/>
      <c r="R193" s="1795"/>
      <c r="S193" s="1795"/>
      <c r="T193" s="1795"/>
      <c r="U193" s="1795"/>
      <c r="V193" s="1795"/>
      <c r="W193" s="1796">
        <f>+W194+W195</f>
        <v>0</v>
      </c>
      <c r="X193" s="1750"/>
      <c r="Y193" s="1750"/>
      <c r="Z193" s="1750"/>
      <c r="AA193" s="1750"/>
      <c r="AB193" s="33"/>
      <c r="AC193" s="33"/>
      <c r="AD193" s="33"/>
      <c r="AE193" s="33"/>
      <c r="AF193" s="33"/>
      <c r="AG193" s="33"/>
      <c r="AH193" s="33"/>
      <c r="AI193" s="33"/>
      <c r="AJ193" s="33"/>
      <c r="AK193" s="33"/>
      <c r="AL193" s="33"/>
      <c r="AM193" s="33"/>
      <c r="AN193" s="33"/>
      <c r="AO193" s="33"/>
      <c r="AP193" s="33"/>
      <c r="AQ193" s="33"/>
      <c r="AR193" s="33"/>
      <c r="AS193" s="33"/>
      <c r="AT193" s="33"/>
      <c r="AU193" s="33"/>
      <c r="AV193" s="33"/>
      <c r="AW193" s="33"/>
      <c r="AX193" s="33"/>
      <c r="AY193" s="33"/>
      <c r="AZ193" s="33"/>
      <c r="BA193" s="33"/>
      <c r="BB193" s="33"/>
      <c r="BC193" s="33"/>
      <c r="BT193" s="33"/>
      <c r="BU193" s="33"/>
      <c r="BV193" s="33"/>
    </row>
    <row r="194" spans="1:74" s="19" customFormat="1">
      <c r="A194" s="33"/>
      <c r="B194" s="1797" t="s">
        <v>274</v>
      </c>
      <c r="C194" s="1797"/>
      <c r="D194" s="1798" t="s">
        <v>248</v>
      </c>
      <c r="E194" s="1798"/>
      <c r="F194" s="1798"/>
      <c r="G194" s="1798"/>
      <c r="H194" s="1798"/>
      <c r="I194" s="1798"/>
      <c r="J194" s="1798"/>
      <c r="K194" s="1798"/>
      <c r="L194" s="1798"/>
      <c r="M194" s="1798"/>
      <c r="N194" s="1798"/>
      <c r="O194" s="1798"/>
      <c r="P194" s="1798"/>
      <c r="Q194" s="1798"/>
      <c r="R194" s="1798"/>
      <c r="S194" s="1798"/>
      <c r="T194" s="1798"/>
      <c r="U194" s="1798"/>
      <c r="V194" s="1798"/>
      <c r="W194" s="1799"/>
      <c r="X194" s="1732"/>
      <c r="Y194" s="1732"/>
      <c r="Z194" s="1732"/>
      <c r="AA194" s="1732"/>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T194" s="33"/>
      <c r="BU194" s="33"/>
      <c r="BV194" s="33"/>
    </row>
    <row r="195" spans="1:74" s="19" customFormat="1">
      <c r="A195" s="33"/>
      <c r="B195" s="1797" t="s">
        <v>322</v>
      </c>
      <c r="C195" s="1797"/>
      <c r="D195" s="1798" t="s">
        <v>344</v>
      </c>
      <c r="E195" s="1798"/>
      <c r="F195" s="1798"/>
      <c r="G195" s="1798"/>
      <c r="H195" s="1798"/>
      <c r="I195" s="1798"/>
      <c r="J195" s="1798"/>
      <c r="K195" s="1798"/>
      <c r="L195" s="1798"/>
      <c r="M195" s="1798"/>
      <c r="N195" s="1798"/>
      <c r="O195" s="1798"/>
      <c r="P195" s="1798"/>
      <c r="Q195" s="1798"/>
      <c r="R195" s="1798"/>
      <c r="S195" s="1798"/>
      <c r="T195" s="1798"/>
      <c r="U195" s="1798"/>
      <c r="V195" s="1798"/>
      <c r="W195" s="1799"/>
      <c r="X195" s="1732"/>
      <c r="Y195" s="1732"/>
      <c r="Z195" s="1732"/>
      <c r="AA195" s="1732"/>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T195" s="33"/>
      <c r="BU195" s="33"/>
      <c r="BV195" s="33"/>
    </row>
    <row r="196" spans="1:74" s="19" customFormat="1">
      <c r="A196" s="33"/>
      <c r="B196" s="1794" t="s">
        <v>275</v>
      </c>
      <c r="C196" s="1794"/>
      <c r="D196" s="1795" t="s">
        <v>301</v>
      </c>
      <c r="E196" s="1795"/>
      <c r="F196" s="1795"/>
      <c r="G196" s="1795"/>
      <c r="H196" s="1795"/>
      <c r="I196" s="1795"/>
      <c r="J196" s="1795"/>
      <c r="K196" s="1795"/>
      <c r="L196" s="1795"/>
      <c r="M196" s="1795"/>
      <c r="N196" s="1795"/>
      <c r="O196" s="1795"/>
      <c r="P196" s="1795"/>
      <c r="Q196" s="1795"/>
      <c r="R196" s="1795"/>
      <c r="S196" s="1795"/>
      <c r="T196" s="1795"/>
      <c r="U196" s="1795"/>
      <c r="V196" s="1795"/>
      <c r="W196" s="1796">
        <f>SUM(W197:AA210)</f>
        <v>0</v>
      </c>
      <c r="X196" s="1750"/>
      <c r="Y196" s="1750"/>
      <c r="Z196" s="1750"/>
      <c r="AA196" s="1750"/>
      <c r="AB196" s="33"/>
      <c r="AC196" s="33"/>
      <c r="AD196" s="33"/>
      <c r="AE196" s="33"/>
      <c r="AF196" s="33"/>
      <c r="AG196" s="33"/>
      <c r="AH196" s="33"/>
      <c r="AI196" s="33"/>
      <c r="AJ196" s="33"/>
      <c r="AK196" s="33"/>
      <c r="AL196" s="33"/>
      <c r="AM196" s="33"/>
      <c r="AN196" s="33"/>
      <c r="AO196" s="33"/>
      <c r="AP196" s="33"/>
      <c r="AQ196" s="33"/>
      <c r="AR196" s="33"/>
      <c r="AS196" s="33"/>
      <c r="AT196" s="33"/>
      <c r="AU196" s="33"/>
      <c r="AV196" s="33"/>
      <c r="AW196" s="33"/>
      <c r="AX196" s="33"/>
      <c r="AY196" s="33"/>
      <c r="AZ196" s="33"/>
      <c r="BA196" s="33"/>
      <c r="BB196" s="33"/>
      <c r="BC196" s="33"/>
      <c r="BT196" s="33"/>
      <c r="BU196" s="33"/>
      <c r="BV196" s="33"/>
    </row>
    <row r="197" spans="1:74" s="19" customFormat="1">
      <c r="A197" s="33"/>
      <c r="B197" s="1797" t="s">
        <v>276</v>
      </c>
      <c r="C197" s="1797"/>
      <c r="D197" s="1798" t="s">
        <v>203</v>
      </c>
      <c r="E197" s="1798"/>
      <c r="F197" s="1798"/>
      <c r="G197" s="1798"/>
      <c r="H197" s="1798"/>
      <c r="I197" s="1798"/>
      <c r="J197" s="1798"/>
      <c r="K197" s="1798"/>
      <c r="L197" s="1798"/>
      <c r="M197" s="1798"/>
      <c r="N197" s="1798"/>
      <c r="O197" s="1798"/>
      <c r="P197" s="1798"/>
      <c r="Q197" s="1798"/>
      <c r="R197" s="1798"/>
      <c r="S197" s="1798"/>
      <c r="T197" s="1798"/>
      <c r="U197" s="1798"/>
      <c r="V197" s="1798"/>
      <c r="W197" s="1799"/>
      <c r="X197" s="1732"/>
      <c r="Y197" s="1732"/>
      <c r="Z197" s="1732"/>
      <c r="AA197" s="1732"/>
      <c r="AB197" s="33"/>
      <c r="AC197" s="33"/>
      <c r="AD197" s="33"/>
      <c r="AE197" s="33"/>
      <c r="AF197" s="33"/>
      <c r="AG197" s="33"/>
      <c r="AH197" s="33"/>
      <c r="AI197" s="33"/>
      <c r="AJ197" s="33"/>
      <c r="AK197" s="33"/>
      <c r="AL197" s="33"/>
      <c r="AM197" s="33"/>
      <c r="AN197" s="33"/>
      <c r="AO197" s="33"/>
      <c r="AP197" s="33"/>
      <c r="AQ197" s="33"/>
      <c r="AR197" s="33"/>
      <c r="AS197" s="33"/>
      <c r="AT197" s="33"/>
      <c r="AU197" s="33"/>
      <c r="AV197" s="33"/>
      <c r="AW197" s="33"/>
      <c r="AX197" s="33"/>
      <c r="AY197" s="33"/>
      <c r="AZ197" s="33"/>
      <c r="BA197" s="33"/>
      <c r="BB197" s="33"/>
      <c r="BC197" s="33"/>
      <c r="BT197" s="33"/>
      <c r="BU197" s="33"/>
      <c r="BV197" s="33"/>
    </row>
    <row r="198" spans="1:74" s="19" customFormat="1">
      <c r="A198" s="33"/>
      <c r="B198" s="1797" t="s">
        <v>277</v>
      </c>
      <c r="C198" s="1797"/>
      <c r="D198" s="1798" t="s">
        <v>684</v>
      </c>
      <c r="E198" s="1798"/>
      <c r="F198" s="1798"/>
      <c r="G198" s="1798"/>
      <c r="H198" s="1798"/>
      <c r="I198" s="1798"/>
      <c r="J198" s="1798"/>
      <c r="K198" s="1798"/>
      <c r="L198" s="1798"/>
      <c r="M198" s="1798"/>
      <c r="N198" s="1798"/>
      <c r="O198" s="1798"/>
      <c r="P198" s="1798"/>
      <c r="Q198" s="1798"/>
      <c r="R198" s="1798"/>
      <c r="S198" s="1798"/>
      <c r="T198" s="1798"/>
      <c r="U198" s="1798"/>
      <c r="V198" s="1798"/>
      <c r="W198" s="1799"/>
      <c r="X198" s="1732"/>
      <c r="Y198" s="1732"/>
      <c r="Z198" s="1732"/>
      <c r="AA198" s="1732"/>
      <c r="AB198" s="33"/>
      <c r="AC198" s="33"/>
      <c r="AD198" s="33"/>
      <c r="AE198" s="33"/>
      <c r="AF198" s="33"/>
      <c r="AG198" s="33"/>
      <c r="AH198" s="33"/>
      <c r="AI198" s="33"/>
      <c r="AJ198" s="33"/>
      <c r="AK198" s="33"/>
      <c r="AL198" s="33"/>
      <c r="AM198" s="33"/>
      <c r="AN198" s="33"/>
      <c r="AO198" s="33"/>
      <c r="AP198" s="33"/>
      <c r="AQ198" s="33"/>
      <c r="AR198" s="33"/>
      <c r="AS198" s="33"/>
      <c r="AT198" s="33"/>
      <c r="AU198" s="33"/>
      <c r="AV198" s="33"/>
      <c r="AW198" s="33"/>
      <c r="AX198" s="33"/>
      <c r="AY198" s="33"/>
      <c r="AZ198" s="33"/>
      <c r="BA198" s="33"/>
      <c r="BB198" s="33"/>
      <c r="BC198" s="33"/>
      <c r="BT198" s="33"/>
      <c r="BU198" s="33"/>
      <c r="BV198" s="33"/>
    </row>
    <row r="199" spans="1:74" s="19" customFormat="1">
      <c r="A199" s="33"/>
      <c r="B199" s="1800" t="s">
        <v>278</v>
      </c>
      <c r="C199" s="1800"/>
      <c r="D199" s="1801" t="s">
        <v>685</v>
      </c>
      <c r="E199" s="1801"/>
      <c r="F199" s="1801"/>
      <c r="G199" s="1801"/>
      <c r="H199" s="1801"/>
      <c r="I199" s="1801"/>
      <c r="J199" s="1801"/>
      <c r="K199" s="1801"/>
      <c r="L199" s="1801"/>
      <c r="M199" s="1801"/>
      <c r="N199" s="1801"/>
      <c r="O199" s="1801"/>
      <c r="P199" s="1801"/>
      <c r="Q199" s="1801"/>
      <c r="R199" s="1801"/>
      <c r="S199" s="1801"/>
      <c r="T199" s="1801"/>
      <c r="U199" s="1801"/>
      <c r="V199" s="1801"/>
      <c r="W199" s="1799"/>
      <c r="X199" s="1732"/>
      <c r="Y199" s="1732"/>
      <c r="Z199" s="1732"/>
      <c r="AA199" s="1732"/>
      <c r="AB199" s="33"/>
      <c r="AC199" s="33"/>
      <c r="AD199" s="33"/>
      <c r="AE199" s="33"/>
      <c r="AF199" s="33"/>
      <c r="AG199" s="33"/>
      <c r="AH199" s="33"/>
      <c r="AI199" s="33"/>
      <c r="AJ199" s="33"/>
      <c r="AK199" s="33"/>
      <c r="AL199" s="33"/>
      <c r="AM199" s="33"/>
      <c r="AN199" s="33"/>
      <c r="AO199" s="33"/>
      <c r="AP199" s="33"/>
      <c r="AQ199" s="33"/>
      <c r="AR199" s="33"/>
      <c r="AS199" s="33"/>
      <c r="AT199" s="33"/>
      <c r="AU199" s="33"/>
      <c r="AV199" s="33"/>
      <c r="AW199" s="33"/>
      <c r="AX199" s="33"/>
      <c r="AY199" s="33"/>
      <c r="AZ199" s="33"/>
      <c r="BA199" s="33"/>
      <c r="BB199" s="33"/>
      <c r="BC199" s="33"/>
      <c r="BT199" s="33"/>
      <c r="BU199" s="33"/>
      <c r="BV199" s="33"/>
    </row>
    <row r="200" spans="1:74" s="19" customFormat="1">
      <c r="A200" s="33"/>
      <c r="B200" s="1800" t="s">
        <v>279</v>
      </c>
      <c r="C200" s="1800"/>
      <c r="D200" s="1801" t="s">
        <v>204</v>
      </c>
      <c r="E200" s="1801"/>
      <c r="F200" s="1801"/>
      <c r="G200" s="1801"/>
      <c r="H200" s="1801"/>
      <c r="I200" s="1801"/>
      <c r="J200" s="1801"/>
      <c r="K200" s="1801"/>
      <c r="L200" s="1801"/>
      <c r="M200" s="1801"/>
      <c r="N200" s="1801"/>
      <c r="O200" s="1801"/>
      <c r="P200" s="1801"/>
      <c r="Q200" s="1801"/>
      <c r="R200" s="1801"/>
      <c r="S200" s="1801"/>
      <c r="T200" s="1801"/>
      <c r="U200" s="1801"/>
      <c r="V200" s="1801"/>
      <c r="W200" s="1799"/>
      <c r="X200" s="1732"/>
      <c r="Y200" s="1732"/>
      <c r="Z200" s="1732"/>
      <c r="AA200" s="1732"/>
      <c r="AB200" s="33"/>
      <c r="AC200" s="33"/>
      <c r="AD200" s="33"/>
      <c r="AE200" s="33"/>
      <c r="AF200" s="33"/>
      <c r="AG200" s="33"/>
      <c r="AH200" s="33"/>
      <c r="AI200" s="33"/>
      <c r="AJ200" s="33"/>
      <c r="AK200" s="33"/>
      <c r="AL200" s="33"/>
      <c r="AM200" s="33"/>
      <c r="AN200" s="33"/>
      <c r="AO200" s="33"/>
      <c r="AP200" s="33"/>
      <c r="AQ200" s="33"/>
      <c r="AR200" s="33"/>
      <c r="AS200" s="33"/>
      <c r="AT200" s="33"/>
      <c r="AU200" s="33"/>
      <c r="AV200" s="33"/>
      <c r="AW200" s="33"/>
      <c r="AX200" s="33"/>
      <c r="AY200" s="33"/>
      <c r="AZ200" s="33"/>
      <c r="BA200" s="33"/>
      <c r="BB200" s="33"/>
      <c r="BC200" s="33"/>
      <c r="BT200" s="33"/>
      <c r="BU200" s="33"/>
      <c r="BV200" s="33"/>
    </row>
    <row r="201" spans="1:74" s="19" customFormat="1">
      <c r="A201" s="33"/>
      <c r="B201" s="1800" t="s">
        <v>316</v>
      </c>
      <c r="C201" s="1800"/>
      <c r="D201" s="1801" t="s">
        <v>259</v>
      </c>
      <c r="E201" s="1801"/>
      <c r="F201" s="1801"/>
      <c r="G201" s="1801"/>
      <c r="H201" s="1801"/>
      <c r="I201" s="1801"/>
      <c r="J201" s="1801"/>
      <c r="K201" s="1801"/>
      <c r="L201" s="1801"/>
      <c r="M201" s="1801"/>
      <c r="N201" s="1801"/>
      <c r="O201" s="1801"/>
      <c r="P201" s="1801"/>
      <c r="Q201" s="1801"/>
      <c r="R201" s="1801"/>
      <c r="S201" s="1801"/>
      <c r="T201" s="1801"/>
      <c r="U201" s="1801"/>
      <c r="V201" s="1801"/>
      <c r="W201" s="1799"/>
      <c r="X201" s="1732"/>
      <c r="Y201" s="1732"/>
      <c r="Z201" s="1732"/>
      <c r="AA201" s="1732"/>
      <c r="AB201" s="33"/>
      <c r="AC201" s="33"/>
      <c r="AD201" s="33"/>
      <c r="AE201" s="33"/>
      <c r="AF201" s="33"/>
      <c r="AG201" s="33"/>
      <c r="AH201" s="33"/>
      <c r="AI201" s="33"/>
      <c r="AJ201" s="33"/>
      <c r="AK201" s="33"/>
      <c r="AL201" s="33"/>
      <c r="AM201" s="33"/>
      <c r="AN201" s="33"/>
      <c r="AO201" s="33"/>
      <c r="AP201" s="33"/>
      <c r="AQ201" s="33"/>
      <c r="AR201" s="33"/>
      <c r="AS201" s="33"/>
      <c r="AT201" s="33"/>
      <c r="AU201" s="33"/>
      <c r="AV201" s="33"/>
      <c r="AW201" s="33"/>
      <c r="AX201" s="33"/>
      <c r="AY201" s="33"/>
      <c r="AZ201" s="33"/>
      <c r="BA201" s="33"/>
      <c r="BB201" s="33"/>
      <c r="BC201" s="33"/>
      <c r="BT201" s="33"/>
      <c r="BU201" s="33"/>
      <c r="BV201" s="33"/>
    </row>
    <row r="202" spans="1:74">
      <c r="B202" s="1800" t="s">
        <v>317</v>
      </c>
      <c r="C202" s="1800"/>
      <c r="D202" s="1801" t="s">
        <v>225</v>
      </c>
      <c r="E202" s="1801"/>
      <c r="F202" s="1801"/>
      <c r="G202" s="1801"/>
      <c r="H202" s="1801"/>
      <c r="I202" s="1801"/>
      <c r="J202" s="1801"/>
      <c r="K202" s="1801"/>
      <c r="L202" s="1801"/>
      <c r="M202" s="1801"/>
      <c r="N202" s="1801"/>
      <c r="O202" s="1801"/>
      <c r="P202" s="1801"/>
      <c r="Q202" s="1801"/>
      <c r="R202" s="1801"/>
      <c r="S202" s="1801"/>
      <c r="T202" s="1801"/>
      <c r="U202" s="1801"/>
      <c r="V202" s="1801"/>
      <c r="W202" s="1799"/>
      <c r="X202" s="1732"/>
      <c r="Y202" s="1732"/>
      <c r="Z202" s="1732"/>
      <c r="AA202" s="1732"/>
    </row>
    <row r="203" spans="1:74">
      <c r="B203" s="1800" t="s">
        <v>333</v>
      </c>
      <c r="C203" s="1800"/>
      <c r="D203" s="1801" t="s">
        <v>226</v>
      </c>
      <c r="E203" s="1801"/>
      <c r="F203" s="1801"/>
      <c r="G203" s="1801"/>
      <c r="H203" s="1801"/>
      <c r="I203" s="1801"/>
      <c r="J203" s="1801"/>
      <c r="K203" s="1801"/>
      <c r="L203" s="1801"/>
      <c r="M203" s="1801"/>
      <c r="N203" s="1801"/>
      <c r="O203" s="1801"/>
      <c r="P203" s="1801"/>
      <c r="Q203" s="1801"/>
      <c r="R203" s="1801"/>
      <c r="S203" s="1801"/>
      <c r="T203" s="1801"/>
      <c r="U203" s="1801"/>
      <c r="V203" s="1801"/>
      <c r="W203" s="1799"/>
      <c r="X203" s="1732"/>
      <c r="Y203" s="1732"/>
      <c r="Z203" s="1732"/>
      <c r="AA203" s="1732"/>
    </row>
    <row r="204" spans="1:74">
      <c r="B204" s="1800" t="s">
        <v>334</v>
      </c>
      <c r="C204" s="1800"/>
      <c r="D204" s="1801" t="s">
        <v>686</v>
      </c>
      <c r="E204" s="1801"/>
      <c r="F204" s="1801"/>
      <c r="G204" s="1801"/>
      <c r="H204" s="1801"/>
      <c r="I204" s="1801"/>
      <c r="J204" s="1801"/>
      <c r="K204" s="1801"/>
      <c r="L204" s="1801"/>
      <c r="M204" s="1801"/>
      <c r="N204" s="1801"/>
      <c r="O204" s="1801"/>
      <c r="P204" s="1801"/>
      <c r="Q204" s="1801"/>
      <c r="R204" s="1801"/>
      <c r="S204" s="1801"/>
      <c r="T204" s="1801"/>
      <c r="U204" s="1801"/>
      <c r="V204" s="1801"/>
      <c r="W204" s="1799"/>
      <c r="X204" s="1732"/>
      <c r="Y204" s="1732"/>
      <c r="Z204" s="1732"/>
      <c r="AA204" s="1732"/>
    </row>
    <row r="205" spans="1:74">
      <c r="B205" s="1800" t="s">
        <v>338</v>
      </c>
      <c r="C205" s="1800"/>
      <c r="D205" s="1801" t="s">
        <v>238</v>
      </c>
      <c r="E205" s="1801"/>
      <c r="F205" s="1801"/>
      <c r="G205" s="1801"/>
      <c r="H205" s="1801"/>
      <c r="I205" s="1801"/>
      <c r="J205" s="1801"/>
      <c r="K205" s="1801"/>
      <c r="L205" s="1801"/>
      <c r="M205" s="1801"/>
      <c r="N205" s="1801"/>
      <c r="O205" s="1801"/>
      <c r="P205" s="1801"/>
      <c r="Q205" s="1801"/>
      <c r="R205" s="1801"/>
      <c r="S205" s="1801"/>
      <c r="T205" s="1801"/>
      <c r="U205" s="1801"/>
      <c r="V205" s="1801"/>
      <c r="W205" s="1799"/>
      <c r="X205" s="1732"/>
      <c r="Y205" s="1732"/>
      <c r="Z205" s="1732"/>
      <c r="AA205" s="1732"/>
    </row>
    <row r="206" spans="1:74">
      <c r="B206" s="1800" t="s">
        <v>339</v>
      </c>
      <c r="C206" s="1800"/>
      <c r="D206" s="1801" t="s">
        <v>239</v>
      </c>
      <c r="E206" s="1801"/>
      <c r="F206" s="1801"/>
      <c r="G206" s="1801"/>
      <c r="H206" s="1801"/>
      <c r="I206" s="1801"/>
      <c r="J206" s="1801"/>
      <c r="K206" s="1801"/>
      <c r="L206" s="1801"/>
      <c r="M206" s="1801"/>
      <c r="N206" s="1801"/>
      <c r="O206" s="1801"/>
      <c r="P206" s="1801"/>
      <c r="Q206" s="1801"/>
      <c r="R206" s="1801"/>
      <c r="S206" s="1801"/>
      <c r="T206" s="1801"/>
      <c r="U206" s="1801"/>
      <c r="V206" s="1801"/>
      <c r="W206" s="1799"/>
      <c r="X206" s="1732"/>
      <c r="Y206" s="1732"/>
      <c r="Z206" s="1732"/>
      <c r="AA206" s="1732"/>
    </row>
    <row r="207" spans="1:74">
      <c r="B207" s="1800" t="s">
        <v>340</v>
      </c>
      <c r="C207" s="1800"/>
      <c r="D207" s="1801" t="s">
        <v>240</v>
      </c>
      <c r="E207" s="1801"/>
      <c r="F207" s="1801"/>
      <c r="G207" s="1801"/>
      <c r="H207" s="1801"/>
      <c r="I207" s="1801"/>
      <c r="J207" s="1801"/>
      <c r="K207" s="1801"/>
      <c r="L207" s="1801"/>
      <c r="M207" s="1801"/>
      <c r="N207" s="1801"/>
      <c r="O207" s="1801"/>
      <c r="P207" s="1801"/>
      <c r="Q207" s="1801"/>
      <c r="R207" s="1801"/>
      <c r="S207" s="1801"/>
      <c r="T207" s="1801"/>
      <c r="U207" s="1801"/>
      <c r="V207" s="1801"/>
      <c r="W207" s="1799"/>
      <c r="X207" s="1732"/>
      <c r="Y207" s="1732"/>
      <c r="Z207" s="1732"/>
      <c r="AA207" s="1732"/>
    </row>
    <row r="208" spans="1:74">
      <c r="B208" s="1800" t="s">
        <v>341</v>
      </c>
      <c r="C208" s="1800"/>
      <c r="D208" s="1801" t="s">
        <v>241</v>
      </c>
      <c r="E208" s="1801"/>
      <c r="F208" s="1801"/>
      <c r="G208" s="1801"/>
      <c r="H208" s="1801"/>
      <c r="I208" s="1801"/>
      <c r="J208" s="1801"/>
      <c r="K208" s="1801"/>
      <c r="L208" s="1801"/>
      <c r="M208" s="1801"/>
      <c r="N208" s="1801"/>
      <c r="O208" s="1801"/>
      <c r="P208" s="1801"/>
      <c r="Q208" s="1801"/>
      <c r="R208" s="1801"/>
      <c r="S208" s="1801"/>
      <c r="T208" s="1801"/>
      <c r="U208" s="1801"/>
      <c r="V208" s="1801"/>
      <c r="W208" s="1799"/>
      <c r="X208" s="1732"/>
      <c r="Y208" s="1732"/>
      <c r="Z208" s="1732"/>
      <c r="AA208" s="1732"/>
    </row>
    <row r="209" spans="2:27">
      <c r="B209" s="1800" t="s">
        <v>342</v>
      </c>
      <c r="C209" s="1800"/>
      <c r="D209" s="1801" t="s">
        <v>251</v>
      </c>
      <c r="E209" s="1801"/>
      <c r="F209" s="1801"/>
      <c r="G209" s="1801"/>
      <c r="H209" s="1801"/>
      <c r="I209" s="1801"/>
      <c r="J209" s="1801"/>
      <c r="K209" s="1801"/>
      <c r="L209" s="1801"/>
      <c r="M209" s="1801"/>
      <c r="N209" s="1801"/>
      <c r="O209" s="1801"/>
      <c r="P209" s="1801"/>
      <c r="Q209" s="1801"/>
      <c r="R209" s="1801"/>
      <c r="S209" s="1801"/>
      <c r="T209" s="1801"/>
      <c r="U209" s="1801"/>
      <c r="V209" s="1801"/>
      <c r="W209" s="1799"/>
      <c r="X209" s="1732"/>
      <c r="Y209" s="1732"/>
      <c r="Z209" s="1732"/>
      <c r="AA209" s="1732"/>
    </row>
    <row r="210" spans="2:27">
      <c r="B210" s="1800" t="s">
        <v>343</v>
      </c>
      <c r="C210" s="1800"/>
      <c r="D210" s="1801" t="s">
        <v>269</v>
      </c>
      <c r="E210" s="1801"/>
      <c r="F210" s="1801"/>
      <c r="G210" s="1801"/>
      <c r="H210" s="1801"/>
      <c r="I210" s="1801"/>
      <c r="J210" s="1801"/>
      <c r="K210" s="1801"/>
      <c r="L210" s="1801"/>
      <c r="M210" s="1801"/>
      <c r="N210" s="1801"/>
      <c r="O210" s="1801"/>
      <c r="P210" s="1801"/>
      <c r="Q210" s="1801"/>
      <c r="R210" s="1801"/>
      <c r="S210" s="1801"/>
      <c r="T210" s="1801"/>
      <c r="U210" s="1801"/>
      <c r="V210" s="1801"/>
      <c r="W210" s="1799"/>
      <c r="X210" s="1732"/>
      <c r="Y210" s="1732"/>
      <c r="Z210" s="1732"/>
      <c r="AA210" s="1732"/>
    </row>
    <row r="211" spans="2:27">
      <c r="B211" s="1802" t="s">
        <v>280</v>
      </c>
      <c r="C211" s="1802"/>
      <c r="D211" s="1803" t="s">
        <v>281</v>
      </c>
      <c r="E211" s="1803"/>
      <c r="F211" s="1803"/>
      <c r="G211" s="1803"/>
      <c r="H211" s="1803"/>
      <c r="I211" s="1803"/>
      <c r="J211" s="1803"/>
      <c r="K211" s="1803"/>
      <c r="L211" s="1803"/>
      <c r="M211" s="1803"/>
      <c r="N211" s="1803"/>
      <c r="O211" s="1803"/>
      <c r="P211" s="1803"/>
      <c r="Q211" s="1803"/>
      <c r="R211" s="1803"/>
      <c r="S211" s="1803"/>
      <c r="T211" s="1803"/>
      <c r="U211" s="1803"/>
      <c r="V211" s="1803"/>
      <c r="W211" s="1804">
        <f>+W212+W228+W241</f>
        <v>0</v>
      </c>
      <c r="X211" s="1805"/>
      <c r="Y211" s="1805"/>
      <c r="Z211" s="1805"/>
      <c r="AA211" s="1805"/>
    </row>
    <row r="212" spans="2:27">
      <c r="B212" s="1802" t="s">
        <v>282</v>
      </c>
      <c r="C212" s="1802"/>
      <c r="D212" s="1803" t="s">
        <v>16</v>
      </c>
      <c r="E212" s="1803"/>
      <c r="F212" s="1803"/>
      <c r="G212" s="1803"/>
      <c r="H212" s="1803"/>
      <c r="I212" s="1803"/>
      <c r="J212" s="1803"/>
      <c r="K212" s="1803"/>
      <c r="L212" s="1803"/>
      <c r="M212" s="1803"/>
      <c r="N212" s="1803"/>
      <c r="O212" s="1803"/>
      <c r="P212" s="1803"/>
      <c r="Q212" s="1803"/>
      <c r="R212" s="1803"/>
      <c r="S212" s="1803"/>
      <c r="T212" s="1803"/>
      <c r="U212" s="1803"/>
      <c r="V212" s="1803"/>
      <c r="W212" s="1804">
        <f>SUM(W213:AA227)</f>
        <v>0</v>
      </c>
      <c r="X212" s="1805"/>
      <c r="Y212" s="1805"/>
      <c r="Z212" s="1805"/>
      <c r="AA212" s="1805"/>
    </row>
    <row r="213" spans="2:27">
      <c r="B213" s="1800" t="s">
        <v>283</v>
      </c>
      <c r="C213" s="1800"/>
      <c r="D213" s="1801" t="s">
        <v>205</v>
      </c>
      <c r="E213" s="1801"/>
      <c r="F213" s="1801"/>
      <c r="G213" s="1801"/>
      <c r="H213" s="1801"/>
      <c r="I213" s="1801"/>
      <c r="J213" s="1801"/>
      <c r="K213" s="1801"/>
      <c r="L213" s="1801"/>
      <c r="M213" s="1801"/>
      <c r="N213" s="1801"/>
      <c r="O213" s="1801"/>
      <c r="P213" s="1801"/>
      <c r="Q213" s="1801"/>
      <c r="R213" s="1801"/>
      <c r="S213" s="1801"/>
      <c r="T213" s="1801"/>
      <c r="U213" s="1801"/>
      <c r="V213" s="1801"/>
      <c r="W213" s="1799"/>
      <c r="X213" s="1732"/>
      <c r="Y213" s="1732"/>
      <c r="Z213" s="1732"/>
      <c r="AA213" s="1732"/>
    </row>
    <row r="214" spans="2:27">
      <c r="B214" s="1800" t="s">
        <v>284</v>
      </c>
      <c r="C214" s="1800"/>
      <c r="D214" s="1801" t="s">
        <v>687</v>
      </c>
      <c r="E214" s="1801"/>
      <c r="F214" s="1801"/>
      <c r="G214" s="1801"/>
      <c r="H214" s="1801"/>
      <c r="I214" s="1801"/>
      <c r="J214" s="1801"/>
      <c r="K214" s="1801"/>
      <c r="L214" s="1801"/>
      <c r="M214" s="1801"/>
      <c r="N214" s="1801"/>
      <c r="O214" s="1801"/>
      <c r="P214" s="1801"/>
      <c r="Q214" s="1801"/>
      <c r="R214" s="1801"/>
      <c r="S214" s="1801"/>
      <c r="T214" s="1801"/>
      <c r="U214" s="1801"/>
      <c r="V214" s="1801"/>
      <c r="W214" s="1799"/>
      <c r="X214" s="1732"/>
      <c r="Y214" s="1732"/>
      <c r="Z214" s="1732"/>
      <c r="AA214" s="1732"/>
    </row>
    <row r="215" spans="2:27">
      <c r="B215" s="1800" t="s">
        <v>285</v>
      </c>
      <c r="C215" s="1800"/>
      <c r="D215" s="1801" t="s">
        <v>286</v>
      </c>
      <c r="E215" s="1801"/>
      <c r="F215" s="1801"/>
      <c r="G215" s="1801"/>
      <c r="H215" s="1801"/>
      <c r="I215" s="1801"/>
      <c r="J215" s="1801"/>
      <c r="K215" s="1801"/>
      <c r="L215" s="1801"/>
      <c r="M215" s="1801"/>
      <c r="N215" s="1801"/>
      <c r="O215" s="1801"/>
      <c r="P215" s="1801"/>
      <c r="Q215" s="1801"/>
      <c r="R215" s="1801"/>
      <c r="S215" s="1801"/>
      <c r="T215" s="1801"/>
      <c r="U215" s="1801"/>
      <c r="V215" s="1801"/>
      <c r="W215" s="1799"/>
      <c r="X215" s="1732"/>
      <c r="Y215" s="1732"/>
      <c r="Z215" s="1732"/>
      <c r="AA215" s="1732"/>
    </row>
    <row r="216" spans="2:27">
      <c r="B216" s="1800" t="s">
        <v>305</v>
      </c>
      <c r="C216" s="1800"/>
      <c r="D216" s="1801" t="s">
        <v>318</v>
      </c>
      <c r="E216" s="1801"/>
      <c r="F216" s="1801"/>
      <c r="G216" s="1801"/>
      <c r="H216" s="1801"/>
      <c r="I216" s="1801"/>
      <c r="J216" s="1801"/>
      <c r="K216" s="1801"/>
      <c r="L216" s="1801"/>
      <c r="M216" s="1801"/>
      <c r="N216" s="1801"/>
      <c r="O216" s="1801"/>
      <c r="P216" s="1801"/>
      <c r="Q216" s="1801"/>
      <c r="R216" s="1801"/>
      <c r="S216" s="1801"/>
      <c r="T216" s="1801"/>
      <c r="U216" s="1801"/>
      <c r="V216" s="1801"/>
      <c r="W216" s="1799"/>
      <c r="X216" s="1732"/>
      <c r="Y216" s="1732"/>
      <c r="Z216" s="1732"/>
      <c r="AA216" s="1732"/>
    </row>
    <row r="217" spans="2:27">
      <c r="B217" s="1800" t="s">
        <v>306</v>
      </c>
      <c r="C217" s="1800"/>
      <c r="D217" s="1801" t="s">
        <v>302</v>
      </c>
      <c r="E217" s="1801"/>
      <c r="F217" s="1801"/>
      <c r="G217" s="1801"/>
      <c r="H217" s="1801"/>
      <c r="I217" s="1801"/>
      <c r="J217" s="1801"/>
      <c r="K217" s="1801"/>
      <c r="L217" s="1801"/>
      <c r="M217" s="1801"/>
      <c r="N217" s="1801"/>
      <c r="O217" s="1801"/>
      <c r="P217" s="1801"/>
      <c r="Q217" s="1801"/>
      <c r="R217" s="1801"/>
      <c r="S217" s="1801"/>
      <c r="T217" s="1801"/>
      <c r="U217" s="1801"/>
      <c r="V217" s="1801"/>
      <c r="W217" s="1799"/>
      <c r="X217" s="1732"/>
      <c r="Y217" s="1732"/>
      <c r="Z217" s="1732"/>
      <c r="AA217" s="1732"/>
    </row>
    <row r="218" spans="2:27">
      <c r="B218" s="1800" t="s">
        <v>307</v>
      </c>
      <c r="C218" s="1800"/>
      <c r="D218" s="1801" t="s">
        <v>303</v>
      </c>
      <c r="E218" s="1801"/>
      <c r="F218" s="1801"/>
      <c r="G218" s="1801"/>
      <c r="H218" s="1801"/>
      <c r="I218" s="1801"/>
      <c r="J218" s="1801"/>
      <c r="K218" s="1801"/>
      <c r="L218" s="1801"/>
      <c r="M218" s="1801"/>
      <c r="N218" s="1801"/>
      <c r="O218" s="1801"/>
      <c r="P218" s="1801"/>
      <c r="Q218" s="1801"/>
      <c r="R218" s="1801"/>
      <c r="S218" s="1801"/>
      <c r="T218" s="1801"/>
      <c r="U218" s="1801"/>
      <c r="V218" s="1801"/>
      <c r="W218" s="1799"/>
      <c r="X218" s="1732"/>
      <c r="Y218" s="1732"/>
      <c r="Z218" s="1732"/>
      <c r="AA218" s="1732"/>
    </row>
    <row r="219" spans="2:27">
      <c r="B219" s="1800" t="s">
        <v>308</v>
      </c>
      <c r="C219" s="1800"/>
      <c r="D219" s="1801" t="s">
        <v>304</v>
      </c>
      <c r="E219" s="1801"/>
      <c r="F219" s="1801"/>
      <c r="G219" s="1801"/>
      <c r="H219" s="1801"/>
      <c r="I219" s="1801"/>
      <c r="J219" s="1801"/>
      <c r="K219" s="1801"/>
      <c r="L219" s="1801"/>
      <c r="M219" s="1801"/>
      <c r="N219" s="1801"/>
      <c r="O219" s="1801"/>
      <c r="P219" s="1801"/>
      <c r="Q219" s="1801"/>
      <c r="R219" s="1801"/>
      <c r="S219" s="1801"/>
      <c r="T219" s="1801"/>
      <c r="U219" s="1801"/>
      <c r="V219" s="1801"/>
      <c r="W219" s="1799"/>
      <c r="X219" s="1732"/>
      <c r="Y219" s="1732"/>
      <c r="Z219" s="1732"/>
      <c r="AA219" s="1732"/>
    </row>
    <row r="220" spans="2:27">
      <c r="B220" s="1800" t="s">
        <v>309</v>
      </c>
      <c r="C220" s="1800"/>
      <c r="D220" s="1801" t="s">
        <v>210</v>
      </c>
      <c r="E220" s="1801"/>
      <c r="F220" s="1801"/>
      <c r="G220" s="1801"/>
      <c r="H220" s="1801"/>
      <c r="I220" s="1801"/>
      <c r="J220" s="1801"/>
      <c r="K220" s="1801"/>
      <c r="L220" s="1801"/>
      <c r="M220" s="1801"/>
      <c r="N220" s="1801"/>
      <c r="O220" s="1801"/>
      <c r="P220" s="1801"/>
      <c r="Q220" s="1801"/>
      <c r="R220" s="1801"/>
      <c r="S220" s="1801"/>
      <c r="T220" s="1801"/>
      <c r="U220" s="1801"/>
      <c r="V220" s="1801"/>
      <c r="W220" s="1799"/>
      <c r="X220" s="1732"/>
      <c r="Y220" s="1732"/>
      <c r="Z220" s="1732"/>
      <c r="AA220" s="1732"/>
    </row>
    <row r="221" spans="2:27">
      <c r="B221" s="1800" t="s">
        <v>310</v>
      </c>
      <c r="C221" s="1800"/>
      <c r="D221" s="1801" t="s">
        <v>211</v>
      </c>
      <c r="E221" s="1801"/>
      <c r="F221" s="1801"/>
      <c r="G221" s="1801"/>
      <c r="H221" s="1801"/>
      <c r="I221" s="1801"/>
      <c r="J221" s="1801"/>
      <c r="K221" s="1801"/>
      <c r="L221" s="1801"/>
      <c r="M221" s="1801"/>
      <c r="N221" s="1801"/>
      <c r="O221" s="1801"/>
      <c r="P221" s="1801"/>
      <c r="Q221" s="1801"/>
      <c r="R221" s="1801"/>
      <c r="S221" s="1801"/>
      <c r="T221" s="1801"/>
      <c r="U221" s="1801"/>
      <c r="V221" s="1801"/>
      <c r="W221" s="1799"/>
      <c r="X221" s="1732"/>
      <c r="Y221" s="1732"/>
      <c r="Z221" s="1732"/>
      <c r="AA221" s="1732"/>
    </row>
    <row r="222" spans="2:27">
      <c r="B222" s="1800" t="s">
        <v>335</v>
      </c>
      <c r="C222" s="1800"/>
      <c r="D222" s="1801" t="s">
        <v>212</v>
      </c>
      <c r="E222" s="1801"/>
      <c r="F222" s="1801"/>
      <c r="G222" s="1801"/>
      <c r="H222" s="1801"/>
      <c r="I222" s="1801"/>
      <c r="J222" s="1801"/>
      <c r="K222" s="1801"/>
      <c r="L222" s="1801"/>
      <c r="M222" s="1801"/>
      <c r="N222" s="1801"/>
      <c r="O222" s="1801"/>
      <c r="P222" s="1801"/>
      <c r="Q222" s="1801"/>
      <c r="R222" s="1801"/>
      <c r="S222" s="1801"/>
      <c r="T222" s="1801"/>
      <c r="U222" s="1801"/>
      <c r="V222" s="1801"/>
      <c r="W222" s="1799"/>
      <c r="X222" s="1732"/>
      <c r="Y222" s="1732"/>
      <c r="Z222" s="1732"/>
      <c r="AA222" s="1732"/>
    </row>
    <row r="223" spans="2:27">
      <c r="B223" s="1800" t="s">
        <v>336</v>
      </c>
      <c r="C223" s="1800"/>
      <c r="D223" s="1801" t="s">
        <v>213</v>
      </c>
      <c r="E223" s="1801"/>
      <c r="F223" s="1801"/>
      <c r="G223" s="1801"/>
      <c r="H223" s="1801"/>
      <c r="I223" s="1801"/>
      <c r="J223" s="1801"/>
      <c r="K223" s="1801"/>
      <c r="L223" s="1801"/>
      <c r="M223" s="1801"/>
      <c r="N223" s="1801"/>
      <c r="O223" s="1801"/>
      <c r="P223" s="1801"/>
      <c r="Q223" s="1801"/>
      <c r="R223" s="1801"/>
      <c r="S223" s="1801"/>
      <c r="T223" s="1801"/>
      <c r="U223" s="1801"/>
      <c r="V223" s="1801"/>
      <c r="W223" s="1799"/>
      <c r="X223" s="1732"/>
      <c r="Y223" s="1732"/>
      <c r="Z223" s="1732"/>
      <c r="AA223" s="1732"/>
    </row>
    <row r="224" spans="2:27">
      <c r="B224" s="1800" t="s">
        <v>337</v>
      </c>
      <c r="C224" s="1800"/>
      <c r="D224" s="1801" t="s">
        <v>214</v>
      </c>
      <c r="E224" s="1801"/>
      <c r="F224" s="1801"/>
      <c r="G224" s="1801"/>
      <c r="H224" s="1801"/>
      <c r="I224" s="1801"/>
      <c r="J224" s="1801"/>
      <c r="K224" s="1801"/>
      <c r="L224" s="1801"/>
      <c r="M224" s="1801"/>
      <c r="N224" s="1801"/>
      <c r="O224" s="1801"/>
      <c r="P224" s="1801"/>
      <c r="Q224" s="1801"/>
      <c r="R224" s="1801"/>
      <c r="S224" s="1801"/>
      <c r="T224" s="1801"/>
      <c r="U224" s="1801"/>
      <c r="V224" s="1801"/>
      <c r="W224" s="1799"/>
      <c r="X224" s="1732"/>
      <c r="Y224" s="1732"/>
      <c r="Z224" s="1732"/>
      <c r="AA224" s="1732"/>
    </row>
    <row r="225" spans="2:27">
      <c r="B225" s="1800" t="s">
        <v>356</v>
      </c>
      <c r="C225" s="1800"/>
      <c r="D225" s="1801" t="s">
        <v>215</v>
      </c>
      <c r="E225" s="1801"/>
      <c r="F225" s="1801"/>
      <c r="G225" s="1801"/>
      <c r="H225" s="1801"/>
      <c r="I225" s="1801"/>
      <c r="J225" s="1801"/>
      <c r="K225" s="1801"/>
      <c r="L225" s="1801"/>
      <c r="M225" s="1801"/>
      <c r="N225" s="1801"/>
      <c r="O225" s="1801"/>
      <c r="P225" s="1801"/>
      <c r="Q225" s="1801"/>
      <c r="R225" s="1801"/>
      <c r="S225" s="1801"/>
      <c r="T225" s="1801"/>
      <c r="U225" s="1801"/>
      <c r="V225" s="1801"/>
      <c r="W225" s="1799"/>
      <c r="X225" s="1732"/>
      <c r="Y225" s="1732"/>
      <c r="Z225" s="1732"/>
      <c r="AA225" s="1732"/>
    </row>
    <row r="226" spans="2:27">
      <c r="B226" s="1800" t="s">
        <v>359</v>
      </c>
      <c r="C226" s="1800"/>
      <c r="D226" s="1801" t="s">
        <v>272</v>
      </c>
      <c r="E226" s="1801"/>
      <c r="F226" s="1801"/>
      <c r="G226" s="1801"/>
      <c r="H226" s="1801"/>
      <c r="I226" s="1801"/>
      <c r="J226" s="1801"/>
      <c r="K226" s="1801"/>
      <c r="L226" s="1801"/>
      <c r="M226" s="1801"/>
      <c r="N226" s="1801"/>
      <c r="O226" s="1801"/>
      <c r="P226" s="1801"/>
      <c r="Q226" s="1801"/>
      <c r="R226" s="1801"/>
      <c r="S226" s="1801"/>
      <c r="T226" s="1801"/>
      <c r="U226" s="1801"/>
      <c r="V226" s="1801"/>
      <c r="W226" s="1799"/>
      <c r="X226" s="1732"/>
      <c r="Y226" s="1732"/>
      <c r="Z226" s="1732"/>
      <c r="AA226" s="1732"/>
    </row>
    <row r="227" spans="2:27">
      <c r="B227" s="1800" t="s">
        <v>360</v>
      </c>
      <c r="C227" s="1800"/>
      <c r="D227" s="1801" t="s">
        <v>688</v>
      </c>
      <c r="E227" s="1801"/>
      <c r="F227" s="1801"/>
      <c r="G227" s="1801"/>
      <c r="H227" s="1801"/>
      <c r="I227" s="1801"/>
      <c r="J227" s="1801"/>
      <c r="K227" s="1801"/>
      <c r="L227" s="1801"/>
      <c r="M227" s="1801"/>
      <c r="N227" s="1801"/>
      <c r="O227" s="1801"/>
      <c r="P227" s="1801"/>
      <c r="Q227" s="1801"/>
      <c r="R227" s="1801"/>
      <c r="S227" s="1801"/>
      <c r="T227" s="1801"/>
      <c r="U227" s="1801"/>
      <c r="V227" s="1801"/>
      <c r="W227" s="1799"/>
      <c r="X227" s="1732"/>
      <c r="Y227" s="1732"/>
      <c r="Z227" s="1732"/>
      <c r="AA227" s="1732"/>
    </row>
    <row r="228" spans="2:27">
      <c r="B228" s="1802" t="s">
        <v>287</v>
      </c>
      <c r="C228" s="1802"/>
      <c r="D228" s="1803" t="s">
        <v>288</v>
      </c>
      <c r="E228" s="1803"/>
      <c r="F228" s="1803"/>
      <c r="G228" s="1803"/>
      <c r="H228" s="1803"/>
      <c r="I228" s="1803"/>
      <c r="J228" s="1803"/>
      <c r="K228" s="1803"/>
      <c r="L228" s="1803"/>
      <c r="M228" s="1803"/>
      <c r="N228" s="1803"/>
      <c r="O228" s="1803"/>
      <c r="P228" s="1803"/>
      <c r="Q228" s="1803"/>
      <c r="R228" s="1803"/>
      <c r="S228" s="1803"/>
      <c r="T228" s="1803"/>
      <c r="U228" s="1803"/>
      <c r="V228" s="1803"/>
      <c r="W228" s="1804">
        <f>SUM(W229:AA240)</f>
        <v>0</v>
      </c>
      <c r="X228" s="1805"/>
      <c r="Y228" s="1805"/>
      <c r="Z228" s="1805"/>
      <c r="AA228" s="1805"/>
    </row>
    <row r="229" spans="2:27">
      <c r="B229" s="1800" t="s">
        <v>289</v>
      </c>
      <c r="C229" s="1800"/>
      <c r="D229" s="1801" t="s">
        <v>216</v>
      </c>
      <c r="E229" s="1801"/>
      <c r="F229" s="1801"/>
      <c r="G229" s="1801"/>
      <c r="H229" s="1801"/>
      <c r="I229" s="1801"/>
      <c r="J229" s="1801"/>
      <c r="K229" s="1801"/>
      <c r="L229" s="1801"/>
      <c r="M229" s="1801"/>
      <c r="N229" s="1801"/>
      <c r="O229" s="1801"/>
      <c r="P229" s="1801"/>
      <c r="Q229" s="1801"/>
      <c r="R229" s="1801"/>
      <c r="S229" s="1801"/>
      <c r="T229" s="1801"/>
      <c r="U229" s="1801"/>
      <c r="V229" s="1801"/>
      <c r="W229" s="1799"/>
      <c r="X229" s="1732"/>
      <c r="Y229" s="1732"/>
      <c r="Z229" s="1732"/>
      <c r="AA229" s="1732"/>
    </row>
    <row r="230" spans="2:27">
      <c r="B230" s="1800" t="s">
        <v>290</v>
      </c>
      <c r="C230" s="1800"/>
      <c r="D230" s="1801" t="s">
        <v>228</v>
      </c>
      <c r="E230" s="1801"/>
      <c r="F230" s="1801"/>
      <c r="G230" s="1801"/>
      <c r="H230" s="1801"/>
      <c r="I230" s="1801"/>
      <c r="J230" s="1801"/>
      <c r="K230" s="1801"/>
      <c r="L230" s="1801"/>
      <c r="M230" s="1801"/>
      <c r="N230" s="1801"/>
      <c r="O230" s="1801"/>
      <c r="P230" s="1801"/>
      <c r="Q230" s="1801"/>
      <c r="R230" s="1801"/>
      <c r="S230" s="1801"/>
      <c r="T230" s="1801"/>
      <c r="U230" s="1801"/>
      <c r="V230" s="1801"/>
      <c r="W230" s="1799"/>
      <c r="X230" s="1732"/>
      <c r="Y230" s="1732"/>
      <c r="Z230" s="1732"/>
      <c r="AA230" s="1732"/>
    </row>
    <row r="231" spans="2:27">
      <c r="B231" s="1800" t="s">
        <v>291</v>
      </c>
      <c r="C231" s="1800"/>
      <c r="D231" s="1801" t="s">
        <v>229</v>
      </c>
      <c r="E231" s="1801"/>
      <c r="F231" s="1801"/>
      <c r="G231" s="1801"/>
      <c r="H231" s="1801"/>
      <c r="I231" s="1801"/>
      <c r="J231" s="1801"/>
      <c r="K231" s="1801"/>
      <c r="L231" s="1801"/>
      <c r="M231" s="1801"/>
      <c r="N231" s="1801"/>
      <c r="O231" s="1801"/>
      <c r="P231" s="1801"/>
      <c r="Q231" s="1801"/>
      <c r="R231" s="1801"/>
      <c r="S231" s="1801"/>
      <c r="T231" s="1801"/>
      <c r="U231" s="1801"/>
      <c r="V231" s="1801"/>
      <c r="W231" s="1799"/>
      <c r="X231" s="1732"/>
      <c r="Y231" s="1732"/>
      <c r="Z231" s="1732"/>
      <c r="AA231" s="1732"/>
    </row>
    <row r="232" spans="2:27">
      <c r="B232" s="1800" t="s">
        <v>292</v>
      </c>
      <c r="C232" s="1800"/>
      <c r="D232" s="1801" t="s">
        <v>230</v>
      </c>
      <c r="E232" s="1801"/>
      <c r="F232" s="1801"/>
      <c r="G232" s="1801"/>
      <c r="H232" s="1801"/>
      <c r="I232" s="1801"/>
      <c r="J232" s="1801"/>
      <c r="K232" s="1801"/>
      <c r="L232" s="1801"/>
      <c r="M232" s="1801"/>
      <c r="N232" s="1801"/>
      <c r="O232" s="1801"/>
      <c r="P232" s="1801"/>
      <c r="Q232" s="1801"/>
      <c r="R232" s="1801"/>
      <c r="S232" s="1801"/>
      <c r="T232" s="1801"/>
      <c r="U232" s="1801"/>
      <c r="V232" s="1801"/>
      <c r="W232" s="1799"/>
      <c r="X232" s="1732"/>
      <c r="Y232" s="1732"/>
      <c r="Z232" s="1732"/>
      <c r="AA232" s="1732"/>
    </row>
    <row r="233" spans="2:27">
      <c r="B233" s="1800" t="s">
        <v>293</v>
      </c>
      <c r="C233" s="1800"/>
      <c r="D233" s="1801" t="s">
        <v>268</v>
      </c>
      <c r="E233" s="1801"/>
      <c r="F233" s="1801"/>
      <c r="G233" s="1801"/>
      <c r="H233" s="1801"/>
      <c r="I233" s="1801"/>
      <c r="J233" s="1801"/>
      <c r="K233" s="1801"/>
      <c r="L233" s="1801"/>
      <c r="M233" s="1801"/>
      <c r="N233" s="1801"/>
      <c r="O233" s="1801"/>
      <c r="P233" s="1801"/>
      <c r="Q233" s="1801"/>
      <c r="R233" s="1801"/>
      <c r="S233" s="1801"/>
      <c r="T233" s="1801"/>
      <c r="U233" s="1801"/>
      <c r="V233" s="1801"/>
      <c r="W233" s="1799"/>
      <c r="X233" s="1732"/>
      <c r="Y233" s="1732"/>
      <c r="Z233" s="1732"/>
      <c r="AA233" s="1732"/>
    </row>
    <row r="234" spans="2:27">
      <c r="B234" s="1800" t="s">
        <v>294</v>
      </c>
      <c r="C234" s="1800"/>
      <c r="D234" s="1801" t="s">
        <v>270</v>
      </c>
      <c r="E234" s="1801"/>
      <c r="F234" s="1801"/>
      <c r="G234" s="1801"/>
      <c r="H234" s="1801"/>
      <c r="I234" s="1801"/>
      <c r="J234" s="1801"/>
      <c r="K234" s="1801"/>
      <c r="L234" s="1801"/>
      <c r="M234" s="1801"/>
      <c r="N234" s="1801"/>
      <c r="O234" s="1801"/>
      <c r="P234" s="1801"/>
      <c r="Q234" s="1801"/>
      <c r="R234" s="1801"/>
      <c r="S234" s="1801"/>
      <c r="T234" s="1801"/>
      <c r="U234" s="1801"/>
      <c r="V234" s="1801"/>
      <c r="W234" s="1799"/>
      <c r="X234" s="1732"/>
      <c r="Y234" s="1732"/>
      <c r="Z234" s="1732"/>
      <c r="AA234" s="1732"/>
    </row>
    <row r="235" spans="2:27">
      <c r="B235" s="1800" t="s">
        <v>295</v>
      </c>
      <c r="C235" s="1800"/>
      <c r="D235" s="1801" t="s">
        <v>233</v>
      </c>
      <c r="E235" s="1801"/>
      <c r="F235" s="1801"/>
      <c r="G235" s="1801"/>
      <c r="H235" s="1801"/>
      <c r="I235" s="1801"/>
      <c r="J235" s="1801"/>
      <c r="K235" s="1801"/>
      <c r="L235" s="1801"/>
      <c r="M235" s="1801"/>
      <c r="N235" s="1801"/>
      <c r="O235" s="1801"/>
      <c r="P235" s="1801"/>
      <c r="Q235" s="1801"/>
      <c r="R235" s="1801"/>
      <c r="S235" s="1801"/>
      <c r="T235" s="1801"/>
      <c r="U235" s="1801"/>
      <c r="V235" s="1801"/>
      <c r="W235" s="1799"/>
      <c r="X235" s="1732"/>
      <c r="Y235" s="1732"/>
      <c r="Z235" s="1732"/>
      <c r="AA235" s="1732"/>
    </row>
    <row r="236" spans="2:27">
      <c r="B236" s="1800" t="s">
        <v>319</v>
      </c>
      <c r="C236" s="1800"/>
      <c r="D236" s="1801" t="s">
        <v>689</v>
      </c>
      <c r="E236" s="1801"/>
      <c r="F236" s="1801"/>
      <c r="G236" s="1801"/>
      <c r="H236" s="1801"/>
      <c r="I236" s="1801"/>
      <c r="J236" s="1801"/>
      <c r="K236" s="1801"/>
      <c r="L236" s="1801"/>
      <c r="M236" s="1801"/>
      <c r="N236" s="1801"/>
      <c r="O236" s="1801"/>
      <c r="P236" s="1801"/>
      <c r="Q236" s="1801"/>
      <c r="R236" s="1801"/>
      <c r="S236" s="1801"/>
      <c r="T236" s="1801"/>
      <c r="U236" s="1801"/>
      <c r="V236" s="1801"/>
      <c r="W236" s="1799"/>
      <c r="X236" s="1732"/>
      <c r="Y236" s="1732"/>
      <c r="Z236" s="1732"/>
      <c r="AA236" s="1732"/>
    </row>
    <row r="237" spans="2:27">
      <c r="B237" s="1800" t="s">
        <v>296</v>
      </c>
      <c r="C237" s="1800"/>
      <c r="D237" s="1801" t="s">
        <v>234</v>
      </c>
      <c r="E237" s="1801"/>
      <c r="F237" s="1801"/>
      <c r="G237" s="1801"/>
      <c r="H237" s="1801"/>
      <c r="I237" s="1801"/>
      <c r="J237" s="1801"/>
      <c r="K237" s="1801"/>
      <c r="L237" s="1801"/>
      <c r="M237" s="1801"/>
      <c r="N237" s="1801"/>
      <c r="O237" s="1801"/>
      <c r="P237" s="1801"/>
      <c r="Q237" s="1801"/>
      <c r="R237" s="1801"/>
      <c r="S237" s="1801"/>
      <c r="T237" s="1801"/>
      <c r="U237" s="1801"/>
      <c r="V237" s="1801"/>
      <c r="W237" s="1799"/>
      <c r="X237" s="1732"/>
      <c r="Y237" s="1732"/>
      <c r="Z237" s="1732"/>
      <c r="AA237" s="1732"/>
    </row>
    <row r="238" spans="2:27">
      <c r="B238" s="1800" t="s">
        <v>297</v>
      </c>
      <c r="C238" s="1800"/>
      <c r="D238" s="1801" t="s">
        <v>690</v>
      </c>
      <c r="E238" s="1801"/>
      <c r="F238" s="1801"/>
      <c r="G238" s="1801"/>
      <c r="H238" s="1801"/>
      <c r="I238" s="1801"/>
      <c r="J238" s="1801"/>
      <c r="K238" s="1801"/>
      <c r="L238" s="1801"/>
      <c r="M238" s="1801"/>
      <c r="N238" s="1801"/>
      <c r="O238" s="1801"/>
      <c r="P238" s="1801"/>
      <c r="Q238" s="1801"/>
      <c r="R238" s="1801"/>
      <c r="S238" s="1801"/>
      <c r="T238" s="1801"/>
      <c r="U238" s="1801"/>
      <c r="V238" s="1801"/>
      <c r="W238" s="1799"/>
      <c r="X238" s="1732"/>
      <c r="Y238" s="1732"/>
      <c r="Z238" s="1732"/>
      <c r="AA238" s="1732"/>
    </row>
    <row r="239" spans="2:27">
      <c r="B239" s="1800" t="s">
        <v>331</v>
      </c>
      <c r="C239" s="1800"/>
      <c r="D239" s="1801" t="s">
        <v>263</v>
      </c>
      <c r="E239" s="1801"/>
      <c r="F239" s="1801"/>
      <c r="G239" s="1801"/>
      <c r="H239" s="1801"/>
      <c r="I239" s="1801"/>
      <c r="J239" s="1801"/>
      <c r="K239" s="1801"/>
      <c r="L239" s="1801"/>
      <c r="M239" s="1801"/>
      <c r="N239" s="1801"/>
      <c r="O239" s="1801"/>
      <c r="P239" s="1801"/>
      <c r="Q239" s="1801"/>
      <c r="R239" s="1801"/>
      <c r="S239" s="1801"/>
      <c r="T239" s="1801"/>
      <c r="U239" s="1801"/>
      <c r="V239" s="1801"/>
      <c r="W239" s="1799"/>
      <c r="X239" s="1732"/>
      <c r="Y239" s="1732"/>
      <c r="Z239" s="1732"/>
      <c r="AA239" s="1732"/>
    </row>
    <row r="240" spans="2:27">
      <c r="B240" s="1800" t="s">
        <v>332</v>
      </c>
      <c r="C240" s="1800"/>
      <c r="D240" s="1801" t="s">
        <v>271</v>
      </c>
      <c r="E240" s="1801"/>
      <c r="F240" s="1801"/>
      <c r="G240" s="1801"/>
      <c r="H240" s="1801"/>
      <c r="I240" s="1801"/>
      <c r="J240" s="1801"/>
      <c r="K240" s="1801"/>
      <c r="L240" s="1801"/>
      <c r="M240" s="1801"/>
      <c r="N240" s="1801"/>
      <c r="O240" s="1801"/>
      <c r="P240" s="1801"/>
      <c r="Q240" s="1801"/>
      <c r="R240" s="1801"/>
      <c r="S240" s="1801"/>
      <c r="T240" s="1801"/>
      <c r="U240" s="1801"/>
      <c r="V240" s="1801"/>
      <c r="W240" s="1799"/>
      <c r="X240" s="1732"/>
      <c r="Y240" s="1732"/>
      <c r="Z240" s="1732"/>
      <c r="AA240" s="1732"/>
    </row>
    <row r="241" spans="2:27">
      <c r="B241" s="1802" t="s">
        <v>346</v>
      </c>
      <c r="C241" s="1802"/>
      <c r="D241" s="1803" t="s">
        <v>691</v>
      </c>
      <c r="E241" s="1803"/>
      <c r="F241" s="1803"/>
      <c r="G241" s="1803"/>
      <c r="H241" s="1803"/>
      <c r="I241" s="1803"/>
      <c r="J241" s="1803"/>
      <c r="K241" s="1803"/>
      <c r="L241" s="1803"/>
      <c r="M241" s="1803"/>
      <c r="N241" s="1803"/>
      <c r="O241" s="1803"/>
      <c r="P241" s="1803"/>
      <c r="Q241" s="1803"/>
      <c r="R241" s="1803"/>
      <c r="S241" s="1803"/>
      <c r="T241" s="1803"/>
      <c r="U241" s="1803"/>
      <c r="V241" s="1803"/>
      <c r="W241" s="1804">
        <f>SUM(W242:AA248)</f>
        <v>0</v>
      </c>
      <c r="X241" s="1805"/>
      <c r="Y241" s="1805"/>
      <c r="Z241" s="1805"/>
      <c r="AA241" s="1805"/>
    </row>
    <row r="242" spans="2:27">
      <c r="B242" s="1800" t="s">
        <v>347</v>
      </c>
      <c r="C242" s="1800"/>
      <c r="D242" s="1801" t="s">
        <v>253</v>
      </c>
      <c r="E242" s="1801"/>
      <c r="F242" s="1801"/>
      <c r="G242" s="1801"/>
      <c r="H242" s="1801"/>
      <c r="I242" s="1801"/>
      <c r="J242" s="1801"/>
      <c r="K242" s="1801"/>
      <c r="L242" s="1801"/>
      <c r="M242" s="1801"/>
      <c r="N242" s="1801"/>
      <c r="O242" s="1801"/>
      <c r="P242" s="1801"/>
      <c r="Q242" s="1801"/>
      <c r="R242" s="1801"/>
      <c r="S242" s="1801"/>
      <c r="T242" s="1801"/>
      <c r="U242" s="1801"/>
      <c r="V242" s="1801"/>
      <c r="W242" s="1799"/>
      <c r="X242" s="1732"/>
      <c r="Y242" s="1732"/>
      <c r="Z242" s="1732"/>
      <c r="AA242" s="1732"/>
    </row>
    <row r="243" spans="2:27">
      <c r="B243" s="1800" t="s">
        <v>348</v>
      </c>
      <c r="C243" s="1800"/>
      <c r="D243" s="1801" t="s">
        <v>345</v>
      </c>
      <c r="E243" s="1801"/>
      <c r="F243" s="1801"/>
      <c r="G243" s="1801"/>
      <c r="H243" s="1801"/>
      <c r="I243" s="1801"/>
      <c r="J243" s="1801"/>
      <c r="K243" s="1801"/>
      <c r="L243" s="1801"/>
      <c r="M243" s="1801"/>
      <c r="N243" s="1801"/>
      <c r="O243" s="1801"/>
      <c r="P243" s="1801"/>
      <c r="Q243" s="1801"/>
      <c r="R243" s="1801"/>
      <c r="S243" s="1801"/>
      <c r="T243" s="1801"/>
      <c r="U243" s="1801"/>
      <c r="V243" s="1801"/>
      <c r="W243" s="1799"/>
      <c r="X243" s="1732"/>
      <c r="Y243" s="1732"/>
      <c r="Z243" s="1732"/>
      <c r="AA243" s="1732"/>
    </row>
    <row r="244" spans="2:27">
      <c r="B244" s="1800" t="s">
        <v>349</v>
      </c>
      <c r="C244" s="1800"/>
      <c r="D244" s="1801" t="s">
        <v>326</v>
      </c>
      <c r="E244" s="1801"/>
      <c r="F244" s="1801"/>
      <c r="G244" s="1801"/>
      <c r="H244" s="1801"/>
      <c r="I244" s="1801"/>
      <c r="J244" s="1801"/>
      <c r="K244" s="1801"/>
      <c r="L244" s="1801"/>
      <c r="M244" s="1801"/>
      <c r="N244" s="1801"/>
      <c r="O244" s="1801"/>
      <c r="P244" s="1801"/>
      <c r="Q244" s="1801"/>
      <c r="R244" s="1801"/>
      <c r="S244" s="1801"/>
      <c r="T244" s="1801"/>
      <c r="U244" s="1801"/>
      <c r="V244" s="1801"/>
      <c r="W244" s="1799"/>
      <c r="X244" s="1732"/>
      <c r="Y244" s="1732"/>
      <c r="Z244" s="1732"/>
      <c r="AA244" s="1732"/>
    </row>
    <row r="245" spans="2:27">
      <c r="B245" s="1800" t="s">
        <v>350</v>
      </c>
      <c r="C245" s="1800"/>
      <c r="D245" s="1801" t="s">
        <v>327</v>
      </c>
      <c r="E245" s="1801"/>
      <c r="F245" s="1801"/>
      <c r="G245" s="1801"/>
      <c r="H245" s="1801"/>
      <c r="I245" s="1801"/>
      <c r="J245" s="1801"/>
      <c r="K245" s="1801"/>
      <c r="L245" s="1801"/>
      <c r="M245" s="1801"/>
      <c r="N245" s="1801"/>
      <c r="O245" s="1801"/>
      <c r="P245" s="1801"/>
      <c r="Q245" s="1801"/>
      <c r="R245" s="1801"/>
      <c r="S245" s="1801"/>
      <c r="T245" s="1801"/>
      <c r="U245" s="1801"/>
      <c r="V245" s="1801"/>
      <c r="W245" s="1799"/>
      <c r="X245" s="1732"/>
      <c r="Y245" s="1732"/>
      <c r="Z245" s="1732"/>
      <c r="AA245" s="1732"/>
    </row>
    <row r="246" spans="2:27">
      <c r="B246" s="1800" t="s">
        <v>351</v>
      </c>
      <c r="C246" s="1800"/>
      <c r="D246" s="1801" t="s">
        <v>328</v>
      </c>
      <c r="E246" s="1801"/>
      <c r="F246" s="1801"/>
      <c r="G246" s="1801"/>
      <c r="H246" s="1801"/>
      <c r="I246" s="1801"/>
      <c r="J246" s="1801"/>
      <c r="K246" s="1801"/>
      <c r="L246" s="1801"/>
      <c r="M246" s="1801"/>
      <c r="N246" s="1801"/>
      <c r="O246" s="1801"/>
      <c r="P246" s="1801"/>
      <c r="Q246" s="1801"/>
      <c r="R246" s="1801"/>
      <c r="S246" s="1801"/>
      <c r="T246" s="1801"/>
      <c r="U246" s="1801"/>
      <c r="V246" s="1801"/>
      <c r="W246" s="1799"/>
      <c r="X246" s="1732"/>
      <c r="Y246" s="1732"/>
      <c r="Z246" s="1732"/>
      <c r="AA246" s="1732"/>
    </row>
    <row r="247" spans="2:27">
      <c r="B247" s="1800" t="s">
        <v>352</v>
      </c>
      <c r="C247" s="1800"/>
      <c r="D247" s="1801" t="s">
        <v>329</v>
      </c>
      <c r="E247" s="1801"/>
      <c r="F247" s="1801"/>
      <c r="G247" s="1801"/>
      <c r="H247" s="1801"/>
      <c r="I247" s="1801"/>
      <c r="J247" s="1801"/>
      <c r="K247" s="1801"/>
      <c r="L247" s="1801"/>
      <c r="M247" s="1801"/>
      <c r="N247" s="1801"/>
      <c r="O247" s="1801"/>
      <c r="P247" s="1801"/>
      <c r="Q247" s="1801"/>
      <c r="R247" s="1801"/>
      <c r="S247" s="1801"/>
      <c r="T247" s="1801"/>
      <c r="U247" s="1801"/>
      <c r="V247" s="1801"/>
      <c r="W247" s="1799"/>
      <c r="X247" s="1732"/>
      <c r="Y247" s="1732"/>
      <c r="Z247" s="1732"/>
      <c r="AA247" s="1732"/>
    </row>
    <row r="248" spans="2:27">
      <c r="B248" s="1800" t="s">
        <v>353</v>
      </c>
      <c r="C248" s="1800"/>
      <c r="D248" s="1801" t="s">
        <v>330</v>
      </c>
      <c r="E248" s="1801"/>
      <c r="F248" s="1801"/>
      <c r="G248" s="1801"/>
      <c r="H248" s="1801"/>
      <c r="I248" s="1801"/>
      <c r="J248" s="1801"/>
      <c r="K248" s="1801"/>
      <c r="L248" s="1801"/>
      <c r="M248" s="1801"/>
      <c r="N248" s="1801"/>
      <c r="O248" s="1801"/>
      <c r="P248" s="1801"/>
      <c r="Q248" s="1801"/>
      <c r="R248" s="1801"/>
      <c r="S248" s="1801"/>
      <c r="T248" s="1801"/>
      <c r="U248" s="1801"/>
      <c r="V248" s="1801"/>
      <c r="W248" s="1799"/>
      <c r="X248" s="1732"/>
      <c r="Y248" s="1732"/>
      <c r="Z248" s="1732"/>
      <c r="AA248" s="1732"/>
    </row>
    <row r="249" spans="2:27">
      <c r="B249" s="1802">
        <v>1.4</v>
      </c>
      <c r="C249" s="1802"/>
      <c r="D249" s="1803" t="s">
        <v>313</v>
      </c>
      <c r="E249" s="1803"/>
      <c r="F249" s="1803"/>
      <c r="G249" s="1803"/>
      <c r="H249" s="1803"/>
      <c r="I249" s="1803"/>
      <c r="J249" s="1803"/>
      <c r="K249" s="1803"/>
      <c r="L249" s="1803"/>
      <c r="M249" s="1803"/>
      <c r="N249" s="1803"/>
      <c r="O249" s="1803"/>
      <c r="P249" s="1803"/>
      <c r="Q249" s="1803"/>
      <c r="R249" s="1803"/>
      <c r="S249" s="1803"/>
      <c r="T249" s="1803"/>
      <c r="U249" s="1803"/>
      <c r="V249" s="1803"/>
      <c r="W249" s="1804">
        <f>SUM(W250:AA259)</f>
        <v>0</v>
      </c>
      <c r="X249" s="1805"/>
      <c r="Y249" s="1805"/>
      <c r="Z249" s="1805"/>
      <c r="AA249" s="1805"/>
    </row>
    <row r="250" spans="2:27">
      <c r="B250" s="1800" t="s">
        <v>311</v>
      </c>
      <c r="C250" s="1800"/>
      <c r="D250" s="1801" t="s">
        <v>692</v>
      </c>
      <c r="E250" s="1801"/>
      <c r="F250" s="1801"/>
      <c r="G250" s="1801"/>
      <c r="H250" s="1801"/>
      <c r="I250" s="1801"/>
      <c r="J250" s="1801"/>
      <c r="K250" s="1801"/>
      <c r="L250" s="1801"/>
      <c r="M250" s="1801"/>
      <c r="N250" s="1801"/>
      <c r="O250" s="1801"/>
      <c r="P250" s="1801"/>
      <c r="Q250" s="1801"/>
      <c r="R250" s="1801"/>
      <c r="S250" s="1801"/>
      <c r="T250" s="1801"/>
      <c r="U250" s="1801"/>
      <c r="V250" s="1801"/>
      <c r="W250" s="1799"/>
      <c r="X250" s="1732"/>
      <c r="Y250" s="1732"/>
      <c r="Z250" s="1732"/>
      <c r="AA250" s="1732"/>
    </row>
    <row r="251" spans="2:27">
      <c r="B251" s="1800" t="s">
        <v>312</v>
      </c>
      <c r="C251" s="1800"/>
      <c r="D251" s="1801" t="s">
        <v>693</v>
      </c>
      <c r="E251" s="1801"/>
      <c r="F251" s="1801"/>
      <c r="G251" s="1801"/>
      <c r="H251" s="1801"/>
      <c r="I251" s="1801"/>
      <c r="J251" s="1801"/>
      <c r="K251" s="1801"/>
      <c r="L251" s="1801"/>
      <c r="M251" s="1801"/>
      <c r="N251" s="1801"/>
      <c r="O251" s="1801"/>
      <c r="P251" s="1801"/>
      <c r="Q251" s="1801"/>
      <c r="R251" s="1801"/>
      <c r="S251" s="1801"/>
      <c r="T251" s="1801"/>
      <c r="U251" s="1801"/>
      <c r="V251" s="1801"/>
      <c r="W251" s="1799"/>
      <c r="X251" s="1732"/>
      <c r="Y251" s="1732"/>
      <c r="Z251" s="1732"/>
      <c r="AA251" s="1732"/>
    </row>
    <row r="252" spans="2:27">
      <c r="B252" s="1800" t="s">
        <v>365</v>
      </c>
      <c r="C252" s="1800"/>
      <c r="D252" s="1801" t="s">
        <v>220</v>
      </c>
      <c r="E252" s="1801"/>
      <c r="F252" s="1801"/>
      <c r="G252" s="1801"/>
      <c r="H252" s="1801"/>
      <c r="I252" s="1801"/>
      <c r="J252" s="1801"/>
      <c r="K252" s="1801"/>
      <c r="L252" s="1801"/>
      <c r="M252" s="1801"/>
      <c r="N252" s="1801"/>
      <c r="O252" s="1801"/>
      <c r="P252" s="1801"/>
      <c r="Q252" s="1801"/>
      <c r="R252" s="1801"/>
      <c r="S252" s="1801"/>
      <c r="T252" s="1801"/>
      <c r="U252" s="1801"/>
      <c r="V252" s="1801"/>
      <c r="W252" s="1799"/>
      <c r="X252" s="1732"/>
      <c r="Y252" s="1732"/>
      <c r="Z252" s="1732"/>
      <c r="AA252" s="1732"/>
    </row>
    <row r="253" spans="2:27">
      <c r="B253" s="1800" t="s">
        <v>366</v>
      </c>
      <c r="C253" s="1800"/>
      <c r="D253" s="1801" t="s">
        <v>221</v>
      </c>
      <c r="E253" s="1801"/>
      <c r="F253" s="1801"/>
      <c r="G253" s="1801"/>
      <c r="H253" s="1801"/>
      <c r="I253" s="1801"/>
      <c r="J253" s="1801"/>
      <c r="K253" s="1801"/>
      <c r="L253" s="1801"/>
      <c r="M253" s="1801"/>
      <c r="N253" s="1801"/>
      <c r="O253" s="1801"/>
      <c r="P253" s="1801"/>
      <c r="Q253" s="1801"/>
      <c r="R253" s="1801"/>
      <c r="S253" s="1801"/>
      <c r="T253" s="1801"/>
      <c r="U253" s="1801"/>
      <c r="V253" s="1801"/>
      <c r="W253" s="1799"/>
      <c r="X253" s="1732"/>
      <c r="Y253" s="1732"/>
      <c r="Z253" s="1732"/>
      <c r="AA253" s="1732"/>
    </row>
    <row r="254" spans="2:27">
      <c r="B254" s="1800" t="s">
        <v>367</v>
      </c>
      <c r="C254" s="1800"/>
      <c r="D254" s="1801" t="s">
        <v>222</v>
      </c>
      <c r="E254" s="1801"/>
      <c r="F254" s="1801"/>
      <c r="G254" s="1801"/>
      <c r="H254" s="1801"/>
      <c r="I254" s="1801"/>
      <c r="J254" s="1801"/>
      <c r="K254" s="1801"/>
      <c r="L254" s="1801"/>
      <c r="M254" s="1801"/>
      <c r="N254" s="1801"/>
      <c r="O254" s="1801"/>
      <c r="P254" s="1801"/>
      <c r="Q254" s="1801"/>
      <c r="R254" s="1801"/>
      <c r="S254" s="1801"/>
      <c r="T254" s="1801"/>
      <c r="U254" s="1801"/>
      <c r="V254" s="1801"/>
      <c r="W254" s="1799"/>
      <c r="X254" s="1732"/>
      <c r="Y254" s="1732"/>
      <c r="Z254" s="1732"/>
      <c r="AA254" s="1732"/>
    </row>
    <row r="255" spans="2:27">
      <c r="B255" s="1800" t="s">
        <v>368</v>
      </c>
      <c r="C255" s="1800"/>
      <c r="D255" s="1801" t="s">
        <v>223</v>
      </c>
      <c r="E255" s="1801"/>
      <c r="F255" s="1801"/>
      <c r="G255" s="1801"/>
      <c r="H255" s="1801"/>
      <c r="I255" s="1801"/>
      <c r="J255" s="1801"/>
      <c r="K255" s="1801"/>
      <c r="L255" s="1801"/>
      <c r="M255" s="1801"/>
      <c r="N255" s="1801"/>
      <c r="O255" s="1801"/>
      <c r="P255" s="1801"/>
      <c r="Q255" s="1801"/>
      <c r="R255" s="1801"/>
      <c r="S255" s="1801"/>
      <c r="T255" s="1801"/>
      <c r="U255" s="1801"/>
      <c r="V255" s="1801"/>
      <c r="W255" s="1799"/>
      <c r="X255" s="1732"/>
      <c r="Y255" s="1732"/>
      <c r="Z255" s="1732"/>
      <c r="AA255" s="1732"/>
    </row>
    <row r="256" spans="2:27">
      <c r="B256" s="1800" t="s">
        <v>369</v>
      </c>
      <c r="C256" s="1800"/>
      <c r="D256" s="1801" t="s">
        <v>361</v>
      </c>
      <c r="E256" s="1801"/>
      <c r="F256" s="1801"/>
      <c r="G256" s="1801"/>
      <c r="H256" s="1801"/>
      <c r="I256" s="1801"/>
      <c r="J256" s="1801"/>
      <c r="K256" s="1801"/>
      <c r="L256" s="1801"/>
      <c r="M256" s="1801"/>
      <c r="N256" s="1801"/>
      <c r="O256" s="1801"/>
      <c r="P256" s="1801"/>
      <c r="Q256" s="1801"/>
      <c r="R256" s="1801"/>
      <c r="S256" s="1801"/>
      <c r="T256" s="1801"/>
      <c r="U256" s="1801"/>
      <c r="V256" s="1801"/>
      <c r="W256" s="1799"/>
      <c r="X256" s="1732"/>
      <c r="Y256" s="1732"/>
      <c r="Z256" s="1732"/>
      <c r="AA256" s="1732"/>
    </row>
    <row r="257" spans="1:74">
      <c r="B257" s="1800" t="s">
        <v>370</v>
      </c>
      <c r="C257" s="1800"/>
      <c r="D257" s="1801" t="s">
        <v>362</v>
      </c>
      <c r="E257" s="1801"/>
      <c r="F257" s="1801"/>
      <c r="G257" s="1801"/>
      <c r="H257" s="1801"/>
      <c r="I257" s="1801"/>
      <c r="J257" s="1801"/>
      <c r="K257" s="1801"/>
      <c r="L257" s="1801"/>
      <c r="M257" s="1801"/>
      <c r="N257" s="1801"/>
      <c r="O257" s="1801"/>
      <c r="P257" s="1801"/>
      <c r="Q257" s="1801"/>
      <c r="R257" s="1801"/>
      <c r="S257" s="1801"/>
      <c r="T257" s="1801"/>
      <c r="U257" s="1801"/>
      <c r="V257" s="1801"/>
      <c r="W257" s="1799"/>
      <c r="X257" s="1732"/>
      <c r="Y257" s="1732"/>
      <c r="Z257" s="1732"/>
      <c r="AA257" s="1732"/>
    </row>
    <row r="258" spans="1:74" ht="30" customHeight="1">
      <c r="B258" s="1800" t="s">
        <v>371</v>
      </c>
      <c r="C258" s="1800"/>
      <c r="D258" s="1801" t="s">
        <v>694</v>
      </c>
      <c r="E258" s="1801"/>
      <c r="F258" s="1801"/>
      <c r="G258" s="1801"/>
      <c r="H258" s="1801"/>
      <c r="I258" s="1801"/>
      <c r="J258" s="1801"/>
      <c r="K258" s="1801"/>
      <c r="L258" s="1801"/>
      <c r="M258" s="1801"/>
      <c r="N258" s="1801"/>
      <c r="O258" s="1801"/>
      <c r="P258" s="1801"/>
      <c r="Q258" s="1801"/>
      <c r="R258" s="1801"/>
      <c r="S258" s="1801"/>
      <c r="T258" s="1801"/>
      <c r="U258" s="1801"/>
      <c r="V258" s="1801"/>
      <c r="W258" s="1799"/>
      <c r="X258" s="1732"/>
      <c r="Y258" s="1732"/>
      <c r="Z258" s="1732"/>
      <c r="AA258" s="1732"/>
    </row>
    <row r="259" spans="1:74">
      <c r="B259" s="1800" t="s">
        <v>372</v>
      </c>
      <c r="C259" s="1800"/>
      <c r="D259" s="1801" t="s">
        <v>247</v>
      </c>
      <c r="E259" s="1801"/>
      <c r="F259" s="1801"/>
      <c r="G259" s="1801"/>
      <c r="H259" s="1801"/>
      <c r="I259" s="1801"/>
      <c r="J259" s="1801"/>
      <c r="K259" s="1801"/>
      <c r="L259" s="1801"/>
      <c r="M259" s="1801"/>
      <c r="N259" s="1801"/>
      <c r="O259" s="1801"/>
      <c r="P259" s="1801"/>
      <c r="Q259" s="1801"/>
      <c r="R259" s="1801"/>
      <c r="S259" s="1801"/>
      <c r="T259" s="1801"/>
      <c r="U259" s="1801"/>
      <c r="V259" s="1801"/>
      <c r="W259" s="1799"/>
      <c r="X259" s="1732"/>
      <c r="Y259" s="1732"/>
      <c r="Z259" s="1732"/>
      <c r="AA259" s="1732"/>
    </row>
    <row r="260" spans="1:74">
      <c r="B260" s="1802">
        <v>1.5</v>
      </c>
      <c r="C260" s="1802"/>
      <c r="D260" s="1803" t="s">
        <v>42</v>
      </c>
      <c r="E260" s="1803"/>
      <c r="F260" s="1803"/>
      <c r="G260" s="1803"/>
      <c r="H260" s="1803"/>
      <c r="I260" s="1803"/>
      <c r="J260" s="1803"/>
      <c r="K260" s="1803"/>
      <c r="L260" s="1803"/>
      <c r="M260" s="1803"/>
      <c r="N260" s="1803"/>
      <c r="O260" s="1803"/>
      <c r="P260" s="1803"/>
      <c r="Q260" s="1803"/>
      <c r="R260" s="1803"/>
      <c r="S260" s="1803"/>
      <c r="T260" s="1803"/>
      <c r="U260" s="1803"/>
      <c r="V260" s="1803"/>
      <c r="W260" s="1804">
        <f>SUM(W261:AA263)</f>
        <v>0</v>
      </c>
      <c r="X260" s="1805"/>
      <c r="Y260" s="1805"/>
      <c r="Z260" s="1805"/>
      <c r="AA260" s="1805"/>
    </row>
    <row r="261" spans="1:74">
      <c r="B261" s="1800" t="s">
        <v>314</v>
      </c>
      <c r="C261" s="1800"/>
      <c r="D261" s="1801" t="s">
        <v>695</v>
      </c>
      <c r="E261" s="1801"/>
      <c r="F261" s="1801"/>
      <c r="G261" s="1801"/>
      <c r="H261" s="1801"/>
      <c r="I261" s="1801"/>
      <c r="J261" s="1801"/>
      <c r="K261" s="1801"/>
      <c r="L261" s="1801"/>
      <c r="M261" s="1801"/>
      <c r="N261" s="1801"/>
      <c r="O261" s="1801"/>
      <c r="P261" s="1801"/>
      <c r="Q261" s="1801"/>
      <c r="R261" s="1801"/>
      <c r="S261" s="1801"/>
      <c r="T261" s="1801"/>
      <c r="U261" s="1801"/>
      <c r="V261" s="1801"/>
      <c r="W261" s="1799"/>
      <c r="X261" s="1732"/>
      <c r="Y261" s="1732"/>
      <c r="Z261" s="1732"/>
      <c r="AA261" s="1732"/>
    </row>
    <row r="262" spans="1:74">
      <c r="B262" s="1800" t="s">
        <v>315</v>
      </c>
      <c r="C262" s="1800"/>
      <c r="D262" s="1801" t="s">
        <v>696</v>
      </c>
      <c r="E262" s="1801"/>
      <c r="F262" s="1801"/>
      <c r="G262" s="1801"/>
      <c r="H262" s="1801"/>
      <c r="I262" s="1801"/>
      <c r="J262" s="1801"/>
      <c r="K262" s="1801"/>
      <c r="L262" s="1801"/>
      <c r="M262" s="1801"/>
      <c r="N262" s="1801"/>
      <c r="O262" s="1801"/>
      <c r="P262" s="1801"/>
      <c r="Q262" s="1801"/>
      <c r="R262" s="1801"/>
      <c r="S262" s="1801"/>
      <c r="T262" s="1801"/>
      <c r="U262" s="1801"/>
      <c r="V262" s="1801"/>
      <c r="W262" s="1799"/>
      <c r="X262" s="1732"/>
      <c r="Y262" s="1732"/>
      <c r="Z262" s="1732"/>
      <c r="AA262" s="1732"/>
    </row>
    <row r="263" spans="1:74">
      <c r="B263" s="1800" t="s">
        <v>697</v>
      </c>
      <c r="C263" s="1800"/>
      <c r="D263" s="1801" t="s">
        <v>698</v>
      </c>
      <c r="E263" s="1801"/>
      <c r="F263" s="1801"/>
      <c r="G263" s="1801"/>
      <c r="H263" s="1801"/>
      <c r="I263" s="1801"/>
      <c r="J263" s="1801"/>
      <c r="K263" s="1801"/>
      <c r="L263" s="1801"/>
      <c r="M263" s="1801"/>
      <c r="N263" s="1801"/>
      <c r="O263" s="1801"/>
      <c r="P263" s="1801"/>
      <c r="Q263" s="1801"/>
      <c r="R263" s="1801"/>
      <c r="S263" s="1801"/>
      <c r="T263" s="1801"/>
      <c r="U263" s="1801"/>
      <c r="V263" s="1801"/>
      <c r="W263" s="1799"/>
      <c r="X263" s="1732"/>
      <c r="Y263" s="1732"/>
      <c r="Z263" s="1732"/>
      <c r="AA263" s="1732"/>
    </row>
    <row r="264" spans="1:74">
      <c r="B264" s="1802">
        <v>2</v>
      </c>
      <c r="C264" s="1802"/>
      <c r="D264" s="1803" t="s">
        <v>24</v>
      </c>
      <c r="E264" s="1803"/>
      <c r="F264" s="1803"/>
      <c r="G264" s="1803"/>
      <c r="H264" s="1803"/>
      <c r="I264" s="1803"/>
      <c r="J264" s="1803"/>
      <c r="K264" s="1803"/>
      <c r="L264" s="1803"/>
      <c r="M264" s="1803"/>
      <c r="N264" s="1803"/>
      <c r="O264" s="1803"/>
      <c r="P264" s="1803"/>
      <c r="Q264" s="1803"/>
      <c r="R264" s="1803"/>
      <c r="S264" s="1803"/>
      <c r="T264" s="1803"/>
      <c r="U264" s="1803"/>
      <c r="V264" s="1803"/>
      <c r="W264" s="1804">
        <f>+W265+W271</f>
        <v>0</v>
      </c>
      <c r="X264" s="1805"/>
      <c r="Y264" s="1805"/>
      <c r="Z264" s="1805"/>
      <c r="AA264" s="1805"/>
    </row>
    <row r="265" spans="1:74">
      <c r="B265" s="1802">
        <v>2.1</v>
      </c>
      <c r="C265" s="1802"/>
      <c r="D265" s="1803" t="s">
        <v>16</v>
      </c>
      <c r="E265" s="1803"/>
      <c r="F265" s="1803"/>
      <c r="G265" s="1803"/>
      <c r="H265" s="1803"/>
      <c r="I265" s="1803"/>
      <c r="J265" s="1803"/>
      <c r="K265" s="1803"/>
      <c r="L265" s="1803"/>
      <c r="M265" s="1803"/>
      <c r="N265" s="1803"/>
      <c r="O265" s="1803"/>
      <c r="P265" s="1803"/>
      <c r="Q265" s="1803"/>
      <c r="R265" s="1803"/>
      <c r="S265" s="1803"/>
      <c r="T265" s="1803"/>
      <c r="U265" s="1803"/>
      <c r="V265" s="1803"/>
      <c r="W265" s="1804">
        <f>SUM(W266:AA270)</f>
        <v>0</v>
      </c>
      <c r="X265" s="1805"/>
      <c r="Y265" s="1805"/>
      <c r="Z265" s="1805"/>
      <c r="AA265" s="1805"/>
    </row>
    <row r="266" spans="1:74" s="19" customFormat="1">
      <c r="A266" s="33"/>
      <c r="B266" s="1800" t="s">
        <v>18</v>
      </c>
      <c r="C266" s="1800"/>
      <c r="D266" s="1801" t="s">
        <v>298</v>
      </c>
      <c r="E266" s="1801"/>
      <c r="F266" s="1801"/>
      <c r="G266" s="1801"/>
      <c r="H266" s="1801"/>
      <c r="I266" s="1801"/>
      <c r="J266" s="1801"/>
      <c r="K266" s="1801"/>
      <c r="L266" s="1801"/>
      <c r="M266" s="1801"/>
      <c r="N266" s="1801"/>
      <c r="O266" s="1801"/>
      <c r="P266" s="1801"/>
      <c r="Q266" s="1801"/>
      <c r="R266" s="1801"/>
      <c r="S266" s="1801"/>
      <c r="T266" s="1801"/>
      <c r="U266" s="1801"/>
      <c r="V266" s="1801"/>
      <c r="W266" s="1799"/>
      <c r="X266" s="1732"/>
      <c r="Y266" s="1732"/>
      <c r="Z266" s="1732"/>
      <c r="AA266" s="1732"/>
      <c r="AB266" s="33"/>
      <c r="AC266" s="33"/>
      <c r="AD266" s="33"/>
      <c r="AE266" s="33"/>
      <c r="AF266" s="33"/>
      <c r="AG266" s="33"/>
      <c r="AH266" s="33"/>
      <c r="AI266" s="33"/>
      <c r="AJ266" s="33"/>
      <c r="AK266" s="33"/>
      <c r="AL266" s="33"/>
      <c r="AM266" s="33"/>
      <c r="AN266" s="33"/>
      <c r="AO266" s="33"/>
      <c r="AP266" s="33"/>
      <c r="AQ266" s="33"/>
      <c r="AR266" s="33"/>
      <c r="AS266" s="33"/>
      <c r="AT266" s="33"/>
      <c r="AU266" s="33"/>
      <c r="AV266" s="33"/>
      <c r="AW266" s="33"/>
      <c r="AX266" s="33"/>
      <c r="AY266" s="33"/>
      <c r="AZ266" s="33"/>
      <c r="BA266" s="33"/>
      <c r="BB266" s="33"/>
      <c r="BC266" s="33"/>
      <c r="BT266" s="33"/>
      <c r="BU266" s="33"/>
      <c r="BV266" s="33"/>
    </row>
    <row r="267" spans="1:74" s="19" customFormat="1">
      <c r="A267" s="33"/>
      <c r="B267" s="1800" t="s">
        <v>30</v>
      </c>
      <c r="C267" s="1800"/>
      <c r="D267" s="1801" t="s">
        <v>320</v>
      </c>
      <c r="E267" s="1801"/>
      <c r="F267" s="1801"/>
      <c r="G267" s="1801"/>
      <c r="H267" s="1801"/>
      <c r="I267" s="1801"/>
      <c r="J267" s="1801"/>
      <c r="K267" s="1801"/>
      <c r="L267" s="1801"/>
      <c r="M267" s="1801"/>
      <c r="N267" s="1801"/>
      <c r="O267" s="1801"/>
      <c r="P267" s="1801"/>
      <c r="Q267" s="1801"/>
      <c r="R267" s="1801"/>
      <c r="S267" s="1801"/>
      <c r="T267" s="1801"/>
      <c r="U267" s="1801"/>
      <c r="V267" s="1801"/>
      <c r="W267" s="1799"/>
      <c r="X267" s="1732"/>
      <c r="Y267" s="1732"/>
      <c r="Z267" s="1732"/>
      <c r="AA267" s="1732"/>
      <c r="AB267" s="33"/>
      <c r="AC267" s="33"/>
      <c r="AD267" s="33"/>
      <c r="AE267" s="33"/>
      <c r="AF267" s="33"/>
      <c r="AG267" s="33"/>
      <c r="AH267" s="33"/>
      <c r="AI267" s="33"/>
      <c r="AJ267" s="33"/>
      <c r="AK267" s="33"/>
      <c r="AL267" s="33"/>
      <c r="AM267" s="33"/>
      <c r="AN267" s="33"/>
      <c r="AO267" s="33"/>
      <c r="AP267" s="33"/>
      <c r="AQ267" s="33"/>
      <c r="AR267" s="33"/>
      <c r="AS267" s="33"/>
      <c r="AT267" s="33"/>
      <c r="AU267" s="33"/>
      <c r="AV267" s="33"/>
      <c r="AW267" s="33"/>
      <c r="AX267" s="33"/>
      <c r="AY267" s="33"/>
      <c r="AZ267" s="33"/>
      <c r="BA267" s="33"/>
      <c r="BB267" s="33"/>
      <c r="BC267" s="33"/>
      <c r="BT267" s="33"/>
      <c r="BU267" s="33"/>
      <c r="BV267" s="33"/>
    </row>
    <row r="268" spans="1:74" s="19" customFormat="1">
      <c r="A268" s="33"/>
      <c r="B268" s="1800" t="s">
        <v>260</v>
      </c>
      <c r="C268" s="1800"/>
      <c r="D268" s="1801" t="s">
        <v>699</v>
      </c>
      <c r="E268" s="1801"/>
      <c r="F268" s="1801"/>
      <c r="G268" s="1801"/>
      <c r="H268" s="1801"/>
      <c r="I268" s="1801"/>
      <c r="J268" s="1801"/>
      <c r="K268" s="1801"/>
      <c r="L268" s="1801"/>
      <c r="M268" s="1801"/>
      <c r="N268" s="1801"/>
      <c r="O268" s="1801"/>
      <c r="P268" s="1801"/>
      <c r="Q268" s="1801"/>
      <c r="R268" s="1801"/>
      <c r="S268" s="1801"/>
      <c r="T268" s="1801"/>
      <c r="U268" s="1801"/>
      <c r="V268" s="1801"/>
      <c r="W268" s="1799"/>
      <c r="X268" s="1732"/>
      <c r="Y268" s="1732"/>
      <c r="Z268" s="1732"/>
      <c r="AA268" s="1732"/>
      <c r="AB268" s="33"/>
      <c r="AC268" s="33"/>
      <c r="AD268" s="33"/>
      <c r="AE268" s="33"/>
      <c r="AF268" s="33"/>
      <c r="AG268" s="33"/>
      <c r="AH268" s="33"/>
      <c r="AI268" s="33"/>
      <c r="AJ268" s="33"/>
      <c r="AK268" s="33"/>
      <c r="AL268" s="33"/>
      <c r="AM268" s="33"/>
      <c r="AN268" s="33"/>
      <c r="AO268" s="33"/>
      <c r="AP268" s="33"/>
      <c r="AQ268" s="33"/>
      <c r="AR268" s="33"/>
      <c r="AS268" s="33"/>
      <c r="AT268" s="33"/>
      <c r="AU268" s="33"/>
      <c r="AV268" s="33"/>
      <c r="AW268" s="33"/>
      <c r="AX268" s="33"/>
      <c r="AY268" s="33"/>
      <c r="AZ268" s="33"/>
      <c r="BA268" s="33"/>
      <c r="BB268" s="33"/>
      <c r="BC268" s="33"/>
      <c r="BT268" s="33"/>
      <c r="BU268" s="33"/>
      <c r="BV268" s="33"/>
    </row>
    <row r="269" spans="1:74" s="19" customFormat="1">
      <c r="A269" s="33"/>
      <c r="B269" s="1800" t="s">
        <v>261</v>
      </c>
      <c r="C269" s="1800"/>
      <c r="D269" s="1801" t="s">
        <v>700</v>
      </c>
      <c r="E269" s="1801"/>
      <c r="F269" s="1801"/>
      <c r="G269" s="1801"/>
      <c r="H269" s="1801"/>
      <c r="I269" s="1801"/>
      <c r="J269" s="1801"/>
      <c r="K269" s="1801"/>
      <c r="L269" s="1801"/>
      <c r="M269" s="1801"/>
      <c r="N269" s="1801"/>
      <c r="O269" s="1801"/>
      <c r="P269" s="1801"/>
      <c r="Q269" s="1801"/>
      <c r="R269" s="1801"/>
      <c r="S269" s="1801"/>
      <c r="T269" s="1801"/>
      <c r="U269" s="1801"/>
      <c r="V269" s="1801"/>
      <c r="W269" s="1799"/>
      <c r="X269" s="1732"/>
      <c r="Y269" s="1732"/>
      <c r="Z269" s="1732"/>
      <c r="AA269" s="1732"/>
      <c r="AB269" s="33"/>
      <c r="AC269" s="33"/>
      <c r="AD269" s="33"/>
      <c r="AE269" s="33"/>
      <c r="AF269" s="33"/>
      <c r="AG269" s="33"/>
      <c r="AH269" s="33"/>
      <c r="AI269" s="33"/>
      <c r="AJ269" s="33"/>
      <c r="AK269" s="33"/>
      <c r="AL269" s="33"/>
      <c r="AM269" s="33"/>
      <c r="AN269" s="33"/>
      <c r="AO269" s="33"/>
      <c r="AP269" s="33"/>
      <c r="AQ269" s="33"/>
      <c r="AR269" s="33"/>
      <c r="AS269" s="33"/>
      <c r="AT269" s="33"/>
      <c r="AU269" s="33"/>
      <c r="AV269" s="33"/>
      <c r="AW269" s="33"/>
      <c r="AX269" s="33"/>
      <c r="AY269" s="33"/>
      <c r="AZ269" s="33"/>
      <c r="BA269" s="33"/>
      <c r="BB269" s="33"/>
      <c r="BC269" s="33"/>
      <c r="BT269" s="33"/>
      <c r="BU269" s="33"/>
      <c r="BV269" s="33"/>
    </row>
    <row r="270" spans="1:74" s="19" customFormat="1">
      <c r="A270" s="33"/>
      <c r="B270" s="1800" t="s">
        <v>354</v>
      </c>
      <c r="C270" s="1800"/>
      <c r="D270" s="1801" t="s">
        <v>325</v>
      </c>
      <c r="E270" s="1801"/>
      <c r="F270" s="1801"/>
      <c r="G270" s="1801"/>
      <c r="H270" s="1801"/>
      <c r="I270" s="1801"/>
      <c r="J270" s="1801"/>
      <c r="K270" s="1801"/>
      <c r="L270" s="1801"/>
      <c r="M270" s="1801"/>
      <c r="N270" s="1801"/>
      <c r="O270" s="1801"/>
      <c r="P270" s="1801"/>
      <c r="Q270" s="1801"/>
      <c r="R270" s="1801"/>
      <c r="S270" s="1801"/>
      <c r="T270" s="1801"/>
      <c r="U270" s="1801"/>
      <c r="V270" s="1801"/>
      <c r="W270" s="1799"/>
      <c r="X270" s="1732"/>
      <c r="Y270" s="1732"/>
      <c r="Z270" s="1732"/>
      <c r="AA270" s="1732"/>
      <c r="AB270" s="33"/>
      <c r="AC270" s="33"/>
      <c r="AD270" s="33"/>
      <c r="AE270" s="33"/>
      <c r="AF270" s="33"/>
      <c r="AG270" s="33"/>
      <c r="AH270" s="33"/>
      <c r="AI270" s="33"/>
      <c r="AJ270" s="33"/>
      <c r="AK270" s="33"/>
      <c r="AL270" s="33"/>
      <c r="AM270" s="33"/>
      <c r="AN270" s="33"/>
      <c r="AO270" s="33"/>
      <c r="AP270" s="33"/>
      <c r="AQ270" s="33"/>
      <c r="AR270" s="33"/>
      <c r="AS270" s="33"/>
      <c r="AT270" s="33"/>
      <c r="AU270" s="33"/>
      <c r="AV270" s="33"/>
      <c r="AW270" s="33"/>
      <c r="AX270" s="33"/>
      <c r="AY270" s="33"/>
      <c r="AZ270" s="33"/>
      <c r="BA270" s="33"/>
      <c r="BB270" s="33"/>
      <c r="BC270" s="33"/>
      <c r="BT270" s="33"/>
      <c r="BU270" s="33"/>
      <c r="BV270" s="33"/>
    </row>
    <row r="271" spans="1:74" s="19" customFormat="1">
      <c r="A271" s="33"/>
      <c r="B271" s="1802">
        <v>2.2000000000000002</v>
      </c>
      <c r="C271" s="1802"/>
      <c r="D271" s="1803" t="s">
        <v>17</v>
      </c>
      <c r="E271" s="1803"/>
      <c r="F271" s="1803"/>
      <c r="G271" s="1803"/>
      <c r="H271" s="1803"/>
      <c r="I271" s="1803"/>
      <c r="J271" s="1803"/>
      <c r="K271" s="1803"/>
      <c r="L271" s="1803"/>
      <c r="M271" s="1803"/>
      <c r="N271" s="1803"/>
      <c r="O271" s="1803"/>
      <c r="P271" s="1803"/>
      <c r="Q271" s="1803"/>
      <c r="R271" s="1803"/>
      <c r="S271" s="1803"/>
      <c r="T271" s="1803"/>
      <c r="U271" s="1803"/>
      <c r="V271" s="1803"/>
      <c r="W271" s="1796">
        <f>SUM(W272:AA276)</f>
        <v>0</v>
      </c>
      <c r="X271" s="1750"/>
      <c r="Y271" s="1750"/>
      <c r="Z271" s="1750"/>
      <c r="AA271" s="1750"/>
      <c r="AB271" s="33"/>
      <c r="AC271" s="33"/>
      <c r="AD271" s="33"/>
      <c r="AE271" s="33"/>
      <c r="AF271" s="33"/>
      <c r="AG271" s="33"/>
      <c r="AH271" s="33"/>
      <c r="AI271" s="33"/>
      <c r="AJ271" s="33"/>
      <c r="AK271" s="33"/>
      <c r="AL271" s="33"/>
      <c r="AM271" s="33"/>
      <c r="AN271" s="33"/>
      <c r="AO271" s="33"/>
      <c r="AP271" s="33"/>
      <c r="AQ271" s="33"/>
      <c r="AR271" s="33"/>
      <c r="AS271" s="33"/>
      <c r="AT271" s="33"/>
      <c r="AU271" s="33"/>
      <c r="AV271" s="33"/>
      <c r="AW271" s="33"/>
      <c r="AX271" s="33"/>
      <c r="AY271" s="33"/>
      <c r="AZ271" s="33"/>
      <c r="BA271" s="33"/>
      <c r="BB271" s="33"/>
      <c r="BC271" s="33"/>
      <c r="BT271" s="33"/>
      <c r="BU271" s="33"/>
      <c r="BV271" s="33"/>
    </row>
    <row r="272" spans="1:74" s="19" customFormat="1">
      <c r="A272" s="33"/>
      <c r="B272" s="1800" t="s">
        <v>299</v>
      </c>
      <c r="C272" s="1800"/>
      <c r="D272" s="1801" t="s">
        <v>357</v>
      </c>
      <c r="E272" s="1801"/>
      <c r="F272" s="1801"/>
      <c r="G272" s="1801"/>
      <c r="H272" s="1801"/>
      <c r="I272" s="1801"/>
      <c r="J272" s="1801"/>
      <c r="K272" s="1801"/>
      <c r="L272" s="1801"/>
      <c r="M272" s="1801"/>
      <c r="N272" s="1801"/>
      <c r="O272" s="1801"/>
      <c r="P272" s="1801"/>
      <c r="Q272" s="1801"/>
      <c r="R272" s="1801"/>
      <c r="S272" s="1801"/>
      <c r="T272" s="1801"/>
      <c r="U272" s="1801"/>
      <c r="V272" s="1801"/>
      <c r="W272" s="1799"/>
      <c r="X272" s="1732"/>
      <c r="Y272" s="1732"/>
      <c r="Z272" s="1732"/>
      <c r="AA272" s="1732"/>
      <c r="AB272" s="33"/>
      <c r="AC272" s="33"/>
      <c r="AD272" s="33"/>
      <c r="AE272" s="33"/>
      <c r="AF272" s="33"/>
      <c r="AG272" s="33"/>
      <c r="AH272" s="33"/>
      <c r="AI272" s="33"/>
      <c r="AJ272" s="33"/>
      <c r="AK272" s="33"/>
      <c r="AL272" s="33"/>
      <c r="AM272" s="33"/>
      <c r="AN272" s="33"/>
      <c r="AO272" s="33"/>
      <c r="AP272" s="33"/>
      <c r="AQ272" s="33"/>
      <c r="AR272" s="33"/>
      <c r="AS272" s="33"/>
      <c r="AT272" s="33"/>
      <c r="AU272" s="33"/>
      <c r="AV272" s="33"/>
      <c r="AW272" s="33"/>
      <c r="AX272" s="33"/>
      <c r="AY272" s="33"/>
      <c r="AZ272" s="33"/>
      <c r="BA272" s="33"/>
      <c r="BB272" s="33"/>
      <c r="BC272" s="33"/>
      <c r="BT272" s="33"/>
      <c r="BU272" s="33"/>
      <c r="BV272" s="33"/>
    </row>
    <row r="273" spans="1:74" s="19" customFormat="1">
      <c r="A273" s="33"/>
      <c r="B273" s="1800" t="s">
        <v>300</v>
      </c>
      <c r="C273" s="1800"/>
      <c r="D273" s="1801" t="s">
        <v>701</v>
      </c>
      <c r="E273" s="1801"/>
      <c r="F273" s="1801"/>
      <c r="G273" s="1801"/>
      <c r="H273" s="1801"/>
      <c r="I273" s="1801"/>
      <c r="J273" s="1801"/>
      <c r="K273" s="1801"/>
      <c r="L273" s="1801"/>
      <c r="M273" s="1801"/>
      <c r="N273" s="1801"/>
      <c r="O273" s="1801"/>
      <c r="P273" s="1801"/>
      <c r="Q273" s="1801"/>
      <c r="R273" s="1801"/>
      <c r="S273" s="1801"/>
      <c r="T273" s="1801"/>
      <c r="U273" s="1801"/>
      <c r="V273" s="1801"/>
      <c r="W273" s="1799"/>
      <c r="X273" s="1732"/>
      <c r="Y273" s="1732"/>
      <c r="Z273" s="1732"/>
      <c r="AA273" s="1732"/>
      <c r="AB273" s="33"/>
      <c r="AC273" s="33"/>
      <c r="AD273" s="33"/>
      <c r="AE273" s="33"/>
      <c r="AF273" s="33"/>
      <c r="AG273" s="33"/>
      <c r="AH273" s="33"/>
      <c r="AI273" s="33"/>
      <c r="AJ273" s="33"/>
      <c r="AK273" s="33"/>
      <c r="AL273" s="33"/>
      <c r="AM273" s="33"/>
      <c r="AN273" s="33"/>
      <c r="AO273" s="33"/>
      <c r="AP273" s="33"/>
      <c r="AQ273" s="33"/>
      <c r="AR273" s="33"/>
      <c r="AS273" s="33"/>
      <c r="AT273" s="33"/>
      <c r="AU273" s="33"/>
      <c r="AV273" s="33"/>
      <c r="AW273" s="33"/>
      <c r="AX273" s="33"/>
      <c r="AY273" s="33"/>
      <c r="AZ273" s="33"/>
      <c r="BA273" s="33"/>
      <c r="BB273" s="33"/>
      <c r="BC273" s="33"/>
      <c r="BT273" s="33"/>
      <c r="BU273" s="33"/>
      <c r="BV273" s="33"/>
    </row>
    <row r="274" spans="1:74" s="19" customFormat="1">
      <c r="A274" s="33"/>
      <c r="B274" s="1800" t="s">
        <v>323</v>
      </c>
      <c r="C274" s="1800"/>
      <c r="D274" s="1801" t="s">
        <v>702</v>
      </c>
      <c r="E274" s="1801"/>
      <c r="F274" s="1801"/>
      <c r="G274" s="1801"/>
      <c r="H274" s="1801"/>
      <c r="I274" s="1801"/>
      <c r="J274" s="1801"/>
      <c r="K274" s="1801"/>
      <c r="L274" s="1801"/>
      <c r="M274" s="1801"/>
      <c r="N274" s="1801"/>
      <c r="O274" s="1801"/>
      <c r="P274" s="1801"/>
      <c r="Q274" s="1801"/>
      <c r="R274" s="1801"/>
      <c r="S274" s="1801"/>
      <c r="T274" s="1801"/>
      <c r="U274" s="1801"/>
      <c r="V274" s="1801"/>
      <c r="W274" s="1799"/>
      <c r="X274" s="1732"/>
      <c r="Y274" s="1732"/>
      <c r="Z274" s="1732"/>
      <c r="AA274" s="1732"/>
      <c r="AB274" s="33"/>
      <c r="AC274" s="33"/>
      <c r="AD274" s="33"/>
      <c r="AE274" s="33"/>
      <c r="AF274" s="33"/>
      <c r="AG274" s="33"/>
      <c r="AH274" s="33"/>
      <c r="AI274" s="33"/>
      <c r="AJ274" s="33"/>
      <c r="AK274" s="33"/>
      <c r="AL274" s="33"/>
      <c r="AM274" s="33"/>
      <c r="AN274" s="33"/>
      <c r="AO274" s="33"/>
      <c r="AP274" s="33"/>
      <c r="AQ274" s="33"/>
      <c r="AR274" s="33"/>
      <c r="AS274" s="33"/>
      <c r="AT274" s="33"/>
      <c r="AU274" s="33"/>
      <c r="AV274" s="33"/>
      <c r="AW274" s="33"/>
      <c r="AX274" s="33"/>
      <c r="AY274" s="33"/>
      <c r="AZ274" s="33"/>
      <c r="BA274" s="33"/>
      <c r="BB274" s="33"/>
      <c r="BC274" s="33"/>
      <c r="BT274" s="33"/>
      <c r="BU274" s="33"/>
      <c r="BV274" s="33"/>
    </row>
    <row r="275" spans="1:74" s="19" customFormat="1">
      <c r="A275" s="33"/>
      <c r="B275" s="1800" t="s">
        <v>324</v>
      </c>
      <c r="C275" s="1800"/>
      <c r="D275" s="1801" t="s">
        <v>321</v>
      </c>
      <c r="E275" s="1801"/>
      <c r="F275" s="1801"/>
      <c r="G275" s="1801"/>
      <c r="H275" s="1801"/>
      <c r="I275" s="1801"/>
      <c r="J275" s="1801"/>
      <c r="K275" s="1801"/>
      <c r="L275" s="1801"/>
      <c r="M275" s="1801"/>
      <c r="N275" s="1801"/>
      <c r="O275" s="1801"/>
      <c r="P275" s="1801"/>
      <c r="Q275" s="1801"/>
      <c r="R275" s="1801"/>
      <c r="S275" s="1801"/>
      <c r="T275" s="1801"/>
      <c r="U275" s="1801"/>
      <c r="V275" s="1801"/>
      <c r="W275" s="1799"/>
      <c r="X275" s="1732"/>
      <c r="Y275" s="1732"/>
      <c r="Z275" s="1732"/>
      <c r="AA275" s="1732"/>
      <c r="AB275" s="33"/>
      <c r="AC275" s="33"/>
      <c r="AD275" s="33"/>
      <c r="AE275" s="33"/>
      <c r="AF275" s="33"/>
      <c r="AG275" s="33"/>
      <c r="AH275" s="33"/>
      <c r="AI275" s="33"/>
      <c r="AJ275" s="33"/>
      <c r="AK275" s="33"/>
      <c r="AL275" s="33"/>
      <c r="AM275" s="33"/>
      <c r="AN275" s="33"/>
      <c r="AO275" s="33"/>
      <c r="AP275" s="33"/>
      <c r="AQ275" s="33"/>
      <c r="AR275" s="33"/>
      <c r="AS275" s="33"/>
      <c r="AT275" s="33"/>
      <c r="AU275" s="33"/>
      <c r="AV275" s="33"/>
      <c r="AW275" s="33"/>
      <c r="AX275" s="33"/>
      <c r="AY275" s="33"/>
      <c r="AZ275" s="33"/>
      <c r="BA275" s="33"/>
      <c r="BB275" s="33"/>
      <c r="BC275" s="33"/>
      <c r="BT275" s="33"/>
      <c r="BU275" s="33"/>
      <c r="BV275" s="33"/>
    </row>
    <row r="276" spans="1:74" s="19" customFormat="1">
      <c r="A276" s="33"/>
      <c r="B276" s="1800" t="s">
        <v>355</v>
      </c>
      <c r="C276" s="1800"/>
      <c r="D276" s="1801" t="s">
        <v>358</v>
      </c>
      <c r="E276" s="1801"/>
      <c r="F276" s="1801"/>
      <c r="G276" s="1801"/>
      <c r="H276" s="1801"/>
      <c r="I276" s="1801"/>
      <c r="J276" s="1801"/>
      <c r="K276" s="1801"/>
      <c r="L276" s="1801"/>
      <c r="M276" s="1801"/>
      <c r="N276" s="1801"/>
      <c r="O276" s="1801"/>
      <c r="P276" s="1801"/>
      <c r="Q276" s="1801"/>
      <c r="R276" s="1801"/>
      <c r="S276" s="1801"/>
      <c r="T276" s="1801"/>
      <c r="U276" s="1801"/>
      <c r="V276" s="1801"/>
      <c r="W276" s="1799"/>
      <c r="X276" s="1732"/>
      <c r="Y276" s="1732"/>
      <c r="Z276" s="1732"/>
      <c r="AA276" s="1732"/>
      <c r="AB276" s="33"/>
      <c r="AC276" s="33"/>
      <c r="AD276" s="33"/>
      <c r="AE276" s="33"/>
      <c r="AF276" s="33"/>
      <c r="AG276" s="33"/>
      <c r="AH276" s="33"/>
      <c r="AI276" s="33"/>
      <c r="AJ276" s="33"/>
      <c r="AK276" s="33"/>
      <c r="AL276" s="33"/>
      <c r="AM276" s="33"/>
      <c r="AN276" s="33"/>
      <c r="AO276" s="33"/>
      <c r="AP276" s="33"/>
      <c r="AQ276" s="33"/>
      <c r="AR276" s="33"/>
      <c r="AS276" s="33"/>
      <c r="AT276" s="33"/>
      <c r="AU276" s="33"/>
      <c r="AV276" s="33"/>
      <c r="AW276" s="33"/>
      <c r="AX276" s="33"/>
      <c r="AY276" s="33"/>
      <c r="AZ276" s="33"/>
      <c r="BA276" s="33"/>
      <c r="BB276" s="33"/>
      <c r="BC276" s="33"/>
      <c r="BT276" s="33"/>
      <c r="BU276" s="33"/>
      <c r="BV276" s="33"/>
    </row>
    <row r="277" spans="1:74" s="19" customFormat="1" ht="9.75" customHeight="1">
      <c r="A277" s="34"/>
      <c r="B277" s="45"/>
      <c r="C277" s="45"/>
      <c r="D277" s="45"/>
      <c r="E277" s="45"/>
      <c r="F277" s="45"/>
      <c r="G277" s="45"/>
      <c r="H277" s="45"/>
      <c r="I277" s="45"/>
      <c r="J277" s="45"/>
      <c r="K277" s="45"/>
      <c r="L277" s="45"/>
      <c r="M277" s="45"/>
      <c r="N277" s="49"/>
      <c r="O277" s="49"/>
      <c r="P277" s="49"/>
      <c r="Q277" s="49"/>
      <c r="R277" s="49"/>
      <c r="S277" s="49"/>
      <c r="T277" s="49"/>
      <c r="U277" s="49"/>
      <c r="V277" s="49"/>
      <c r="W277" s="49"/>
      <c r="X277" s="49"/>
      <c r="Y277" s="49"/>
      <c r="Z277" s="49"/>
      <c r="AA277" s="49"/>
      <c r="AB277" s="49"/>
      <c r="AC277" s="49"/>
      <c r="AD277" s="49"/>
      <c r="AE277" s="49"/>
      <c r="AF277" s="49"/>
      <c r="AG277" s="49"/>
      <c r="AH277" s="49"/>
      <c r="AI277" s="49"/>
      <c r="AJ277" s="49"/>
      <c r="AK277" s="49"/>
      <c r="AL277" s="49"/>
      <c r="AM277" s="49"/>
      <c r="AN277" s="49"/>
      <c r="AO277" s="49"/>
      <c r="AP277" s="49"/>
      <c r="AQ277" s="49"/>
      <c r="AR277" s="20"/>
      <c r="AS277" s="20"/>
      <c r="AT277" s="20"/>
      <c r="AU277" s="20"/>
      <c r="AV277" s="20"/>
      <c r="AW277" s="20"/>
      <c r="AX277" s="20"/>
      <c r="AY277" s="20"/>
      <c r="AZ277" s="20"/>
      <c r="BT277" s="33"/>
      <c r="BU277" s="33"/>
      <c r="BV277" s="33"/>
    </row>
    <row r="278" spans="1:74">
      <c r="A278" s="1728"/>
      <c r="B278" s="1728"/>
      <c r="C278" s="1728"/>
      <c r="D278" s="1728"/>
      <c r="E278" s="1728"/>
      <c r="F278" s="1728"/>
      <c r="G278" s="1728"/>
      <c r="H278" s="1728"/>
      <c r="I278" s="1728"/>
      <c r="J278" s="1728"/>
      <c r="K278" s="1728"/>
      <c r="L278" s="1728"/>
      <c r="M278" s="1728"/>
      <c r="N278" s="1728"/>
      <c r="O278" s="1728"/>
      <c r="P278" s="1728"/>
      <c r="Q278" s="1728"/>
      <c r="R278" s="1728"/>
      <c r="S278" s="1728"/>
      <c r="T278" s="1728"/>
      <c r="U278" s="1728"/>
      <c r="V278" s="1728"/>
      <c r="W278" s="1728"/>
      <c r="X278" s="1728"/>
      <c r="Y278" s="1728"/>
      <c r="Z278" s="1728"/>
      <c r="AA278" s="1728"/>
      <c r="AB278" s="1728"/>
      <c r="AC278" s="1728"/>
      <c r="AD278" s="1728"/>
      <c r="AE278" s="1728"/>
      <c r="AF278" s="1728"/>
      <c r="AG278" s="1728"/>
      <c r="AH278" s="1728"/>
      <c r="AI278" s="1728"/>
      <c r="AJ278" s="1728"/>
      <c r="AK278" s="1728"/>
      <c r="AL278" s="1728"/>
      <c r="AM278" s="1728"/>
      <c r="AN278" s="1728"/>
      <c r="AO278" s="1728"/>
      <c r="AP278" s="1728"/>
      <c r="AQ278" s="1728"/>
      <c r="AR278" s="1728"/>
      <c r="AS278" s="1728"/>
      <c r="AT278" s="1728"/>
      <c r="AU278" s="1728"/>
      <c r="AV278" s="1728"/>
      <c r="AW278" s="1728"/>
      <c r="AX278" s="1728"/>
      <c r="AY278" s="1728"/>
      <c r="AZ278" s="1728"/>
    </row>
    <row r="279" spans="1:74">
      <c r="A279" s="1728"/>
      <c r="B279" s="1728"/>
      <c r="C279" s="1728"/>
      <c r="D279" s="1728"/>
      <c r="E279" s="1728"/>
      <c r="F279" s="1728"/>
      <c r="G279" s="1728"/>
      <c r="H279" s="1728"/>
      <c r="I279" s="1728"/>
      <c r="J279" s="1728"/>
      <c r="K279" s="1728"/>
      <c r="L279" s="1728"/>
      <c r="M279" s="1728"/>
      <c r="N279" s="1728"/>
      <c r="O279" s="1728"/>
      <c r="P279" s="1728"/>
      <c r="Q279" s="1728"/>
      <c r="R279" s="1728"/>
      <c r="S279" s="1728"/>
      <c r="T279" s="1728"/>
      <c r="U279" s="1728"/>
      <c r="V279" s="1728"/>
      <c r="W279" s="1728"/>
      <c r="X279" s="1728"/>
      <c r="Y279" s="1728"/>
      <c r="Z279" s="1728"/>
      <c r="AA279" s="1728"/>
      <c r="AB279" s="1728"/>
      <c r="AC279" s="1728"/>
      <c r="AD279" s="1728"/>
      <c r="AE279" s="1728"/>
      <c r="AF279" s="1728"/>
      <c r="AG279" s="1728"/>
      <c r="AH279" s="1728"/>
      <c r="AI279" s="1728"/>
      <c r="AJ279" s="1728"/>
      <c r="AK279" s="1728"/>
      <c r="AL279" s="1728"/>
      <c r="AM279" s="1728"/>
      <c r="AN279" s="1728"/>
      <c r="AO279" s="1728"/>
      <c r="AP279" s="1728"/>
      <c r="AQ279" s="1728"/>
      <c r="AR279" s="1728"/>
      <c r="AS279" s="1728"/>
      <c r="AT279" s="1728"/>
      <c r="AU279" s="1728"/>
      <c r="AV279" s="1728"/>
      <c r="AW279" s="1728"/>
      <c r="AX279" s="1728"/>
      <c r="AY279" s="1728"/>
      <c r="AZ279" s="1728"/>
    </row>
    <row r="280" spans="1:74">
      <c r="A280" s="1728"/>
      <c r="B280" s="1728"/>
      <c r="C280" s="1728"/>
      <c r="D280" s="1728"/>
      <c r="E280" s="1728"/>
      <c r="F280" s="1728"/>
      <c r="G280" s="1728"/>
      <c r="H280" s="1728"/>
      <c r="I280" s="1728"/>
      <c r="J280" s="1728"/>
      <c r="K280" s="1728"/>
      <c r="L280" s="1728"/>
      <c r="M280" s="1728"/>
      <c r="N280" s="1728"/>
      <c r="O280" s="1728"/>
      <c r="P280" s="1728"/>
      <c r="Q280" s="1728"/>
      <c r="R280" s="1728"/>
      <c r="S280" s="1728"/>
      <c r="T280" s="1728"/>
      <c r="U280" s="1728"/>
      <c r="V280" s="1728"/>
      <c r="W280" s="1728"/>
      <c r="X280" s="1728"/>
      <c r="Y280" s="1728"/>
      <c r="Z280" s="1728"/>
      <c r="AA280" s="1728"/>
      <c r="AB280" s="1728"/>
      <c r="AC280" s="1728"/>
      <c r="AD280" s="1728"/>
      <c r="AE280" s="1728"/>
      <c r="AF280" s="1728"/>
      <c r="AG280" s="1728"/>
      <c r="AH280" s="1728"/>
      <c r="AI280" s="1728"/>
      <c r="AJ280" s="1728"/>
      <c r="AK280" s="1728"/>
      <c r="AL280" s="1728"/>
      <c r="AM280" s="1728"/>
      <c r="AN280" s="1728"/>
      <c r="AO280" s="1728"/>
      <c r="AP280" s="1728"/>
      <c r="AQ280" s="1728"/>
      <c r="AR280" s="1728"/>
      <c r="AS280" s="1728"/>
      <c r="AT280" s="1728"/>
      <c r="AU280" s="1728"/>
      <c r="AV280" s="1728"/>
      <c r="AW280" s="1728"/>
      <c r="AX280" s="1728"/>
      <c r="AY280" s="1728"/>
      <c r="AZ280" s="1728"/>
    </row>
  </sheetData>
  <dataConsolidate/>
  <mergeCells count="1209">
    <mergeCell ref="AL185:AZ185"/>
    <mergeCell ref="AL186:AZ186"/>
    <mergeCell ref="V183:Z183"/>
    <mergeCell ref="AA183:AE183"/>
    <mergeCell ref="AF183:AK183"/>
    <mergeCell ref="AF184:AK184"/>
    <mergeCell ref="AF185:AK185"/>
    <mergeCell ref="AF186:AK186"/>
    <mergeCell ref="AK166:AO166"/>
    <mergeCell ref="AP166:AU166"/>
    <mergeCell ref="AV166:AZ166"/>
    <mergeCell ref="Y30:AP30"/>
    <mergeCell ref="AQ30:AS30"/>
    <mergeCell ref="Y31:AP31"/>
    <mergeCell ref="AQ31:AS31"/>
    <mergeCell ref="AV158:AZ158"/>
    <mergeCell ref="AP157:AU157"/>
    <mergeCell ref="AV159:AZ159"/>
    <mergeCell ref="AK152:AO152"/>
    <mergeCell ref="AK151:AO151"/>
    <mergeCell ref="AP151:AU151"/>
    <mergeCell ref="AK156:AO156"/>
    <mergeCell ref="AP156:AU156"/>
    <mergeCell ref="AK153:AO153"/>
    <mergeCell ref="AV148:AZ148"/>
    <mergeCell ref="AP158:AU158"/>
    <mergeCell ref="AP152:AU152"/>
    <mergeCell ref="AV146:AZ146"/>
    <mergeCell ref="AV140:AZ140"/>
    <mergeCell ref="AV145:AZ145"/>
    <mergeCell ref="AP144:AU144"/>
    <mergeCell ref="AV144:AZ144"/>
    <mergeCell ref="AP173:AU173"/>
    <mergeCell ref="AV173:AZ173"/>
    <mergeCell ref="AK160:AO160"/>
    <mergeCell ref="AP160:AU160"/>
    <mergeCell ref="AV160:AZ160"/>
    <mergeCell ref="AV170:AZ170"/>
    <mergeCell ref="AK168:AO168"/>
    <mergeCell ref="AP168:AU168"/>
    <mergeCell ref="AV165:AZ165"/>
    <mergeCell ref="AK176:AO176"/>
    <mergeCell ref="AP176:AU176"/>
    <mergeCell ref="AV176:AZ176"/>
    <mergeCell ref="AK172:AO172"/>
    <mergeCell ref="AP172:AU172"/>
    <mergeCell ref="AV172:AZ172"/>
    <mergeCell ref="AK173:AO173"/>
    <mergeCell ref="AV174:AZ174"/>
    <mergeCell ref="AK174:AO174"/>
    <mergeCell ref="AP174:AU174"/>
    <mergeCell ref="AP164:AU164"/>
    <mergeCell ref="B160:O160"/>
    <mergeCell ref="P160:Q160"/>
    <mergeCell ref="R160:U160"/>
    <mergeCell ref="V160:Z160"/>
    <mergeCell ref="AA160:AE160"/>
    <mergeCell ref="AF160:AJ160"/>
    <mergeCell ref="B172:O172"/>
    <mergeCell ref="P172:Q172"/>
    <mergeCell ref="AV164:AZ164"/>
    <mergeCell ref="AK165:AO165"/>
    <mergeCell ref="AP165:AU165"/>
    <mergeCell ref="AK164:AO164"/>
    <mergeCell ref="R172:U172"/>
    <mergeCell ref="V172:Z172"/>
    <mergeCell ref="AA172:AE172"/>
    <mergeCell ref="AF172:AJ172"/>
    <mergeCell ref="B173:O173"/>
    <mergeCell ref="P173:Q173"/>
    <mergeCell ref="R173:U173"/>
    <mergeCell ref="V173:Z173"/>
    <mergeCell ref="AA173:AE173"/>
    <mergeCell ref="AF173:AJ173"/>
    <mergeCell ref="B171:O171"/>
    <mergeCell ref="P171:Q171"/>
    <mergeCell ref="R171:U171"/>
    <mergeCell ref="V171:Z171"/>
    <mergeCell ref="AA171:AE171"/>
    <mergeCell ref="B169:O169"/>
    <mergeCell ref="P169:Q169"/>
    <mergeCell ref="R169:U169"/>
    <mergeCell ref="V169:Z169"/>
    <mergeCell ref="AA169:AE169"/>
    <mergeCell ref="B146:O146"/>
    <mergeCell ref="P146:Q146"/>
    <mergeCell ref="R146:U146"/>
    <mergeCell ref="V146:Z146"/>
    <mergeCell ref="AA146:AE146"/>
    <mergeCell ref="AF146:AJ146"/>
    <mergeCell ref="AK155:AO155"/>
    <mergeCell ref="AP155:AU155"/>
    <mergeCell ref="V157:Z157"/>
    <mergeCell ref="AF154:AJ154"/>
    <mergeCell ref="AK154:AO154"/>
    <mergeCell ref="AK159:AO159"/>
    <mergeCell ref="AP159:AU159"/>
    <mergeCell ref="AK157:AO157"/>
    <mergeCell ref="V156:Z156"/>
    <mergeCell ref="AV157:AZ157"/>
    <mergeCell ref="R150:U150"/>
    <mergeCell ref="V150:Z150"/>
    <mergeCell ref="B159:O159"/>
    <mergeCell ref="B158:O158"/>
    <mergeCell ref="P158:Q158"/>
    <mergeCell ref="R158:U158"/>
    <mergeCell ref="V158:Z158"/>
    <mergeCell ref="R156:U156"/>
    <mergeCell ref="V159:Z159"/>
    <mergeCell ref="B154:O154"/>
    <mergeCell ref="P154:Q154"/>
    <mergeCell ref="R154:U154"/>
    <mergeCell ref="V154:Z154"/>
    <mergeCell ref="AA154:AE154"/>
    <mergeCell ref="AF153:AJ153"/>
    <mergeCell ref="P147:Q147"/>
    <mergeCell ref="P148:Q148"/>
    <mergeCell ref="B149:O149"/>
    <mergeCell ref="P149:Q149"/>
    <mergeCell ref="R149:U149"/>
    <mergeCell ref="V149:Z149"/>
    <mergeCell ref="AA149:AE149"/>
    <mergeCell ref="AF149:AJ149"/>
    <mergeCell ref="R148:U148"/>
    <mergeCell ref="B148:O148"/>
    <mergeCell ref="R147:U147"/>
    <mergeCell ref="V147:Z147"/>
    <mergeCell ref="V148:Z148"/>
    <mergeCell ref="AA157:AE157"/>
    <mergeCell ref="AF157:AJ157"/>
    <mergeCell ref="AA147:AE147"/>
    <mergeCell ref="AA148:AE148"/>
    <mergeCell ref="B156:O156"/>
    <mergeCell ref="P156:Q156"/>
    <mergeCell ref="V152:Z152"/>
    <mergeCell ref="AA152:AE152"/>
    <mergeCell ref="B151:O151"/>
    <mergeCell ref="P151:Q151"/>
    <mergeCell ref="V151:Z151"/>
    <mergeCell ref="AA150:AE150"/>
    <mergeCell ref="AA151:AE151"/>
    <mergeCell ref="AF151:AJ151"/>
    <mergeCell ref="AA156:AE156"/>
    <mergeCell ref="AF156:AJ156"/>
    <mergeCell ref="AK144:AO144"/>
    <mergeCell ref="AK143:AO143"/>
    <mergeCell ref="AP143:AU143"/>
    <mergeCell ref="AV143:AZ143"/>
    <mergeCell ref="AK142:AO142"/>
    <mergeCell ref="AQ136:AZ136"/>
    <mergeCell ref="AQ137:AZ137"/>
    <mergeCell ref="AQ138:AZ138"/>
    <mergeCell ref="AK149:AO149"/>
    <mergeCell ref="AF147:AJ147"/>
    <mergeCell ref="AK147:AO147"/>
    <mergeCell ref="AP147:AU147"/>
    <mergeCell ref="AV147:AZ147"/>
    <mergeCell ref="AF148:AJ148"/>
    <mergeCell ref="AK148:AO148"/>
    <mergeCell ref="AV151:AZ151"/>
    <mergeCell ref="N72:R72"/>
    <mergeCell ref="S108:V108"/>
    <mergeCell ref="AS87:AV87"/>
    <mergeCell ref="AB86:AI86"/>
    <mergeCell ref="AB84:AW84"/>
    <mergeCell ref="B111:R111"/>
    <mergeCell ref="S111:V111"/>
    <mergeCell ref="S105:V105"/>
    <mergeCell ref="B107:I107"/>
    <mergeCell ref="N107:R107"/>
    <mergeCell ref="B109:I109"/>
    <mergeCell ref="J109:M109"/>
    <mergeCell ref="AB89:AI89"/>
    <mergeCell ref="AJ89:AM89"/>
    <mergeCell ref="AN89:AR89"/>
    <mergeCell ref="AS89:AV89"/>
    <mergeCell ref="B73:M73"/>
    <mergeCell ref="N73:R73"/>
    <mergeCell ref="AN90:AR90"/>
    <mergeCell ref="AS90:AV90"/>
    <mergeCell ref="AB91:AI91"/>
    <mergeCell ref="AV156:AZ156"/>
    <mergeCell ref="AP154:AU154"/>
    <mergeCell ref="AV154:AZ154"/>
    <mergeCell ref="B155:O155"/>
    <mergeCell ref="P155:Q155"/>
    <mergeCell ref="R155:U155"/>
    <mergeCell ref="V155:Z155"/>
    <mergeCell ref="AA155:AE155"/>
    <mergeCell ref="AF155:AJ155"/>
    <mergeCell ref="AV155:AZ155"/>
    <mergeCell ref="AV152:AZ152"/>
    <mergeCell ref="B153:O153"/>
    <mergeCell ref="P153:Q153"/>
    <mergeCell ref="R153:U153"/>
    <mergeCell ref="V153:Z153"/>
    <mergeCell ref="AA153:AE153"/>
    <mergeCell ref="AP153:AU153"/>
    <mergeCell ref="AV153:AZ153"/>
    <mergeCell ref="AP148:AU148"/>
    <mergeCell ref="AP149:AU149"/>
    <mergeCell ref="AK146:AO146"/>
    <mergeCell ref="AP146:AU146"/>
    <mergeCell ref="AF152:AJ152"/>
    <mergeCell ref="B152:O152"/>
    <mergeCell ref="P152:Q152"/>
    <mergeCell ref="R152:U152"/>
    <mergeCell ref="N108:R108"/>
    <mergeCell ref="AN87:AR87"/>
    <mergeCell ref="AJ91:AM91"/>
    <mergeCell ref="AN91:AR91"/>
    <mergeCell ref="AS91:AV91"/>
    <mergeCell ref="AJ88:AM88"/>
    <mergeCell ref="AN88:AR88"/>
    <mergeCell ref="AS88:AV88"/>
    <mergeCell ref="AS92:AV92"/>
    <mergeCell ref="B110:I110"/>
    <mergeCell ref="J110:M110"/>
    <mergeCell ref="N110:R110"/>
    <mergeCell ref="B100:I100"/>
    <mergeCell ref="J100:M100"/>
    <mergeCell ref="N100:R100"/>
    <mergeCell ref="B101:R101"/>
    <mergeCell ref="J107:M107"/>
    <mergeCell ref="B106:I106"/>
    <mergeCell ref="J106:M106"/>
    <mergeCell ref="S99:V99"/>
    <mergeCell ref="N109:R109"/>
    <mergeCell ref="S109:V109"/>
    <mergeCell ref="B108:I108"/>
    <mergeCell ref="J108:M108"/>
    <mergeCell ref="S107:V107"/>
    <mergeCell ref="B105:I105"/>
    <mergeCell ref="J105:M105"/>
    <mergeCell ref="N105:R105"/>
    <mergeCell ref="N106:R106"/>
    <mergeCell ref="S106:V106"/>
    <mergeCell ref="N96:R96"/>
    <mergeCell ref="N87:R87"/>
    <mergeCell ref="S110:V110"/>
    <mergeCell ref="B84:W84"/>
    <mergeCell ref="S100:V100"/>
    <mergeCell ref="S101:V101"/>
    <mergeCell ref="J98:M98"/>
    <mergeCell ref="B96:I96"/>
    <mergeCell ref="B90:I90"/>
    <mergeCell ref="S87:V87"/>
    <mergeCell ref="S89:V89"/>
    <mergeCell ref="J90:M90"/>
    <mergeCell ref="B104:I104"/>
    <mergeCell ref="J104:M104"/>
    <mergeCell ref="N104:R104"/>
    <mergeCell ref="J96:M96"/>
    <mergeCell ref="B92:R92"/>
    <mergeCell ref="N98:R98"/>
    <mergeCell ref="J99:M99"/>
    <mergeCell ref="N99:R99"/>
    <mergeCell ref="B94:AT94"/>
    <mergeCell ref="AJ85:AM85"/>
    <mergeCell ref="AN85:AR85"/>
    <mergeCell ref="AS85:AV85"/>
    <mergeCell ref="S104:V104"/>
    <mergeCell ref="B99:I99"/>
    <mergeCell ref="AB88:AI88"/>
    <mergeCell ref="S88:V88"/>
    <mergeCell ref="AJ90:AM90"/>
    <mergeCell ref="S90:V90"/>
    <mergeCell ref="AJ86:AM86"/>
    <mergeCell ref="AN86:AR86"/>
    <mergeCell ref="AS86:AV86"/>
    <mergeCell ref="AB87:AI87"/>
    <mergeCell ref="AJ87:AM87"/>
    <mergeCell ref="AS81:AV81"/>
    <mergeCell ref="B80:I80"/>
    <mergeCell ref="J80:M80"/>
    <mergeCell ref="AB77:AI77"/>
    <mergeCell ref="AB81:AI81"/>
    <mergeCell ref="AJ81:AM81"/>
    <mergeCell ref="AB79:AI79"/>
    <mergeCell ref="AS79:AV79"/>
    <mergeCell ref="AB80:AI80"/>
    <mergeCell ref="AJ80:AM80"/>
    <mergeCell ref="AS80:AV80"/>
    <mergeCell ref="S79:V79"/>
    <mergeCell ref="B77:I77"/>
    <mergeCell ref="J77:M77"/>
    <mergeCell ref="N77:R77"/>
    <mergeCell ref="S77:V77"/>
    <mergeCell ref="S78:V78"/>
    <mergeCell ref="AJ77:AM77"/>
    <mergeCell ref="AN77:AR77"/>
    <mergeCell ref="AS77:AV77"/>
    <mergeCell ref="AB78:AI78"/>
    <mergeCell ref="AJ78:AM78"/>
    <mergeCell ref="AN78:AR78"/>
    <mergeCell ref="AS78:AV78"/>
    <mergeCell ref="AJ79:AM79"/>
    <mergeCell ref="AN79:AR79"/>
    <mergeCell ref="N91:R91"/>
    <mergeCell ref="S91:V91"/>
    <mergeCell ref="B87:I87"/>
    <mergeCell ref="N88:R88"/>
    <mergeCell ref="B71:M71"/>
    <mergeCell ref="N71:R71"/>
    <mergeCell ref="B72:M72"/>
    <mergeCell ref="J81:M81"/>
    <mergeCell ref="N81:R81"/>
    <mergeCell ref="V63:X63"/>
    <mergeCell ref="H64:K64"/>
    <mergeCell ref="H66:K66"/>
    <mergeCell ref="L66:N66"/>
    <mergeCell ref="O66:S66"/>
    <mergeCell ref="V64:X64"/>
    <mergeCell ref="L64:N64"/>
    <mergeCell ref="AS82:AV82"/>
    <mergeCell ref="AB85:AI85"/>
    <mergeCell ref="L65:N65"/>
    <mergeCell ref="O65:S65"/>
    <mergeCell ref="T65:U65"/>
    <mergeCell ref="V65:X65"/>
    <mergeCell ref="T66:U66"/>
    <mergeCell ref="V66:X66"/>
    <mergeCell ref="S80:V80"/>
    <mergeCell ref="AN80:AR80"/>
    <mergeCell ref="B85:I85"/>
    <mergeCell ref="J85:M85"/>
    <mergeCell ref="N85:R85"/>
    <mergeCell ref="S85:V85"/>
    <mergeCell ref="AB82:AR82"/>
    <mergeCell ref="AN81:AR81"/>
    <mergeCell ref="T62:U62"/>
    <mergeCell ref="B63:G66"/>
    <mergeCell ref="H63:K63"/>
    <mergeCell ref="L63:N63"/>
    <mergeCell ref="O63:S63"/>
    <mergeCell ref="T63:U63"/>
    <mergeCell ref="AT60:AV60"/>
    <mergeCell ref="B67:K67"/>
    <mergeCell ref="L67:N67"/>
    <mergeCell ref="B76:V76"/>
    <mergeCell ref="O67:S67"/>
    <mergeCell ref="T67:U67"/>
    <mergeCell ref="V67:X67"/>
    <mergeCell ref="B75:AT75"/>
    <mergeCell ref="AB76:AX76"/>
    <mergeCell ref="S98:V98"/>
    <mergeCell ref="S86:V86"/>
    <mergeCell ref="B78:I78"/>
    <mergeCell ref="J78:M78"/>
    <mergeCell ref="N78:R78"/>
    <mergeCell ref="B79:I79"/>
    <mergeCell ref="J79:M79"/>
    <mergeCell ref="N79:R79"/>
    <mergeCell ref="N80:R80"/>
    <mergeCell ref="B97:I97"/>
    <mergeCell ref="B86:I86"/>
    <mergeCell ref="N90:R90"/>
    <mergeCell ref="J86:M86"/>
    <mergeCell ref="N86:R86"/>
    <mergeCell ref="S92:V92"/>
    <mergeCell ref="B91:I91"/>
    <mergeCell ref="J91:M91"/>
    <mergeCell ref="V50:X50"/>
    <mergeCell ref="V49:X49"/>
    <mergeCell ref="V48:X48"/>
    <mergeCell ref="Z44:AI44"/>
    <mergeCell ref="AJ44:AL44"/>
    <mergeCell ref="V47:X47"/>
    <mergeCell ref="AT55:AV55"/>
    <mergeCell ref="O59:S59"/>
    <mergeCell ref="T59:U59"/>
    <mergeCell ref="V59:X59"/>
    <mergeCell ref="H65:K65"/>
    <mergeCell ref="B60:K60"/>
    <mergeCell ref="L60:N60"/>
    <mergeCell ref="O60:S60"/>
    <mergeCell ref="T60:U60"/>
    <mergeCell ref="AR59:AS59"/>
    <mergeCell ref="AT59:AV59"/>
    <mergeCell ref="V62:X62"/>
    <mergeCell ref="AJ59:AL59"/>
    <mergeCell ref="AM59:AQ59"/>
    <mergeCell ref="V60:X60"/>
    <mergeCell ref="Z60:AI60"/>
    <mergeCell ref="Z56:AE59"/>
    <mergeCell ref="AF57:AI57"/>
    <mergeCell ref="AF56:AI56"/>
    <mergeCell ref="H59:K59"/>
    <mergeCell ref="O64:S64"/>
    <mergeCell ref="T64:U64"/>
    <mergeCell ref="B62:G62"/>
    <mergeCell ref="H62:K62"/>
    <mergeCell ref="L62:N62"/>
    <mergeCell ref="O62:S62"/>
    <mergeCell ref="AT58:AV58"/>
    <mergeCell ref="AM57:AQ57"/>
    <mergeCell ref="AJ56:AL56"/>
    <mergeCell ref="AM56:AQ56"/>
    <mergeCell ref="AR56:AS56"/>
    <mergeCell ref="AR57:AS57"/>
    <mergeCell ref="L56:N56"/>
    <mergeCell ref="O56:S56"/>
    <mergeCell ref="T56:U56"/>
    <mergeCell ref="V58:X58"/>
    <mergeCell ref="AF58:AI58"/>
    <mergeCell ref="V56:X56"/>
    <mergeCell ref="V57:X57"/>
    <mergeCell ref="AT57:AV57"/>
    <mergeCell ref="AT43:AV43"/>
    <mergeCell ref="AM55:AQ55"/>
    <mergeCell ref="AT56:AV56"/>
    <mergeCell ref="AT44:AV44"/>
    <mergeCell ref="AM43:AQ43"/>
    <mergeCell ref="L51:N51"/>
    <mergeCell ref="O51:S51"/>
    <mergeCell ref="T51:U51"/>
    <mergeCell ref="AR55:AS55"/>
    <mergeCell ref="AM44:AQ44"/>
    <mergeCell ref="V46:X46"/>
    <mergeCell ref="AR44:AS44"/>
    <mergeCell ref="AJ43:AL43"/>
    <mergeCell ref="V44:X44"/>
    <mergeCell ref="Z55:AE55"/>
    <mergeCell ref="AF55:AI55"/>
    <mergeCell ref="AJ55:AL55"/>
    <mergeCell ref="V51:X51"/>
    <mergeCell ref="N8:R8"/>
    <mergeCell ref="N9:R9"/>
    <mergeCell ref="B14:P14"/>
    <mergeCell ref="B18:P18"/>
    <mergeCell ref="Q17:S17"/>
    <mergeCell ref="T17:V17"/>
    <mergeCell ref="V5:AP8"/>
    <mergeCell ref="H57:K57"/>
    <mergeCell ref="D264:V264"/>
    <mergeCell ref="W264:AA264"/>
    <mergeCell ref="B261:C261"/>
    <mergeCell ref="D261:V261"/>
    <mergeCell ref="W261:AA261"/>
    <mergeCell ref="B262:C262"/>
    <mergeCell ref="D262:V262"/>
    <mergeCell ref="W262:AA262"/>
    <mergeCell ref="B259:C259"/>
    <mergeCell ref="B263:C263"/>
    <mergeCell ref="D263:V263"/>
    <mergeCell ref="W263:AA263"/>
    <mergeCell ref="B264:C264"/>
    <mergeCell ref="B44:K44"/>
    <mergeCell ref="B46:G46"/>
    <mergeCell ref="H46:K46"/>
    <mergeCell ref="O46:S46"/>
    <mergeCell ref="H49:K49"/>
    <mergeCell ref="L49:N49"/>
    <mergeCell ref="O49:S49"/>
    <mergeCell ref="T49:U49"/>
    <mergeCell ref="L48:N48"/>
    <mergeCell ref="H50:K50"/>
    <mergeCell ref="H48:K48"/>
    <mergeCell ref="B274:C274"/>
    <mergeCell ref="D274:V274"/>
    <mergeCell ref="W274:AA274"/>
    <mergeCell ref="B275:C275"/>
    <mergeCell ref="D275:V275"/>
    <mergeCell ref="W275:AA275"/>
    <mergeCell ref="B276:C276"/>
    <mergeCell ref="D276:V276"/>
    <mergeCell ref="W276:AA276"/>
    <mergeCell ref="B40:G43"/>
    <mergeCell ref="V42:X42"/>
    <mergeCell ref="V43:X43"/>
    <mergeCell ref="L42:N42"/>
    <mergeCell ref="H41:K41"/>
    <mergeCell ref="L41:N41"/>
    <mergeCell ref="H42:K42"/>
    <mergeCell ref="T43:U43"/>
    <mergeCell ref="O42:S42"/>
    <mergeCell ref="V40:X40"/>
    <mergeCell ref="O40:S40"/>
    <mergeCell ref="O41:S41"/>
    <mergeCell ref="V41:X41"/>
    <mergeCell ref="D266:V266"/>
    <mergeCell ref="W266:AA266"/>
    <mergeCell ref="B270:C270"/>
    <mergeCell ref="D270:V270"/>
    <mergeCell ref="W270:AA270"/>
    <mergeCell ref="B267:C267"/>
    <mergeCell ref="D267:V267"/>
    <mergeCell ref="W267:AA267"/>
    <mergeCell ref="B268:C268"/>
    <mergeCell ref="D268:V268"/>
    <mergeCell ref="D259:V259"/>
    <mergeCell ref="W259:AA259"/>
    <mergeCell ref="B260:C260"/>
    <mergeCell ref="D260:V260"/>
    <mergeCell ref="W260:AA260"/>
    <mergeCell ref="B257:C257"/>
    <mergeCell ref="D257:V257"/>
    <mergeCell ref="W257:AA257"/>
    <mergeCell ref="B258:C258"/>
    <mergeCell ref="D258:V258"/>
    <mergeCell ref="B271:C271"/>
    <mergeCell ref="D271:V271"/>
    <mergeCell ref="W271:AA271"/>
    <mergeCell ref="B272:C272"/>
    <mergeCell ref="D272:V272"/>
    <mergeCell ref="W272:AA272"/>
    <mergeCell ref="B273:C273"/>
    <mergeCell ref="D273:V273"/>
    <mergeCell ref="W273:AA273"/>
    <mergeCell ref="W268:AA268"/>
    <mergeCell ref="B269:C269"/>
    <mergeCell ref="D269:V269"/>
    <mergeCell ref="W269:AA269"/>
    <mergeCell ref="B265:C265"/>
    <mergeCell ref="D265:V265"/>
    <mergeCell ref="W265:AA265"/>
    <mergeCell ref="B266:C266"/>
    <mergeCell ref="B251:C251"/>
    <mergeCell ref="D251:V251"/>
    <mergeCell ref="W251:AA251"/>
    <mergeCell ref="B252:C252"/>
    <mergeCell ref="D252:V252"/>
    <mergeCell ref="W252:AA252"/>
    <mergeCell ref="B253:C253"/>
    <mergeCell ref="D253:V253"/>
    <mergeCell ref="W253:AA253"/>
    <mergeCell ref="B254:C254"/>
    <mergeCell ref="D254:V254"/>
    <mergeCell ref="W254:AA254"/>
    <mergeCell ref="W258:AA258"/>
    <mergeCell ref="B255:C255"/>
    <mergeCell ref="D255:V255"/>
    <mergeCell ref="W255:AA255"/>
    <mergeCell ref="B256:C256"/>
    <mergeCell ref="D256:V256"/>
    <mergeCell ref="W256:AA256"/>
    <mergeCell ref="B245:C245"/>
    <mergeCell ref="D245:V245"/>
    <mergeCell ref="W245:AA245"/>
    <mergeCell ref="B246:C246"/>
    <mergeCell ref="D246:V246"/>
    <mergeCell ref="W246:AA246"/>
    <mergeCell ref="B247:C247"/>
    <mergeCell ref="D247:V247"/>
    <mergeCell ref="W247:AA247"/>
    <mergeCell ref="B248:C248"/>
    <mergeCell ref="D248:V248"/>
    <mergeCell ref="W248:AA248"/>
    <mergeCell ref="B249:C249"/>
    <mergeCell ref="D249:V249"/>
    <mergeCell ref="W249:AA249"/>
    <mergeCell ref="B250:C250"/>
    <mergeCell ref="D250:V250"/>
    <mergeCell ref="W250:AA250"/>
    <mergeCell ref="B239:C239"/>
    <mergeCell ref="D239:V239"/>
    <mergeCell ref="W239:AA239"/>
    <mergeCell ref="B240:C240"/>
    <mergeCell ref="D240:V240"/>
    <mergeCell ref="W240:AA240"/>
    <mergeCell ref="B241:C241"/>
    <mergeCell ref="D241:V241"/>
    <mergeCell ref="W241:AA241"/>
    <mergeCell ref="B242:C242"/>
    <mergeCell ref="D242:V242"/>
    <mergeCell ref="W242:AA242"/>
    <mergeCell ref="B243:C243"/>
    <mergeCell ref="D243:V243"/>
    <mergeCell ref="W243:AA243"/>
    <mergeCell ref="B244:C244"/>
    <mergeCell ref="D244:V244"/>
    <mergeCell ref="W244:AA244"/>
    <mergeCell ref="B233:C233"/>
    <mergeCell ref="D233:V233"/>
    <mergeCell ref="W233:AA233"/>
    <mergeCell ref="B234:C234"/>
    <mergeCell ref="D234:V234"/>
    <mergeCell ref="W234:AA234"/>
    <mergeCell ref="B235:C235"/>
    <mergeCell ref="D235:V235"/>
    <mergeCell ref="W235:AA235"/>
    <mergeCell ref="B236:C236"/>
    <mergeCell ref="D236:V236"/>
    <mergeCell ref="W236:AA236"/>
    <mergeCell ref="B237:C237"/>
    <mergeCell ref="D237:V237"/>
    <mergeCell ref="W237:AA237"/>
    <mergeCell ref="B238:C238"/>
    <mergeCell ref="D238:V238"/>
    <mergeCell ref="W238:AA238"/>
    <mergeCell ref="B227:C227"/>
    <mergeCell ref="D227:V227"/>
    <mergeCell ref="W227:AA227"/>
    <mergeCell ref="B228:C228"/>
    <mergeCell ref="D228:V228"/>
    <mergeCell ref="W228:AA228"/>
    <mergeCell ref="B229:C229"/>
    <mergeCell ref="D229:V229"/>
    <mergeCell ref="W229:AA229"/>
    <mergeCell ref="B230:C230"/>
    <mergeCell ref="D230:V230"/>
    <mergeCell ref="W230:AA230"/>
    <mergeCell ref="B231:C231"/>
    <mergeCell ref="D231:V231"/>
    <mergeCell ref="W231:AA231"/>
    <mergeCell ref="B232:C232"/>
    <mergeCell ref="D232:V232"/>
    <mergeCell ref="W232:AA232"/>
    <mergeCell ref="B221:C221"/>
    <mergeCell ref="D221:V221"/>
    <mergeCell ref="W221:AA221"/>
    <mergeCell ref="B222:C222"/>
    <mergeCell ref="D222:V222"/>
    <mergeCell ref="W222:AA222"/>
    <mergeCell ref="B223:C223"/>
    <mergeCell ref="D223:V223"/>
    <mergeCell ref="W223:AA223"/>
    <mergeCell ref="B224:C224"/>
    <mergeCell ref="D224:V224"/>
    <mergeCell ref="W224:AA224"/>
    <mergeCell ref="B225:C225"/>
    <mergeCell ref="D225:V225"/>
    <mergeCell ref="W225:AA225"/>
    <mergeCell ref="B226:C226"/>
    <mergeCell ref="D226:V226"/>
    <mergeCell ref="W226:AA226"/>
    <mergeCell ref="B215:C215"/>
    <mergeCell ref="D215:V215"/>
    <mergeCell ref="W215:AA215"/>
    <mergeCell ref="B216:C216"/>
    <mergeCell ref="D216:V216"/>
    <mergeCell ref="W216:AA216"/>
    <mergeCell ref="B217:C217"/>
    <mergeCell ref="D217:V217"/>
    <mergeCell ref="W217:AA217"/>
    <mergeCell ref="B218:C218"/>
    <mergeCell ref="D218:V218"/>
    <mergeCell ref="W218:AA218"/>
    <mergeCell ref="B219:C219"/>
    <mergeCell ref="D219:V219"/>
    <mergeCell ref="W219:AA219"/>
    <mergeCell ref="B220:C220"/>
    <mergeCell ref="D220:V220"/>
    <mergeCell ref="W220:AA220"/>
    <mergeCell ref="B209:C209"/>
    <mergeCell ref="D209:V209"/>
    <mergeCell ref="W209:AA209"/>
    <mergeCell ref="B210:C210"/>
    <mergeCell ref="D210:V210"/>
    <mergeCell ref="W210:AA210"/>
    <mergeCell ref="B211:C211"/>
    <mergeCell ref="D211:V211"/>
    <mergeCell ref="W211:AA211"/>
    <mergeCell ref="B212:C212"/>
    <mergeCell ref="D212:V212"/>
    <mergeCell ref="W212:AA212"/>
    <mergeCell ref="B213:C213"/>
    <mergeCell ref="D213:V213"/>
    <mergeCell ref="W213:AA213"/>
    <mergeCell ref="B214:C214"/>
    <mergeCell ref="D214:V214"/>
    <mergeCell ref="W214:AA214"/>
    <mergeCell ref="B203:C203"/>
    <mergeCell ref="D203:V203"/>
    <mergeCell ref="W203:AA203"/>
    <mergeCell ref="B204:C204"/>
    <mergeCell ref="D204:V204"/>
    <mergeCell ref="W204:AA204"/>
    <mergeCell ref="B205:C205"/>
    <mergeCell ref="D205:V205"/>
    <mergeCell ref="W205:AA205"/>
    <mergeCell ref="B206:C206"/>
    <mergeCell ref="D206:V206"/>
    <mergeCell ref="W206:AA206"/>
    <mergeCell ref="B207:C207"/>
    <mergeCell ref="D207:V207"/>
    <mergeCell ref="W207:AA207"/>
    <mergeCell ref="B208:C208"/>
    <mergeCell ref="D208:V208"/>
    <mergeCell ref="W208:AA208"/>
    <mergeCell ref="B197:C197"/>
    <mergeCell ref="D197:V197"/>
    <mergeCell ref="W197:AA197"/>
    <mergeCell ref="B198:C198"/>
    <mergeCell ref="D198:V198"/>
    <mergeCell ref="W198:AA198"/>
    <mergeCell ref="B199:C199"/>
    <mergeCell ref="D199:V199"/>
    <mergeCell ref="W199:AA199"/>
    <mergeCell ref="B200:C200"/>
    <mergeCell ref="D200:V200"/>
    <mergeCell ref="W200:AA200"/>
    <mergeCell ref="B201:C201"/>
    <mergeCell ref="D201:V201"/>
    <mergeCell ref="W201:AA201"/>
    <mergeCell ref="B202:C202"/>
    <mergeCell ref="D202:V202"/>
    <mergeCell ref="W202:AA202"/>
    <mergeCell ref="B191:C191"/>
    <mergeCell ref="D191:V191"/>
    <mergeCell ref="W191:AA191"/>
    <mergeCell ref="B192:C192"/>
    <mergeCell ref="D192:V192"/>
    <mergeCell ref="W192:AA192"/>
    <mergeCell ref="B193:C193"/>
    <mergeCell ref="D193:V193"/>
    <mergeCell ref="W193:AA193"/>
    <mergeCell ref="B194:C194"/>
    <mergeCell ref="D194:V194"/>
    <mergeCell ref="W194:AA194"/>
    <mergeCell ref="B195:C195"/>
    <mergeCell ref="D195:V195"/>
    <mergeCell ref="W195:AA195"/>
    <mergeCell ref="B196:C196"/>
    <mergeCell ref="D196:V196"/>
    <mergeCell ref="W196:AA196"/>
    <mergeCell ref="B185:O185"/>
    <mergeCell ref="P185:Q185"/>
    <mergeCell ref="R185:U185"/>
    <mergeCell ref="V185:Z185"/>
    <mergeCell ref="AA185:AE185"/>
    <mergeCell ref="B184:O184"/>
    <mergeCell ref="P184:Q184"/>
    <mergeCell ref="R184:U184"/>
    <mergeCell ref="V184:Z184"/>
    <mergeCell ref="AA184:AE184"/>
    <mergeCell ref="B186:O186"/>
    <mergeCell ref="P186:Q186"/>
    <mergeCell ref="R186:U186"/>
    <mergeCell ref="V186:Z186"/>
    <mergeCell ref="AA186:AE186"/>
    <mergeCell ref="B187:O187"/>
    <mergeCell ref="P187:Q187"/>
    <mergeCell ref="R187:U187"/>
    <mergeCell ref="V187:Z187"/>
    <mergeCell ref="AA187:AE187"/>
    <mergeCell ref="AL184:AZ184"/>
    <mergeCell ref="AL183:AZ183"/>
    <mergeCell ref="B176:O176"/>
    <mergeCell ref="P176:Q176"/>
    <mergeCell ref="R176:U176"/>
    <mergeCell ref="V176:Z176"/>
    <mergeCell ref="AA176:AE176"/>
    <mergeCell ref="AF176:AJ176"/>
    <mergeCell ref="B178:O178"/>
    <mergeCell ref="P178:Q178"/>
    <mergeCell ref="R178:U178"/>
    <mergeCell ref="V178:Z178"/>
    <mergeCell ref="AA178:AE178"/>
    <mergeCell ref="AF178:AJ178"/>
    <mergeCell ref="AV178:AZ178"/>
    <mergeCell ref="B179:O179"/>
    <mergeCell ref="P179:Q179"/>
    <mergeCell ref="R179:U179"/>
    <mergeCell ref="V179:Z179"/>
    <mergeCell ref="AA179:AE179"/>
    <mergeCell ref="AF179:AJ179"/>
    <mergeCell ref="AK179:AO179"/>
    <mergeCell ref="AP179:AU179"/>
    <mergeCell ref="AV179:AZ179"/>
    <mergeCell ref="B177:O177"/>
    <mergeCell ref="P177:Q177"/>
    <mergeCell ref="R177:U177"/>
    <mergeCell ref="AV177:AZ177"/>
    <mergeCell ref="B180:AZ180"/>
    <mergeCell ref="B183:O183"/>
    <mergeCell ref="P183:Q183"/>
    <mergeCell ref="R183:U183"/>
    <mergeCell ref="AP177:AU177"/>
    <mergeCell ref="AK177:AO177"/>
    <mergeCell ref="V177:Z177"/>
    <mergeCell ref="AA177:AE177"/>
    <mergeCell ref="AF177:AJ177"/>
    <mergeCell ref="V175:Z175"/>
    <mergeCell ref="AA175:AE175"/>
    <mergeCell ref="AF175:AJ175"/>
    <mergeCell ref="AK175:AO175"/>
    <mergeCell ref="AP175:AU175"/>
    <mergeCell ref="AV175:AZ175"/>
    <mergeCell ref="AK178:AO178"/>
    <mergeCell ref="AP178:AU178"/>
    <mergeCell ref="B174:O174"/>
    <mergeCell ref="P174:Q174"/>
    <mergeCell ref="R174:U174"/>
    <mergeCell ref="B175:O175"/>
    <mergeCell ref="P175:Q175"/>
    <mergeCell ref="R175:U175"/>
    <mergeCell ref="V174:Z174"/>
    <mergeCell ref="AA174:AE174"/>
    <mergeCell ref="AF174:AJ174"/>
    <mergeCell ref="B170:O170"/>
    <mergeCell ref="P170:Q170"/>
    <mergeCell ref="R170:U170"/>
    <mergeCell ref="V170:Z170"/>
    <mergeCell ref="AA170:AE170"/>
    <mergeCell ref="AF170:AJ170"/>
    <mergeCell ref="AF171:AJ171"/>
    <mergeCell ref="AK171:AO171"/>
    <mergeCell ref="AP171:AU171"/>
    <mergeCell ref="AV171:AZ171"/>
    <mergeCell ref="AP169:AU169"/>
    <mergeCell ref="AV169:AZ169"/>
    <mergeCell ref="AK170:AO170"/>
    <mergeCell ref="AP170:AU170"/>
    <mergeCell ref="AK169:AO169"/>
    <mergeCell ref="B165:O165"/>
    <mergeCell ref="P165:Q165"/>
    <mergeCell ref="R165:U165"/>
    <mergeCell ref="V165:Z165"/>
    <mergeCell ref="AA165:AE165"/>
    <mergeCell ref="AF165:AJ165"/>
    <mergeCell ref="AV168:AZ168"/>
    <mergeCell ref="AF169:AJ169"/>
    <mergeCell ref="B164:O164"/>
    <mergeCell ref="P164:Q164"/>
    <mergeCell ref="R164:U164"/>
    <mergeCell ref="B166:O166"/>
    <mergeCell ref="P166:Q166"/>
    <mergeCell ref="R166:U166"/>
    <mergeCell ref="V166:Z166"/>
    <mergeCell ref="AA166:AE166"/>
    <mergeCell ref="AF166:AJ166"/>
    <mergeCell ref="B168:O168"/>
    <mergeCell ref="P168:Q168"/>
    <mergeCell ref="R168:U168"/>
    <mergeCell ref="V168:Z168"/>
    <mergeCell ref="AA168:AE168"/>
    <mergeCell ref="AF168:AJ168"/>
    <mergeCell ref="B150:O150"/>
    <mergeCell ref="B143:O143"/>
    <mergeCell ref="B145:O145"/>
    <mergeCell ref="P145:Q145"/>
    <mergeCell ref="B147:O147"/>
    <mergeCell ref="B144:O144"/>
    <mergeCell ref="P144:Q144"/>
    <mergeCell ref="R144:U144"/>
    <mergeCell ref="V144:Z144"/>
    <mergeCell ref="AA144:AE144"/>
    <mergeCell ref="AF144:AJ144"/>
    <mergeCell ref="V164:Z164"/>
    <mergeCell ref="AA164:AE164"/>
    <mergeCell ref="R145:U145"/>
    <mergeCell ref="V145:Z145"/>
    <mergeCell ref="AA145:AE145"/>
    <mergeCell ref="AF145:AJ145"/>
    <mergeCell ref="AK145:AO145"/>
    <mergeCell ref="AP145:AU145"/>
    <mergeCell ref="R151:U151"/>
    <mergeCell ref="AF164:AJ164"/>
    <mergeCell ref="P159:Q159"/>
    <mergeCell ref="R159:U159"/>
    <mergeCell ref="AA159:AE159"/>
    <mergeCell ref="AF159:AJ159"/>
    <mergeCell ref="B157:O157"/>
    <mergeCell ref="P157:Q157"/>
    <mergeCell ref="R157:U157"/>
    <mergeCell ref="AA158:AE158"/>
    <mergeCell ref="AF158:AJ158"/>
    <mergeCell ref="AK158:AO158"/>
    <mergeCell ref="AP142:AU142"/>
    <mergeCell ref="AV142:AZ142"/>
    <mergeCell ref="AK138:AP138"/>
    <mergeCell ref="B140:O140"/>
    <mergeCell ref="P140:Q140"/>
    <mergeCell ref="R140:U140"/>
    <mergeCell ref="V140:Z140"/>
    <mergeCell ref="AA140:AE140"/>
    <mergeCell ref="AF140:AJ140"/>
    <mergeCell ref="AK140:AO140"/>
    <mergeCell ref="B142:O142"/>
    <mergeCell ref="P142:Q142"/>
    <mergeCell ref="R142:U142"/>
    <mergeCell ref="V142:Z142"/>
    <mergeCell ref="AA142:AE142"/>
    <mergeCell ref="AF142:AJ142"/>
    <mergeCell ref="P143:Q143"/>
    <mergeCell ref="R143:U143"/>
    <mergeCell ref="V143:Z143"/>
    <mergeCell ref="AA143:AE143"/>
    <mergeCell ref="AF143:AJ143"/>
    <mergeCell ref="B134:K134"/>
    <mergeCell ref="L134:U134"/>
    <mergeCell ref="V134:AE134"/>
    <mergeCell ref="AF134:AO134"/>
    <mergeCell ref="AF137:AJ137"/>
    <mergeCell ref="AK137:AP137"/>
    <mergeCell ref="B136:O136"/>
    <mergeCell ref="P136:Q136"/>
    <mergeCell ref="R136:U136"/>
    <mergeCell ref="V136:Z136"/>
    <mergeCell ref="AA136:AE136"/>
    <mergeCell ref="AF136:AJ136"/>
    <mergeCell ref="AK136:AP136"/>
    <mergeCell ref="R141:U141"/>
    <mergeCell ref="V141:Z141"/>
    <mergeCell ref="AA141:AE141"/>
    <mergeCell ref="B141:O141"/>
    <mergeCell ref="B137:O137"/>
    <mergeCell ref="P137:Q137"/>
    <mergeCell ref="R137:U137"/>
    <mergeCell ref="V137:Z137"/>
    <mergeCell ref="AA137:AE137"/>
    <mergeCell ref="AP140:AU140"/>
    <mergeCell ref="B138:O138"/>
    <mergeCell ref="P138:Q138"/>
    <mergeCell ref="R138:U138"/>
    <mergeCell ref="V138:Z138"/>
    <mergeCell ref="AA138:AE138"/>
    <mergeCell ref="AF138:AJ138"/>
    <mergeCell ref="K127:P127"/>
    <mergeCell ref="Q127:V127"/>
    <mergeCell ref="W127:Z127"/>
    <mergeCell ref="AA127:AE127"/>
    <mergeCell ref="AO128:AS128"/>
    <mergeCell ref="AT128:AZ128"/>
    <mergeCell ref="B132:U132"/>
    <mergeCell ref="V132:AO132"/>
    <mergeCell ref="AF127:AH127"/>
    <mergeCell ref="AI127:AK127"/>
    <mergeCell ref="AL127:AN127"/>
    <mergeCell ref="AO127:AS127"/>
    <mergeCell ref="AT127:AZ127"/>
    <mergeCell ref="B128:Z128"/>
    <mergeCell ref="B133:K133"/>
    <mergeCell ref="L133:U133"/>
    <mergeCell ref="V133:AE133"/>
    <mergeCell ref="AF133:AO133"/>
    <mergeCell ref="B125:F125"/>
    <mergeCell ref="G125:J125"/>
    <mergeCell ref="K125:P125"/>
    <mergeCell ref="Q125:V125"/>
    <mergeCell ref="W125:Z125"/>
    <mergeCell ref="AA125:AE125"/>
    <mergeCell ref="AF125:AH125"/>
    <mergeCell ref="AI125:AK125"/>
    <mergeCell ref="AL125:AN125"/>
    <mergeCell ref="AO125:AS125"/>
    <mergeCell ref="AT125:AZ125"/>
    <mergeCell ref="B126:F126"/>
    <mergeCell ref="G126:J126"/>
    <mergeCell ref="K126:P126"/>
    <mergeCell ref="Q126:V126"/>
    <mergeCell ref="W126:Z126"/>
    <mergeCell ref="I130:W130"/>
    <mergeCell ref="AB130:AS130"/>
    <mergeCell ref="Y130:AA130"/>
    <mergeCell ref="AU130:AW130"/>
    <mergeCell ref="AA126:AE126"/>
    <mergeCell ref="AF126:AH126"/>
    <mergeCell ref="AI126:AK126"/>
    <mergeCell ref="AL126:AN126"/>
    <mergeCell ref="AO126:AS126"/>
    <mergeCell ref="AT126:AZ126"/>
    <mergeCell ref="AA128:AE128"/>
    <mergeCell ref="AF128:AH128"/>
    <mergeCell ref="AI128:AK128"/>
    <mergeCell ref="AL128:AN128"/>
    <mergeCell ref="B127:F127"/>
    <mergeCell ref="G127:J127"/>
    <mergeCell ref="B123:F123"/>
    <mergeCell ref="G123:J123"/>
    <mergeCell ref="K123:P123"/>
    <mergeCell ref="Q123:V123"/>
    <mergeCell ref="W123:Z123"/>
    <mergeCell ref="AA123:AE123"/>
    <mergeCell ref="AF123:AH123"/>
    <mergeCell ref="AI123:AK123"/>
    <mergeCell ref="AL123:AN123"/>
    <mergeCell ref="AO123:AS123"/>
    <mergeCell ref="AT123:AZ123"/>
    <mergeCell ref="B124:F124"/>
    <mergeCell ref="G124:J124"/>
    <mergeCell ref="K124:P124"/>
    <mergeCell ref="Q124:V124"/>
    <mergeCell ref="W124:Z124"/>
    <mergeCell ref="AA124:AE124"/>
    <mergeCell ref="AF124:AH124"/>
    <mergeCell ref="AI124:AK124"/>
    <mergeCell ref="AL124:AN124"/>
    <mergeCell ref="AO124:AS124"/>
    <mergeCell ref="AT124:AZ124"/>
    <mergeCell ref="B121:F121"/>
    <mergeCell ref="G121:J121"/>
    <mergeCell ref="K121:P121"/>
    <mergeCell ref="Q121:V121"/>
    <mergeCell ref="W121:Z121"/>
    <mergeCell ref="AA121:AE121"/>
    <mergeCell ref="AF121:AH121"/>
    <mergeCell ref="AI121:AK121"/>
    <mergeCell ref="AL121:AN121"/>
    <mergeCell ref="AO121:AS121"/>
    <mergeCell ref="AT121:AZ121"/>
    <mergeCell ref="B122:F122"/>
    <mergeCell ref="G122:J122"/>
    <mergeCell ref="K122:P122"/>
    <mergeCell ref="Q122:V122"/>
    <mergeCell ref="W122:Z122"/>
    <mergeCell ref="AA122:AE122"/>
    <mergeCell ref="AF122:AH122"/>
    <mergeCell ref="AI122:AK122"/>
    <mergeCell ref="AL122:AN122"/>
    <mergeCell ref="AO122:AS122"/>
    <mergeCell ref="AT122:AZ122"/>
    <mergeCell ref="Q119:V119"/>
    <mergeCell ref="W119:Z119"/>
    <mergeCell ref="AA119:AE119"/>
    <mergeCell ref="AF119:AH119"/>
    <mergeCell ref="AI119:AK119"/>
    <mergeCell ref="AL119:AN119"/>
    <mergeCell ref="AO119:AS119"/>
    <mergeCell ref="AT119:AZ119"/>
    <mergeCell ref="B120:F120"/>
    <mergeCell ref="G120:J120"/>
    <mergeCell ref="K120:P120"/>
    <mergeCell ref="Q120:V120"/>
    <mergeCell ref="W120:Z120"/>
    <mergeCell ref="AA120:AE120"/>
    <mergeCell ref="AF120:AH120"/>
    <mergeCell ref="AI120:AK120"/>
    <mergeCell ref="AL120:AN120"/>
    <mergeCell ref="AO120:AS120"/>
    <mergeCell ref="AT120:AZ120"/>
    <mergeCell ref="T41:U41"/>
    <mergeCell ref="T42:U42"/>
    <mergeCell ref="AF43:AI43"/>
    <mergeCell ref="O48:S48"/>
    <mergeCell ref="O43:S43"/>
    <mergeCell ref="L43:N43"/>
    <mergeCell ref="AX29:AZ30"/>
    <mergeCell ref="AT39:AV39"/>
    <mergeCell ref="Z40:AE43"/>
    <mergeCell ref="AF40:AI40"/>
    <mergeCell ref="AJ40:AL40"/>
    <mergeCell ref="AM40:AQ40"/>
    <mergeCell ref="AR40:AS40"/>
    <mergeCell ref="AT40:AV40"/>
    <mergeCell ref="AF41:AI41"/>
    <mergeCell ref="AJ41:AL41"/>
    <mergeCell ref="AM41:AQ41"/>
    <mergeCell ref="Z39:AE39"/>
    <mergeCell ref="O39:S39"/>
    <mergeCell ref="AF39:AI39"/>
    <mergeCell ref="AJ39:AL39"/>
    <mergeCell ref="L44:N44"/>
    <mergeCell ref="T47:U47"/>
    <mergeCell ref="T48:U48"/>
    <mergeCell ref="AQ32:AS32"/>
    <mergeCell ref="AT41:AV41"/>
    <mergeCell ref="L40:N40"/>
    <mergeCell ref="AR42:AS42"/>
    <mergeCell ref="AT42:AV42"/>
    <mergeCell ref="AJ42:AL42"/>
    <mergeCell ref="AM42:AQ42"/>
    <mergeCell ref="A1:AZ1"/>
    <mergeCell ref="N7:R7"/>
    <mergeCell ref="B7:M7"/>
    <mergeCell ref="B8:M8"/>
    <mergeCell ref="B9:M9"/>
    <mergeCell ref="Q14:S14"/>
    <mergeCell ref="AQ14:AS14"/>
    <mergeCell ref="Y14:AP14"/>
    <mergeCell ref="L57:N57"/>
    <mergeCell ref="O57:S57"/>
    <mergeCell ref="T57:U57"/>
    <mergeCell ref="T39:U39"/>
    <mergeCell ref="Y32:AP32"/>
    <mergeCell ref="AM39:AQ39"/>
    <mergeCell ref="L50:N50"/>
    <mergeCell ref="O50:S50"/>
    <mergeCell ref="T46:U46"/>
    <mergeCell ref="T50:U50"/>
    <mergeCell ref="AR39:AS39"/>
    <mergeCell ref="AR41:AS41"/>
    <mergeCell ref="T25:V25"/>
    <mergeCell ref="T26:V26"/>
    <mergeCell ref="H43:K43"/>
    <mergeCell ref="V39:X39"/>
    <mergeCell ref="Q29:S29"/>
    <mergeCell ref="AQ24:AS24"/>
    <mergeCell ref="H39:K39"/>
    <mergeCell ref="T23:V23"/>
    <mergeCell ref="T24:V24"/>
    <mergeCell ref="Y24:AP24"/>
    <mergeCell ref="B27:P27"/>
    <mergeCell ref="T14:V14"/>
    <mergeCell ref="T58:U58"/>
    <mergeCell ref="AQ25:AS25"/>
    <mergeCell ref="AQ26:AS26"/>
    <mergeCell ref="H58:K58"/>
    <mergeCell ref="L58:N58"/>
    <mergeCell ref="O58:S58"/>
    <mergeCell ref="T44:U44"/>
    <mergeCell ref="L47:N47"/>
    <mergeCell ref="O47:S47"/>
    <mergeCell ref="L46:N46"/>
    <mergeCell ref="B56:G59"/>
    <mergeCell ref="H56:K56"/>
    <mergeCell ref="B51:K51"/>
    <mergeCell ref="B47:G50"/>
    <mergeCell ref="AF59:AI59"/>
    <mergeCell ref="AM60:AQ60"/>
    <mergeCell ref="AR60:AS60"/>
    <mergeCell ref="AR43:AS43"/>
    <mergeCell ref="B55:G55"/>
    <mergeCell ref="H55:K55"/>
    <mergeCell ref="L55:N55"/>
    <mergeCell ref="O55:S55"/>
    <mergeCell ref="T55:U55"/>
    <mergeCell ref="V55:X55"/>
    <mergeCell ref="AJ57:AL57"/>
    <mergeCell ref="AJ58:AL58"/>
    <mergeCell ref="AM58:AQ58"/>
    <mergeCell ref="AR58:AS58"/>
    <mergeCell ref="L59:N59"/>
    <mergeCell ref="AF42:AI42"/>
    <mergeCell ref="H40:K40"/>
    <mergeCell ref="T40:U40"/>
    <mergeCell ref="K118:P118"/>
    <mergeCell ref="Q118:V118"/>
    <mergeCell ref="W118:Z118"/>
    <mergeCell ref="B16:P16"/>
    <mergeCell ref="Q16:S16"/>
    <mergeCell ref="T16:V16"/>
    <mergeCell ref="Y16:AP16"/>
    <mergeCell ref="AQ16:AS16"/>
    <mergeCell ref="Q15:S15"/>
    <mergeCell ref="T15:V15"/>
    <mergeCell ref="B15:P15"/>
    <mergeCell ref="B89:I89"/>
    <mergeCell ref="J89:M89"/>
    <mergeCell ref="N89:R89"/>
    <mergeCell ref="Q31:S31"/>
    <mergeCell ref="Q32:S32"/>
    <mergeCell ref="B32:P32"/>
    <mergeCell ref="B31:P31"/>
    <mergeCell ref="H47:K47"/>
    <mergeCell ref="O44:S44"/>
    <mergeCell ref="J97:M97"/>
    <mergeCell ref="S81:V81"/>
    <mergeCell ref="B82:R82"/>
    <mergeCell ref="B88:I88"/>
    <mergeCell ref="J88:M88"/>
    <mergeCell ref="Y17:AP17"/>
    <mergeCell ref="J87:M87"/>
    <mergeCell ref="AB90:AI90"/>
    <mergeCell ref="S82:V82"/>
    <mergeCell ref="B81:I81"/>
    <mergeCell ref="B28:P28"/>
    <mergeCell ref="AJ60:AL60"/>
    <mergeCell ref="N97:R97"/>
    <mergeCell ref="G117:J117"/>
    <mergeCell ref="S97:V97"/>
    <mergeCell ref="S96:V96"/>
    <mergeCell ref="A278:AZ278"/>
    <mergeCell ref="A279:AZ279"/>
    <mergeCell ref="A280:AZ280"/>
    <mergeCell ref="AB92:AR92"/>
    <mergeCell ref="B117:F117"/>
    <mergeCell ref="K117:P117"/>
    <mergeCell ref="Q117:V117"/>
    <mergeCell ref="W117:Z117"/>
    <mergeCell ref="AA117:AE117"/>
    <mergeCell ref="B98:I98"/>
    <mergeCell ref="AT118:AZ118"/>
    <mergeCell ref="AF117:AH117"/>
    <mergeCell ref="AI117:AK117"/>
    <mergeCell ref="AL117:AN117"/>
    <mergeCell ref="AO117:AS117"/>
    <mergeCell ref="AT117:AZ117"/>
    <mergeCell ref="AA118:AE118"/>
    <mergeCell ref="AF118:AH118"/>
    <mergeCell ref="AI118:AK118"/>
    <mergeCell ref="AL118:AN118"/>
    <mergeCell ref="AO118:AS118"/>
    <mergeCell ref="B119:F119"/>
    <mergeCell ref="G119:J119"/>
    <mergeCell ref="K119:P119"/>
    <mergeCell ref="AF187:AK187"/>
    <mergeCell ref="AL187:AZ187"/>
    <mergeCell ref="B118:F118"/>
    <mergeCell ref="G118:J118"/>
    <mergeCell ref="B23:P23"/>
    <mergeCell ref="B24:P24"/>
    <mergeCell ref="B25:P25"/>
    <mergeCell ref="B26:P26"/>
    <mergeCell ref="Q23:S23"/>
    <mergeCell ref="Q24:S24"/>
    <mergeCell ref="Q25:S25"/>
    <mergeCell ref="Q26:S26"/>
    <mergeCell ref="AQ17:AS17"/>
    <mergeCell ref="Q18:S18"/>
    <mergeCell ref="T18:V18"/>
    <mergeCell ref="Y18:AP18"/>
    <mergeCell ref="AQ18:AS18"/>
    <mergeCell ref="B39:G39"/>
    <mergeCell ref="Q19:S19"/>
    <mergeCell ref="T19:V19"/>
    <mergeCell ref="Y19:AP19"/>
    <mergeCell ref="AQ19:AS19"/>
    <mergeCell ref="L39:N39"/>
    <mergeCell ref="B19:P19"/>
    <mergeCell ref="B17:P17"/>
    <mergeCell ref="B29:P29"/>
    <mergeCell ref="B30:P30"/>
    <mergeCell ref="Y25:AP25"/>
    <mergeCell ref="Y26:AP26"/>
    <mergeCell ref="Q28:S28"/>
    <mergeCell ref="Q30:S30"/>
    <mergeCell ref="Q27:S27"/>
  </mergeCells>
  <printOptions horizontalCentered="1"/>
  <pageMargins left="0.39370078740157483" right="0.39370078740157483" top="0.39370078740157483" bottom="0.39370078740157483" header="0.31496062992125984" footer="0.31496062992125984"/>
  <pageSetup paperSize="9" scale="51" fitToWidth="8" fitToHeight="8" orientation="portrait" r:id="rId1"/>
  <headerFooter>
    <oddFooter>&amp;C&amp;P de &amp;N</oddFooter>
  </headerFooter>
  <rowBreaks count="4" manualBreakCount="4">
    <brk id="111" max="51" man="1"/>
    <brk id="188" max="51" man="1"/>
    <brk id="227" max="51" man="1"/>
    <brk id="248" max="51" man="1"/>
  </rowBreaks>
  <drawing r:id="rId2"/>
  <legacyDrawing r:id="rId3"/>
  <controls>
    <mc:AlternateContent xmlns:mc="http://schemas.openxmlformats.org/markup-compatibility/2006">
      <mc:Choice Requires="x14">
        <control shapeId="22529" r:id="rId4" name="btnRFICHA1">
          <controlPr defaultSize="0" autoLine="0" r:id="rId5">
            <anchor moveWithCells="1" sizeWithCells="1">
              <from>
                <xdr:col>0</xdr:col>
                <xdr:colOff>28575</xdr:colOff>
                <xdr:row>1</xdr:row>
                <xdr:rowOff>247650</xdr:rowOff>
              </from>
              <to>
                <xdr:col>7</xdr:col>
                <xdr:colOff>123825</xdr:colOff>
                <xdr:row>2</xdr:row>
                <xdr:rowOff>276225</xdr:rowOff>
              </to>
            </anchor>
          </controlPr>
        </control>
      </mc:Choice>
      <mc:Fallback>
        <control shapeId="22529" r:id="rId4" name="btnRFICHA1"/>
      </mc:Fallback>
    </mc:AlternateContent>
    <mc:AlternateContent xmlns:mc="http://schemas.openxmlformats.org/markup-compatibility/2006">
      <mc:Choice Requires="x14">
        <control shapeId="22573" r:id="rId6" name="CommandButton1">
          <controlPr defaultSize="0" autoLine="0" r:id="rId7">
            <anchor moveWithCells="1" sizeWithCells="1">
              <from>
                <xdr:col>0</xdr:col>
                <xdr:colOff>28575</xdr:colOff>
                <xdr:row>278</xdr:row>
                <xdr:rowOff>66675</xdr:rowOff>
              </from>
              <to>
                <xdr:col>7</xdr:col>
                <xdr:colOff>123825</xdr:colOff>
                <xdr:row>280</xdr:row>
                <xdr:rowOff>0</xdr:rowOff>
              </to>
            </anchor>
          </controlPr>
        </control>
      </mc:Choice>
      <mc:Fallback>
        <control shapeId="22573" r:id="rId6" name="CommandButto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BASE!$D$6:$D$10</xm:f>
          </x14:formula1>
          <xm:sqref>G118:J127</xm:sqref>
        </x14:dataValidation>
        <x14:dataValidation type="list" allowBlank="1" showInputMessage="1" showErrorMessage="1" xr:uid="{00000000-0002-0000-0300-000001000000}">
          <x14:formula1>
            <xm:f>BASE!$C$5:$C$7</xm:f>
          </x14:formula1>
          <xm:sqref>AF137:AJ138 AK142:AO149 AK151:AO160 AK165:AO166 AK169:AO179 AA184:AE187</xm:sqref>
        </x14:dataValidation>
        <x14:dataValidation type="list" allowBlank="1" showInputMessage="1" showErrorMessage="1" xr:uid="{00000000-0002-0000-0300-000002000000}">
          <x14:formula1>
            <xm:f>BASE!$E$6:$E$9</xm:f>
          </x14:formula1>
          <xm:sqref>AK137:AP138 AF184:AK187</xm:sqref>
        </x14:dataValidation>
        <x14:dataValidation type="list" allowBlank="1" showInputMessage="1" showErrorMessage="1" xr:uid="{00000000-0002-0000-0300-000003000000}">
          <x14:formula1>
            <xm:f>BASE!$E$6:$E$10</xm:f>
          </x14:formula1>
          <xm:sqref>AP142:AU149 AP151:AU160 AP165:AU166 AP169:AU179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0"/>
  <dimension ref="A1:AW545"/>
  <sheetViews>
    <sheetView zoomScale="55" zoomScaleNormal="55" workbookViewId="0"/>
  </sheetViews>
  <sheetFormatPr baseColWidth="10" defaultRowHeight="15"/>
  <cols>
    <col min="1" max="1" width="6.5703125" customWidth="1"/>
    <col min="2" max="2" width="12.7109375" customWidth="1"/>
    <col min="3" max="3" width="13" style="132" customWidth="1"/>
    <col min="4" max="4" width="17.5703125" customWidth="1"/>
    <col min="5" max="5" width="11" customWidth="1"/>
    <col min="6" max="6" width="9.140625" customWidth="1"/>
    <col min="7" max="7" width="9.5703125" customWidth="1"/>
    <col min="8" max="8" width="10.140625" customWidth="1"/>
    <col min="9" max="9" width="14.28515625" customWidth="1"/>
    <col min="10" max="10" width="15.140625" customWidth="1"/>
    <col min="11" max="11" width="13.42578125" customWidth="1"/>
    <col min="12" max="12" width="13.7109375" customWidth="1"/>
    <col min="13" max="13" width="12.7109375" customWidth="1"/>
    <col min="14" max="17" width="9.7109375" customWidth="1"/>
    <col min="18" max="18" width="8" customWidth="1"/>
    <col min="22" max="22" width="8.7109375" customWidth="1"/>
    <col min="23" max="23" width="5.85546875" customWidth="1"/>
    <col min="24" max="24" width="15.42578125" style="207" customWidth="1"/>
    <col min="25" max="26" width="12" customWidth="1"/>
    <col min="27" max="27" width="11.85546875" customWidth="1"/>
    <col min="29" max="29" width="11.85546875" customWidth="1"/>
    <col min="30" max="30" width="35.28515625" customWidth="1"/>
    <col min="31" max="31" width="36.5703125" customWidth="1"/>
    <col min="32" max="32" width="18.140625" customWidth="1"/>
    <col min="33" max="33" width="19.85546875" customWidth="1"/>
    <col min="34" max="34" width="20.85546875" customWidth="1"/>
    <col min="35" max="35" width="12.28515625" customWidth="1"/>
  </cols>
  <sheetData>
    <row r="1" spans="1:48">
      <c r="A1" s="207"/>
      <c r="B1" s="207"/>
      <c r="C1" s="207"/>
      <c r="D1" s="207"/>
      <c r="E1" s="207"/>
      <c r="F1" s="207"/>
      <c r="G1" s="207"/>
      <c r="H1" s="207"/>
      <c r="I1" s="207"/>
      <c r="J1" s="207"/>
      <c r="K1" s="207"/>
      <c r="L1" s="207"/>
      <c r="M1" s="207"/>
      <c r="N1" s="207"/>
      <c r="O1" s="207"/>
      <c r="P1" s="207"/>
      <c r="Q1" s="207"/>
      <c r="R1" s="207"/>
      <c r="S1" s="207"/>
      <c r="T1" s="207"/>
      <c r="U1" s="207"/>
      <c r="V1" s="207"/>
      <c r="Y1" s="207"/>
      <c r="Z1" s="207"/>
      <c r="AA1" s="207"/>
      <c r="AB1" s="207"/>
      <c r="AC1" s="207"/>
      <c r="AD1" s="207"/>
      <c r="AE1" s="207"/>
      <c r="AF1" s="207"/>
      <c r="AG1" s="207"/>
      <c r="AH1" s="207"/>
      <c r="AI1" s="207"/>
      <c r="AJ1" s="207"/>
      <c r="AK1" s="207"/>
      <c r="AL1" s="207"/>
      <c r="AM1" s="207"/>
      <c r="AN1" s="207"/>
      <c r="AO1" s="207"/>
      <c r="AT1" s="207"/>
    </row>
    <row r="2" spans="1:48" ht="32.25" customHeight="1">
      <c r="A2" s="1702" t="s">
        <v>2482</v>
      </c>
      <c r="B2" s="1702"/>
      <c r="C2" s="1702"/>
      <c r="D2" s="1702"/>
      <c r="E2" s="1702"/>
      <c r="F2" s="1702"/>
      <c r="G2" s="1702"/>
      <c r="H2" s="1702"/>
      <c r="I2" s="1702"/>
      <c r="J2" s="1702"/>
      <c r="K2" s="1702"/>
      <c r="L2" s="1702"/>
      <c r="M2" s="1702"/>
      <c r="N2" s="1702"/>
      <c r="O2" s="1702"/>
      <c r="P2" s="1702"/>
      <c r="Q2" s="1702"/>
      <c r="R2" s="1702"/>
      <c r="S2" s="1702"/>
      <c r="T2" s="1702"/>
      <c r="U2" s="1702"/>
      <c r="V2" s="1702"/>
      <c r="W2" s="1702"/>
      <c r="X2" s="1702"/>
      <c r="Y2" s="1702"/>
      <c r="Z2" s="1702"/>
      <c r="AA2" s="1702"/>
      <c r="AB2" s="207"/>
      <c r="AC2" s="207"/>
      <c r="AD2" s="207"/>
      <c r="AE2" s="207"/>
      <c r="AF2" s="207"/>
      <c r="AG2" s="207"/>
      <c r="AH2" s="207"/>
      <c r="AI2" s="207"/>
      <c r="AJ2" s="207"/>
      <c r="AK2" s="207"/>
      <c r="AL2" s="207"/>
      <c r="AM2" s="207"/>
      <c r="AN2" s="207"/>
      <c r="AO2" s="207"/>
      <c r="AT2" s="207"/>
    </row>
    <row r="3" spans="1:48" ht="16.5" customHeight="1">
      <c r="A3" s="278"/>
      <c r="B3" s="278"/>
      <c r="C3" s="278"/>
      <c r="D3" s="278"/>
      <c r="E3" s="278"/>
      <c r="F3" s="278"/>
      <c r="G3" s="278"/>
      <c r="H3" s="278"/>
      <c r="I3" s="278"/>
      <c r="J3" s="278"/>
      <c r="K3" s="278"/>
      <c r="L3" s="278"/>
      <c r="M3" s="278"/>
      <c r="N3" s="278"/>
      <c r="O3" s="278"/>
      <c r="P3" s="278"/>
      <c r="Q3" s="278"/>
      <c r="R3" s="278"/>
      <c r="S3" s="278"/>
      <c r="T3" s="278"/>
      <c r="U3" s="278"/>
      <c r="V3" s="278"/>
      <c r="W3" s="278"/>
      <c r="X3" s="278"/>
      <c r="Y3" s="278"/>
      <c r="Z3" s="278"/>
      <c r="AA3" s="278"/>
      <c r="AB3" s="207"/>
      <c r="AC3" s="207"/>
      <c r="AD3" s="207"/>
      <c r="AE3" s="207"/>
      <c r="AF3" s="207"/>
      <c r="AG3" s="207"/>
      <c r="AH3" s="207"/>
      <c r="AI3" s="207"/>
      <c r="AJ3" s="207"/>
      <c r="AK3" s="207"/>
      <c r="AL3" s="207"/>
      <c r="AM3" s="207"/>
      <c r="AN3" s="207"/>
      <c r="AO3" s="207"/>
      <c r="AT3" s="207"/>
    </row>
    <row r="4" spans="1:48" ht="15" customHeight="1">
      <c r="A4" s="278"/>
      <c r="B4" s="278"/>
      <c r="C4" s="278"/>
      <c r="D4" s="278"/>
      <c r="E4" s="278"/>
      <c r="F4" s="278"/>
      <c r="G4" s="278"/>
      <c r="H4" s="278"/>
      <c r="I4" s="278"/>
      <c r="J4" s="278"/>
      <c r="K4" s="278"/>
      <c r="L4" s="278"/>
      <c r="M4" s="278"/>
      <c r="N4" s="278"/>
      <c r="O4" s="278"/>
      <c r="P4" s="278"/>
      <c r="Q4" s="278"/>
      <c r="R4" s="278"/>
      <c r="S4" s="278"/>
      <c r="T4" s="278"/>
      <c r="U4" s="278"/>
      <c r="V4" s="278"/>
      <c r="W4" s="278"/>
      <c r="X4" s="278"/>
      <c r="Y4" s="278"/>
      <c r="Z4" s="278"/>
      <c r="AA4" s="278"/>
      <c r="AB4" s="207"/>
      <c r="AC4" s="207"/>
      <c r="AD4" s="207"/>
      <c r="AE4" s="207"/>
      <c r="AF4" s="207"/>
      <c r="AG4" s="207"/>
      <c r="AH4" s="207"/>
      <c r="AI4" s="207"/>
      <c r="AJ4" s="207"/>
      <c r="AK4" s="207"/>
      <c r="AL4" s="207"/>
      <c r="AM4" s="207"/>
      <c r="AN4" s="207"/>
      <c r="AO4" s="207"/>
      <c r="AT4" s="207"/>
    </row>
    <row r="5" spans="1:48">
      <c r="A5" s="207"/>
      <c r="B5" s="207"/>
      <c r="C5" s="207"/>
      <c r="D5" s="207"/>
      <c r="E5" s="207"/>
      <c r="F5" s="207"/>
      <c r="G5" s="207"/>
      <c r="H5" s="207"/>
      <c r="I5" s="207"/>
      <c r="J5" s="207"/>
      <c r="K5" s="207"/>
      <c r="L5" s="207"/>
      <c r="M5" s="207"/>
      <c r="N5" s="207"/>
      <c r="O5" s="207"/>
      <c r="P5" s="207"/>
      <c r="Q5" s="207"/>
      <c r="R5" s="207"/>
      <c r="S5" s="207"/>
      <c r="T5" s="207"/>
      <c r="U5" s="207"/>
      <c r="V5" s="207"/>
      <c r="Y5" s="207"/>
      <c r="Z5" s="207"/>
      <c r="AA5" s="207"/>
      <c r="AB5" s="207"/>
      <c r="AC5" s="207"/>
      <c r="AD5" s="207"/>
      <c r="AE5" s="207"/>
      <c r="AF5" s="207"/>
      <c r="AG5" s="207"/>
      <c r="AH5" s="207"/>
      <c r="AI5" s="207"/>
      <c r="AJ5" s="207"/>
      <c r="AK5" s="207"/>
      <c r="AL5" s="207"/>
      <c r="AM5" s="207"/>
      <c r="AN5" s="207"/>
      <c r="AO5" s="207"/>
      <c r="AT5" s="207"/>
    </row>
    <row r="6" spans="1:48">
      <c r="A6" s="213"/>
      <c r="B6" s="212"/>
      <c r="C6" s="212"/>
      <c r="D6" s="212"/>
      <c r="E6" s="212"/>
      <c r="F6" s="212"/>
      <c r="G6" s="212"/>
      <c r="H6" s="212"/>
      <c r="I6" s="212"/>
      <c r="J6" s="212"/>
      <c r="K6" s="212"/>
      <c r="L6" s="212"/>
      <c r="M6" s="212"/>
      <c r="N6" s="212"/>
      <c r="O6" s="212"/>
      <c r="P6" s="212"/>
      <c r="Q6" s="212"/>
      <c r="R6" s="212"/>
      <c r="S6" s="212"/>
      <c r="T6" s="212"/>
      <c r="U6" s="212"/>
      <c r="V6" s="212"/>
      <c r="W6" s="212"/>
      <c r="X6" s="212"/>
      <c r="Y6" s="212"/>
      <c r="Z6" s="212"/>
      <c r="AA6" s="212"/>
      <c r="AH6" s="207"/>
      <c r="AI6" s="207"/>
      <c r="AJ6" s="207"/>
      <c r="AK6" s="207"/>
      <c r="AL6" s="207"/>
      <c r="AM6" s="207"/>
      <c r="AN6" s="207"/>
      <c r="AO6" s="207"/>
      <c r="AT6" s="207"/>
    </row>
    <row r="7" spans="1:48">
      <c r="A7" s="213"/>
      <c r="B7" s="212"/>
      <c r="C7" s="212"/>
      <c r="D7" s="212"/>
      <c r="E7" s="212"/>
      <c r="F7" s="212"/>
      <c r="G7" s="212"/>
      <c r="H7" s="212"/>
      <c r="I7" s="212"/>
      <c r="J7" s="212"/>
      <c r="K7" s="212"/>
      <c r="L7" s="212"/>
      <c r="M7" s="212"/>
      <c r="N7" s="212"/>
      <c r="O7" s="212"/>
      <c r="P7" s="212"/>
      <c r="Q7" s="212"/>
      <c r="R7" s="212"/>
      <c r="S7" s="212"/>
      <c r="T7" s="212"/>
      <c r="U7" s="212"/>
      <c r="V7" s="212"/>
      <c r="W7" s="212"/>
      <c r="X7" s="212"/>
      <c r="Y7" s="212"/>
      <c r="Z7" s="212"/>
      <c r="AA7" s="212"/>
      <c r="AH7" s="207"/>
      <c r="AI7" s="207"/>
      <c r="AJ7" s="207"/>
      <c r="AK7" s="207"/>
      <c r="AL7" s="207"/>
      <c r="AM7" s="207"/>
      <c r="AN7" s="207"/>
      <c r="AO7" s="207"/>
      <c r="AT7" s="207"/>
    </row>
    <row r="8" spans="1:48">
      <c r="A8" s="213"/>
      <c r="B8" s="212"/>
      <c r="C8" s="212"/>
      <c r="D8" s="212"/>
      <c r="E8" s="212"/>
      <c r="F8" s="212"/>
      <c r="G8" s="212"/>
      <c r="H8" s="212"/>
      <c r="I8" s="212"/>
      <c r="J8" s="212"/>
      <c r="K8" s="212"/>
      <c r="L8" s="212"/>
      <c r="M8" s="212"/>
      <c r="N8" s="212"/>
      <c r="O8" s="212"/>
      <c r="P8" s="212"/>
      <c r="Q8" s="212"/>
      <c r="R8" s="212"/>
      <c r="S8" s="212"/>
      <c r="T8" s="212"/>
      <c r="U8" s="212"/>
      <c r="V8" s="212"/>
      <c r="W8" s="212"/>
      <c r="X8" s="212"/>
      <c r="Y8" s="212"/>
      <c r="Z8" s="212"/>
      <c r="AA8" s="212"/>
      <c r="AH8" s="207"/>
      <c r="AI8" s="207"/>
      <c r="AJ8" s="207"/>
      <c r="AK8" s="207"/>
      <c r="AL8" s="207"/>
      <c r="AM8" s="207"/>
      <c r="AN8" s="207"/>
      <c r="AO8" s="207"/>
      <c r="AT8" s="207"/>
      <c r="AV8" s="207"/>
    </row>
    <row r="9" spans="1:48">
      <c r="A9" s="213"/>
      <c r="B9" s="212"/>
      <c r="C9" s="212"/>
      <c r="D9" s="212"/>
      <c r="E9" s="212"/>
      <c r="F9" s="212"/>
      <c r="G9" s="212"/>
      <c r="H9" s="212"/>
      <c r="I9" s="212"/>
      <c r="J9" s="212"/>
      <c r="K9" s="212"/>
      <c r="L9" s="212"/>
      <c r="M9" s="212"/>
      <c r="N9" s="212"/>
      <c r="O9" s="212"/>
      <c r="P9" s="212"/>
      <c r="Q9" s="212"/>
      <c r="R9" s="212"/>
      <c r="S9" s="212"/>
      <c r="T9" s="212"/>
      <c r="U9" s="212"/>
      <c r="V9" s="212"/>
      <c r="W9" s="212"/>
      <c r="X9" s="212"/>
      <c r="Y9" s="212"/>
      <c r="Z9" s="212"/>
      <c r="AA9" s="212"/>
      <c r="AH9" s="207"/>
      <c r="AI9" s="207"/>
      <c r="AJ9" s="207"/>
      <c r="AK9" s="207"/>
      <c r="AL9" s="207"/>
      <c r="AM9" s="207"/>
      <c r="AN9" s="207"/>
      <c r="AO9" s="207"/>
      <c r="AT9" s="207"/>
      <c r="AV9" s="207"/>
    </row>
    <row r="10" spans="1:48">
      <c r="A10" s="213"/>
      <c r="B10" s="212"/>
      <c r="C10" s="212"/>
      <c r="D10" s="212"/>
      <c r="E10" s="212"/>
      <c r="F10" s="212"/>
      <c r="G10" s="212"/>
      <c r="H10" s="212"/>
      <c r="I10" s="212"/>
      <c r="J10" s="212"/>
      <c r="K10" s="212"/>
      <c r="L10" s="212"/>
      <c r="M10" s="212"/>
      <c r="N10" s="212"/>
      <c r="O10" s="212"/>
      <c r="P10" s="212"/>
      <c r="Q10" s="212"/>
      <c r="R10" s="212"/>
      <c r="S10" s="212"/>
      <c r="T10" s="212"/>
      <c r="U10" s="212"/>
      <c r="V10" s="212"/>
      <c r="W10" s="212"/>
      <c r="X10" s="212"/>
      <c r="Y10" s="212"/>
      <c r="Z10" s="212"/>
      <c r="AA10" s="212"/>
      <c r="AH10" s="207"/>
      <c r="AI10" s="207"/>
      <c r="AJ10" s="207"/>
      <c r="AK10" s="207"/>
      <c r="AL10" s="207"/>
      <c r="AM10" s="207"/>
      <c r="AN10" s="207"/>
      <c r="AO10" s="207"/>
      <c r="AT10" s="207"/>
      <c r="AV10" s="207"/>
    </row>
    <row r="11" spans="1:48">
      <c r="A11" s="213"/>
      <c r="B11" s="212"/>
      <c r="C11" s="212"/>
      <c r="D11" s="212"/>
      <c r="E11" s="212"/>
      <c r="F11" s="212"/>
      <c r="G11" s="212"/>
      <c r="H11" s="212"/>
      <c r="I11" s="212"/>
      <c r="J11" s="212"/>
      <c r="K11" s="212"/>
      <c r="L11" s="212"/>
      <c r="M11" s="212"/>
      <c r="N11" s="212"/>
      <c r="O11" s="212"/>
      <c r="P11" s="212"/>
      <c r="Q11" s="212"/>
      <c r="R11" s="212"/>
      <c r="S11" s="212"/>
      <c r="T11" s="212"/>
      <c r="U11" s="212"/>
      <c r="V11" s="212"/>
      <c r="W11" s="212"/>
      <c r="X11" s="212"/>
      <c r="Y11" s="212"/>
      <c r="Z11" s="212"/>
      <c r="AA11" s="212"/>
      <c r="AH11" s="207"/>
      <c r="AI11" s="207"/>
      <c r="AJ11" s="207"/>
      <c r="AK11" s="207"/>
      <c r="AL11" s="207"/>
      <c r="AM11" s="207"/>
      <c r="AN11" s="207"/>
      <c r="AO11" s="207"/>
      <c r="AT11" s="207"/>
      <c r="AV11" s="207"/>
    </row>
    <row r="12" spans="1:48">
      <c r="A12" s="213"/>
      <c r="B12" s="212"/>
      <c r="C12" s="212"/>
      <c r="D12" s="212"/>
      <c r="E12" s="212"/>
      <c r="F12" s="212"/>
      <c r="G12" s="212"/>
      <c r="H12" s="212"/>
      <c r="I12" s="212"/>
      <c r="J12" s="212"/>
      <c r="K12" s="212"/>
      <c r="L12" s="212"/>
      <c r="M12" s="212"/>
      <c r="N12" s="212"/>
      <c r="O12" s="212"/>
      <c r="P12" s="212"/>
      <c r="Q12" s="212"/>
      <c r="R12" s="212"/>
      <c r="S12" s="212"/>
      <c r="T12" s="212"/>
      <c r="U12" s="212"/>
      <c r="V12" s="212"/>
      <c r="W12" s="212"/>
      <c r="X12" s="212"/>
      <c r="Y12" s="212"/>
      <c r="Z12" s="212"/>
      <c r="AA12" s="212"/>
      <c r="AH12" s="207"/>
      <c r="AI12" s="207"/>
      <c r="AJ12" s="207"/>
      <c r="AK12" s="207"/>
      <c r="AL12" s="207"/>
      <c r="AM12" s="207"/>
      <c r="AN12" s="207"/>
      <c r="AO12" s="207"/>
      <c r="AT12" s="207"/>
      <c r="AV12" s="207"/>
    </row>
    <row r="13" spans="1:48">
      <c r="A13" s="213"/>
      <c r="B13" s="212"/>
      <c r="C13" s="212"/>
      <c r="D13" s="212"/>
      <c r="E13" s="212"/>
      <c r="F13" s="212"/>
      <c r="G13" s="212"/>
      <c r="H13" s="212"/>
      <c r="I13" s="212"/>
      <c r="J13" s="212"/>
      <c r="K13" s="212"/>
      <c r="L13" s="212"/>
      <c r="M13" s="212"/>
      <c r="N13" s="212"/>
      <c r="O13" s="212"/>
      <c r="P13" s="212"/>
      <c r="Q13" s="212"/>
      <c r="R13" s="212"/>
      <c r="S13" s="212"/>
      <c r="T13" s="212"/>
      <c r="U13" s="212"/>
      <c r="V13" s="212"/>
      <c r="W13" s="212"/>
      <c r="X13" s="212"/>
      <c r="Y13" s="212"/>
      <c r="Z13" s="212"/>
      <c r="AA13" s="212"/>
      <c r="AH13" s="207"/>
      <c r="AI13" s="207"/>
      <c r="AJ13" s="207"/>
      <c r="AK13" s="207"/>
      <c r="AL13" s="207"/>
      <c r="AM13" s="207"/>
      <c r="AN13" s="207"/>
      <c r="AO13" s="207"/>
      <c r="AT13" s="207"/>
      <c r="AV13" s="207"/>
    </row>
    <row r="14" spans="1:48">
      <c r="A14" s="213"/>
      <c r="B14" s="212"/>
      <c r="C14" s="212"/>
      <c r="D14" s="212"/>
      <c r="E14" s="212"/>
      <c r="F14" s="212"/>
      <c r="G14" s="212"/>
      <c r="H14" s="212"/>
      <c r="I14" s="212"/>
      <c r="J14" s="212"/>
      <c r="K14" s="212"/>
      <c r="L14" s="212"/>
      <c r="M14" s="212"/>
      <c r="N14" s="212"/>
      <c r="O14" s="212"/>
      <c r="P14" s="212"/>
      <c r="Q14" s="212"/>
      <c r="R14" s="212"/>
      <c r="S14" s="212"/>
      <c r="T14" s="212"/>
      <c r="U14" s="212"/>
      <c r="V14" s="212"/>
      <c r="W14" s="212"/>
      <c r="X14" s="212"/>
      <c r="Y14" s="212"/>
      <c r="Z14" s="212"/>
      <c r="AA14" s="212"/>
      <c r="AH14" s="207"/>
      <c r="AI14" s="207"/>
      <c r="AJ14" s="207"/>
      <c r="AK14" s="207"/>
      <c r="AL14" s="207"/>
      <c r="AM14" s="207"/>
      <c r="AN14" s="207"/>
      <c r="AO14" s="207"/>
      <c r="AT14" s="207"/>
      <c r="AV14" s="207"/>
    </row>
    <row r="15" spans="1:48">
      <c r="A15" s="213"/>
      <c r="B15" s="212"/>
      <c r="C15" s="212"/>
      <c r="D15" s="212"/>
      <c r="E15" s="212"/>
      <c r="F15" s="212"/>
      <c r="G15" s="212"/>
      <c r="H15" s="212"/>
      <c r="I15" s="212"/>
      <c r="J15" s="212"/>
      <c r="K15" s="212"/>
      <c r="L15" s="212"/>
      <c r="M15" s="212"/>
      <c r="N15" s="212"/>
      <c r="O15" s="212"/>
      <c r="P15" s="212"/>
      <c r="Q15" s="212"/>
      <c r="R15" s="212"/>
      <c r="S15" s="212"/>
      <c r="T15" s="212"/>
      <c r="U15" s="212"/>
      <c r="V15" s="212"/>
      <c r="W15" s="212"/>
      <c r="X15" s="212"/>
      <c r="Y15" s="212"/>
      <c r="Z15" s="212"/>
      <c r="AA15" s="212"/>
    </row>
    <row r="16" spans="1:48">
      <c r="A16" s="213"/>
      <c r="B16" s="212"/>
      <c r="C16" s="212"/>
      <c r="D16" s="212"/>
      <c r="E16" s="212"/>
      <c r="F16" s="212"/>
      <c r="G16" s="212"/>
      <c r="H16" s="212"/>
      <c r="I16" s="212"/>
      <c r="J16" s="212"/>
      <c r="K16" s="212"/>
      <c r="L16" s="212"/>
      <c r="M16" s="212"/>
      <c r="N16" s="212"/>
      <c r="O16" s="212"/>
      <c r="P16" s="212"/>
      <c r="Q16" s="212"/>
      <c r="R16" s="212"/>
      <c r="S16" s="212"/>
      <c r="T16" s="212"/>
      <c r="U16" s="212"/>
      <c r="V16" s="212"/>
      <c r="W16" s="212"/>
      <c r="X16" s="212"/>
      <c r="Y16" s="212"/>
      <c r="Z16" s="212"/>
      <c r="AA16" s="212"/>
      <c r="AH16" s="207"/>
      <c r="AI16" s="207"/>
      <c r="AJ16" s="207"/>
      <c r="AK16" s="207"/>
      <c r="AL16" s="207"/>
      <c r="AM16" s="207"/>
      <c r="AN16" s="207"/>
      <c r="AO16" s="207"/>
      <c r="AT16" s="207"/>
      <c r="AV16" s="207"/>
    </row>
    <row r="17" spans="1:48">
      <c r="A17" s="213"/>
      <c r="B17" s="212"/>
      <c r="C17" s="212"/>
      <c r="D17" s="212"/>
      <c r="E17" s="212"/>
      <c r="F17" s="212"/>
      <c r="G17" s="212"/>
      <c r="H17" s="212"/>
      <c r="I17" s="212"/>
      <c r="J17" s="212"/>
      <c r="K17" s="212"/>
      <c r="L17" s="212"/>
      <c r="M17" s="212"/>
      <c r="N17" s="212"/>
      <c r="O17" s="212"/>
      <c r="P17" s="212"/>
      <c r="Q17" s="212"/>
      <c r="R17" s="212"/>
      <c r="S17" s="212"/>
      <c r="T17" s="212"/>
      <c r="U17" s="212"/>
      <c r="V17" s="212"/>
      <c r="W17" s="212"/>
      <c r="X17" s="212"/>
      <c r="Y17" s="212"/>
      <c r="Z17" s="212"/>
      <c r="AA17" s="212"/>
      <c r="AH17" s="207"/>
      <c r="AI17" s="207"/>
      <c r="AJ17" s="207"/>
      <c r="AK17" s="207"/>
      <c r="AL17" s="207"/>
      <c r="AM17" s="207"/>
      <c r="AN17" s="207"/>
      <c r="AO17" s="207"/>
      <c r="AT17" s="207"/>
      <c r="AV17" s="207"/>
    </row>
    <row r="18" spans="1:48">
      <c r="A18" s="213"/>
      <c r="B18" s="212"/>
      <c r="C18" s="212"/>
      <c r="D18" s="212"/>
      <c r="E18" s="212"/>
      <c r="F18" s="212"/>
      <c r="G18" s="212"/>
      <c r="H18" s="212"/>
      <c r="I18" s="212"/>
      <c r="J18" s="212"/>
      <c r="K18" s="212"/>
      <c r="L18" s="212"/>
      <c r="M18" s="212"/>
      <c r="N18" s="212"/>
      <c r="O18" s="212"/>
      <c r="P18" s="212"/>
      <c r="Q18" s="212"/>
      <c r="R18" s="212"/>
      <c r="S18" s="212"/>
      <c r="T18" s="212"/>
      <c r="U18" s="212"/>
      <c r="V18" s="212"/>
      <c r="W18" s="212"/>
      <c r="X18" s="212"/>
      <c r="Y18" s="212"/>
      <c r="Z18" s="212"/>
      <c r="AA18" s="212"/>
      <c r="AH18" s="207"/>
      <c r="AI18" s="207"/>
      <c r="AJ18" s="207"/>
      <c r="AK18" s="207"/>
      <c r="AL18" s="207"/>
      <c r="AM18" s="207"/>
      <c r="AN18" s="207"/>
      <c r="AO18" s="207"/>
      <c r="AT18" s="207"/>
      <c r="AV18" s="207"/>
    </row>
    <row r="19" spans="1:48">
      <c r="A19" s="213"/>
      <c r="B19" s="212"/>
      <c r="C19" s="212"/>
      <c r="D19" s="212"/>
      <c r="E19" s="212"/>
      <c r="F19" s="212"/>
      <c r="G19" s="212"/>
      <c r="H19" s="212"/>
      <c r="I19" s="212"/>
      <c r="J19" s="212"/>
      <c r="K19" s="212"/>
      <c r="L19" s="212"/>
      <c r="M19" s="212"/>
      <c r="N19" s="212"/>
      <c r="O19" s="212"/>
      <c r="P19" s="212"/>
      <c r="Q19" s="212"/>
      <c r="R19" s="212"/>
      <c r="S19" s="212"/>
      <c r="T19" s="212"/>
      <c r="U19" s="212"/>
      <c r="V19" s="212"/>
      <c r="W19" s="212"/>
      <c r="X19" s="212"/>
      <c r="Y19" s="212"/>
      <c r="Z19" s="212"/>
      <c r="AA19" s="212"/>
      <c r="AH19" s="207"/>
      <c r="AI19" s="207"/>
      <c r="AJ19" s="207"/>
      <c r="AK19" s="207"/>
      <c r="AL19" s="207"/>
      <c r="AM19" s="207"/>
      <c r="AN19" s="207"/>
      <c r="AO19" s="207"/>
      <c r="AT19" s="207"/>
      <c r="AV19" s="207"/>
    </row>
    <row r="20" spans="1:48">
      <c r="A20" s="213"/>
      <c r="B20" s="212"/>
      <c r="C20" s="212"/>
      <c r="D20" s="212"/>
      <c r="E20" s="212"/>
      <c r="F20" s="212"/>
      <c r="G20" s="212"/>
      <c r="H20" s="212"/>
      <c r="I20" s="212"/>
      <c r="J20" s="212"/>
      <c r="K20" s="212"/>
      <c r="L20" s="212"/>
      <c r="M20" s="212"/>
      <c r="N20" s="212"/>
      <c r="O20" s="212"/>
      <c r="P20" s="212"/>
      <c r="Q20" s="212"/>
      <c r="R20" s="212"/>
      <c r="S20" s="212"/>
      <c r="T20" s="212"/>
      <c r="U20" s="212"/>
      <c r="V20" s="212"/>
      <c r="W20" s="212"/>
      <c r="X20" s="212"/>
      <c r="Y20" s="212"/>
      <c r="Z20" s="212"/>
      <c r="AA20" s="212"/>
      <c r="AH20" s="207"/>
      <c r="AI20" s="207"/>
      <c r="AJ20" s="207"/>
      <c r="AK20" s="207"/>
      <c r="AL20" s="207"/>
      <c r="AM20" s="207"/>
      <c r="AN20" s="207"/>
      <c r="AO20" s="207"/>
      <c r="AT20" s="207"/>
      <c r="AV20" s="207"/>
    </row>
    <row r="21" spans="1:48">
      <c r="A21" s="213"/>
      <c r="B21" s="212"/>
      <c r="C21" s="212"/>
      <c r="D21" s="212"/>
      <c r="E21" s="212"/>
      <c r="F21" s="212"/>
      <c r="G21" s="212"/>
      <c r="H21" s="212"/>
      <c r="I21" s="212"/>
      <c r="J21" s="212"/>
      <c r="K21" s="212"/>
      <c r="L21" s="212"/>
      <c r="M21" s="212"/>
      <c r="N21" s="212"/>
      <c r="O21" s="212"/>
      <c r="P21" s="212"/>
      <c r="Q21" s="212"/>
      <c r="R21" s="212"/>
      <c r="S21" s="212"/>
      <c r="T21" s="212"/>
      <c r="U21" s="212"/>
      <c r="V21" s="212"/>
      <c r="W21" s="212"/>
      <c r="X21" s="212"/>
      <c r="Y21" s="212"/>
      <c r="Z21" s="212"/>
      <c r="AA21" s="212"/>
      <c r="AH21" s="207"/>
      <c r="AI21" s="207"/>
      <c r="AJ21" s="207"/>
      <c r="AK21" s="207"/>
      <c r="AL21" s="207"/>
      <c r="AM21" s="207"/>
      <c r="AN21" s="207"/>
      <c r="AO21" s="207"/>
      <c r="AT21" s="207"/>
      <c r="AV21" s="207"/>
    </row>
    <row r="22" spans="1:48">
      <c r="A22" s="213"/>
      <c r="B22" s="212"/>
      <c r="C22" s="212"/>
      <c r="D22" s="212"/>
      <c r="E22" s="212"/>
      <c r="F22" s="212"/>
      <c r="G22" s="212"/>
      <c r="H22" s="212"/>
      <c r="I22" s="212"/>
      <c r="J22" s="212"/>
      <c r="K22" s="212"/>
      <c r="L22" s="212"/>
      <c r="M22" s="212"/>
      <c r="N22" s="212"/>
      <c r="O22" s="212"/>
      <c r="P22" s="212"/>
      <c r="Q22" s="212"/>
      <c r="R22" s="212"/>
      <c r="S22" s="212"/>
      <c r="T22" s="212"/>
      <c r="U22" s="212"/>
      <c r="V22" s="212"/>
      <c r="W22" s="212"/>
      <c r="X22" s="212"/>
      <c r="Y22" s="212"/>
      <c r="Z22" s="212"/>
      <c r="AA22" s="212"/>
      <c r="AH22" s="207"/>
      <c r="AI22" s="207"/>
      <c r="AJ22" s="207"/>
      <c r="AK22" s="207"/>
      <c r="AL22" s="207"/>
      <c r="AM22" s="207"/>
      <c r="AN22" s="207"/>
      <c r="AO22" s="207"/>
      <c r="AT22" s="207"/>
      <c r="AV22" s="207"/>
    </row>
    <row r="23" spans="1:48">
      <c r="A23" s="213"/>
      <c r="B23" s="212"/>
      <c r="C23" s="212"/>
      <c r="D23" s="212"/>
      <c r="E23" s="212"/>
      <c r="F23" s="212"/>
      <c r="G23" s="212"/>
      <c r="H23" s="212"/>
      <c r="I23" s="212"/>
      <c r="J23" s="212"/>
      <c r="K23" s="212"/>
      <c r="L23" s="212"/>
      <c r="M23" s="212"/>
      <c r="N23" s="212"/>
      <c r="O23" s="212"/>
      <c r="P23" s="212"/>
      <c r="Q23" s="212"/>
      <c r="R23" s="212"/>
      <c r="S23" s="212"/>
      <c r="T23" s="212"/>
      <c r="U23" s="212"/>
      <c r="V23" s="212"/>
      <c r="W23" s="212"/>
      <c r="X23" s="212"/>
      <c r="Y23" s="212"/>
      <c r="Z23" s="212"/>
      <c r="AA23" s="212"/>
      <c r="AH23" s="207"/>
      <c r="AI23" s="207"/>
      <c r="AJ23" s="207"/>
      <c r="AK23" s="207"/>
      <c r="AL23" s="207"/>
      <c r="AM23" s="207"/>
      <c r="AN23" s="207"/>
      <c r="AO23" s="207"/>
      <c r="AT23" s="207"/>
      <c r="AV23" s="207"/>
    </row>
    <row r="24" spans="1:48">
      <c r="A24" s="213"/>
      <c r="B24" s="212"/>
      <c r="C24" s="212"/>
      <c r="D24" s="212"/>
      <c r="E24" s="212"/>
      <c r="F24" s="212"/>
      <c r="G24" s="212"/>
      <c r="H24" s="212"/>
      <c r="I24" s="212"/>
      <c r="J24" s="212"/>
      <c r="K24" s="212"/>
      <c r="L24" s="212"/>
      <c r="M24" s="212"/>
      <c r="N24" s="212"/>
      <c r="O24" s="212"/>
      <c r="P24" s="212"/>
      <c r="Q24" s="212"/>
      <c r="R24" s="212"/>
      <c r="S24" s="212"/>
      <c r="T24" s="212"/>
      <c r="U24" s="212"/>
      <c r="V24" s="212"/>
      <c r="W24" s="212"/>
      <c r="X24" s="212"/>
      <c r="Y24" s="212"/>
      <c r="Z24" s="212"/>
      <c r="AA24" s="212"/>
      <c r="AH24" s="207"/>
      <c r="AI24" s="207"/>
      <c r="AJ24" s="207"/>
      <c r="AK24" s="207"/>
      <c r="AL24" s="207"/>
      <c r="AM24" s="207"/>
      <c r="AN24" s="207"/>
      <c r="AO24" s="207"/>
      <c r="AT24" s="207"/>
      <c r="AV24" s="207"/>
    </row>
    <row r="25" spans="1:48">
      <c r="A25" s="213"/>
      <c r="B25" s="212"/>
      <c r="C25" s="212"/>
      <c r="D25" s="212"/>
      <c r="E25" s="212"/>
      <c r="F25" s="212"/>
      <c r="G25" s="212"/>
      <c r="H25" s="212"/>
      <c r="I25" s="212"/>
      <c r="J25" s="212"/>
      <c r="K25" s="212"/>
      <c r="L25" s="212"/>
      <c r="M25" s="212"/>
      <c r="N25" s="212"/>
      <c r="O25" s="212"/>
      <c r="P25" s="212"/>
      <c r="Q25" s="212"/>
      <c r="R25" s="212"/>
      <c r="S25" s="212"/>
      <c r="T25" s="212"/>
      <c r="U25" s="212"/>
      <c r="V25" s="212"/>
      <c r="W25" s="212"/>
      <c r="X25" s="212"/>
      <c r="Y25" s="212"/>
      <c r="Z25" s="212"/>
      <c r="AA25" s="212"/>
      <c r="AH25" s="207"/>
      <c r="AI25" s="207"/>
      <c r="AJ25" s="207"/>
      <c r="AK25" s="207"/>
      <c r="AL25" s="207"/>
      <c r="AM25" s="207"/>
      <c r="AN25" s="207"/>
      <c r="AO25" s="207"/>
      <c r="AT25" s="207"/>
      <c r="AV25" s="207"/>
    </row>
    <row r="26" spans="1:48">
      <c r="A26" s="213"/>
      <c r="B26" s="212"/>
      <c r="C26" s="212"/>
      <c r="D26" s="212"/>
      <c r="E26" s="212"/>
      <c r="F26" s="212"/>
      <c r="G26" s="212"/>
      <c r="H26" s="212"/>
      <c r="I26" s="212"/>
      <c r="J26" s="212"/>
      <c r="K26" s="212"/>
      <c r="L26" s="212"/>
      <c r="M26" s="212"/>
      <c r="N26" s="212"/>
      <c r="O26" s="212"/>
      <c r="P26" s="212"/>
      <c r="Q26" s="212"/>
      <c r="R26" s="212"/>
      <c r="S26" s="212"/>
      <c r="T26" s="212"/>
      <c r="U26" s="212"/>
      <c r="V26" s="212"/>
      <c r="W26" s="212"/>
      <c r="X26" s="212"/>
      <c r="Y26" s="212"/>
      <c r="Z26" s="212"/>
      <c r="AA26" s="212"/>
      <c r="AH26" s="207"/>
      <c r="AI26" s="207"/>
      <c r="AJ26" s="207"/>
      <c r="AK26" s="207"/>
      <c r="AL26" s="207"/>
      <c r="AM26" s="207"/>
      <c r="AN26" s="207"/>
      <c r="AO26" s="207"/>
      <c r="AT26" s="207"/>
      <c r="AV26" s="207"/>
    </row>
    <row r="27" spans="1:48">
      <c r="A27" s="213"/>
      <c r="B27" s="212"/>
      <c r="C27" s="212"/>
      <c r="D27" s="212"/>
      <c r="E27" s="212"/>
      <c r="F27" s="212"/>
      <c r="G27" s="212"/>
      <c r="H27" s="212"/>
      <c r="I27" s="212"/>
      <c r="J27" s="212"/>
      <c r="K27" s="212"/>
      <c r="L27" s="212"/>
      <c r="M27" s="212"/>
      <c r="N27" s="212"/>
      <c r="O27" s="212"/>
      <c r="P27" s="212"/>
      <c r="Q27" s="212"/>
      <c r="R27" s="212"/>
      <c r="S27" s="212"/>
      <c r="T27" s="212"/>
      <c r="U27" s="212"/>
      <c r="V27" s="212"/>
      <c r="W27" s="212"/>
      <c r="X27" s="212"/>
      <c r="Y27" s="212"/>
      <c r="Z27" s="212"/>
      <c r="AA27" s="212"/>
      <c r="AH27" s="207"/>
      <c r="AI27" s="207"/>
      <c r="AJ27" s="207"/>
      <c r="AK27" s="207"/>
      <c r="AL27" s="207"/>
      <c r="AM27" s="207"/>
      <c r="AN27" s="207"/>
      <c r="AO27" s="207"/>
      <c r="AT27" s="207"/>
      <c r="AV27" s="207"/>
    </row>
    <row r="28" spans="1:48">
      <c r="A28" s="213"/>
      <c r="B28" s="212"/>
      <c r="C28" s="212"/>
      <c r="D28" s="212"/>
      <c r="E28" s="212"/>
      <c r="F28" s="212"/>
      <c r="G28" s="212"/>
      <c r="H28" s="212"/>
      <c r="I28" s="212"/>
      <c r="J28" s="212"/>
      <c r="K28" s="212"/>
      <c r="L28" s="212"/>
      <c r="M28" s="212"/>
      <c r="N28" s="212"/>
      <c r="O28" s="212"/>
      <c r="P28" s="212"/>
      <c r="Q28" s="212"/>
      <c r="R28" s="212"/>
      <c r="S28" s="212"/>
      <c r="T28" s="212"/>
      <c r="U28" s="212"/>
      <c r="V28" s="212"/>
      <c r="W28" s="212"/>
      <c r="X28" s="212"/>
      <c r="Y28" s="212"/>
      <c r="Z28" s="212"/>
      <c r="AA28" s="212"/>
      <c r="AH28" s="207"/>
      <c r="AI28" s="207"/>
      <c r="AJ28" s="207"/>
      <c r="AK28" s="207"/>
      <c r="AL28" s="207"/>
      <c r="AM28" s="207"/>
      <c r="AN28" s="207"/>
      <c r="AO28" s="207"/>
      <c r="AT28" s="207"/>
      <c r="AV28" s="207"/>
    </row>
    <row r="29" spans="1:48">
      <c r="A29" s="213"/>
      <c r="B29" s="212"/>
      <c r="C29" s="212"/>
      <c r="D29" s="212"/>
      <c r="E29" s="212"/>
      <c r="F29" s="212"/>
      <c r="G29" s="212"/>
      <c r="H29" s="212"/>
      <c r="I29" s="212"/>
      <c r="J29" s="212"/>
      <c r="K29" s="212"/>
      <c r="L29" s="212"/>
      <c r="M29" s="212"/>
      <c r="N29" s="212"/>
      <c r="O29" s="212"/>
      <c r="P29" s="212"/>
      <c r="Q29" s="212"/>
      <c r="R29" s="212"/>
      <c r="S29" s="212"/>
      <c r="T29" s="212"/>
      <c r="U29" s="212"/>
      <c r="V29" s="212"/>
      <c r="W29" s="212"/>
      <c r="X29" s="212"/>
      <c r="Y29" s="212"/>
      <c r="Z29" s="212"/>
      <c r="AA29" s="212"/>
      <c r="AH29" s="207"/>
      <c r="AI29" s="207"/>
      <c r="AJ29" s="207"/>
      <c r="AK29" s="207"/>
      <c r="AL29" s="207"/>
      <c r="AM29" s="207"/>
      <c r="AN29" s="207"/>
      <c r="AO29" s="207"/>
      <c r="AT29" s="207"/>
      <c r="AV29" s="207"/>
    </row>
    <row r="30" spans="1:48">
      <c r="A30" s="213"/>
      <c r="B30" s="212"/>
      <c r="C30" s="212"/>
      <c r="D30" s="212"/>
      <c r="E30" s="212"/>
      <c r="F30" s="212"/>
      <c r="G30" s="212"/>
      <c r="H30" s="212"/>
      <c r="I30" s="212"/>
      <c r="J30" s="212"/>
      <c r="K30" s="212"/>
      <c r="L30" s="212"/>
      <c r="M30" s="212"/>
      <c r="N30" s="212"/>
      <c r="O30" s="212"/>
      <c r="P30" s="212"/>
      <c r="Q30" s="212"/>
      <c r="R30" s="212"/>
      <c r="S30" s="212"/>
      <c r="T30" s="212"/>
      <c r="U30" s="212"/>
      <c r="V30" s="212"/>
      <c r="W30" s="212"/>
      <c r="X30" s="212"/>
      <c r="Y30" s="212"/>
      <c r="Z30" s="212"/>
      <c r="AA30" s="212"/>
      <c r="AH30" s="207"/>
      <c r="AI30" s="207"/>
      <c r="AJ30" s="207"/>
      <c r="AK30" s="207"/>
      <c r="AL30" s="207"/>
      <c r="AM30" s="207"/>
      <c r="AN30" s="207"/>
      <c r="AO30" s="207"/>
      <c r="AT30" s="207"/>
      <c r="AV30" s="207"/>
    </row>
    <row r="31" spans="1:48">
      <c r="A31" s="213"/>
      <c r="B31" s="212"/>
      <c r="C31" s="212"/>
      <c r="D31" s="212"/>
      <c r="E31" s="212"/>
      <c r="F31" s="212"/>
      <c r="G31" s="212"/>
      <c r="H31" s="212"/>
      <c r="I31" s="212"/>
      <c r="J31" s="212"/>
      <c r="K31" s="212"/>
      <c r="L31" s="212"/>
      <c r="M31" s="212"/>
      <c r="N31" s="212"/>
      <c r="O31" s="212"/>
      <c r="P31" s="212"/>
      <c r="Q31" s="212"/>
      <c r="R31" s="212"/>
      <c r="S31" s="212"/>
      <c r="T31" s="212"/>
      <c r="U31" s="212"/>
      <c r="V31" s="212"/>
      <c r="W31" s="212"/>
      <c r="X31" s="212"/>
      <c r="Y31" s="212"/>
      <c r="Z31" s="212"/>
      <c r="AA31" s="212"/>
      <c r="AH31" s="207"/>
      <c r="AI31" s="207"/>
      <c r="AJ31" s="207"/>
      <c r="AK31" s="207"/>
      <c r="AL31" s="207"/>
      <c r="AM31" s="207"/>
      <c r="AN31" s="207"/>
      <c r="AO31" s="207"/>
      <c r="AT31" s="207"/>
      <c r="AV31" s="207"/>
    </row>
    <row r="32" spans="1:48">
      <c r="A32" s="213"/>
      <c r="B32" s="212"/>
      <c r="C32" s="212"/>
      <c r="D32" s="212"/>
      <c r="E32" s="212"/>
      <c r="F32" s="212"/>
      <c r="G32" s="212"/>
      <c r="H32" s="212"/>
      <c r="I32" s="212"/>
      <c r="J32" s="212"/>
      <c r="K32" s="212"/>
      <c r="L32" s="212"/>
      <c r="M32" s="212"/>
      <c r="N32" s="212"/>
      <c r="O32" s="212"/>
      <c r="P32" s="212"/>
      <c r="Q32" s="212"/>
      <c r="R32" s="212"/>
      <c r="S32" s="212"/>
      <c r="T32" s="212"/>
      <c r="U32" s="212"/>
      <c r="V32" s="212"/>
      <c r="W32" s="212"/>
      <c r="X32" s="212"/>
      <c r="Y32" s="212"/>
      <c r="Z32" s="212"/>
      <c r="AA32" s="212"/>
      <c r="AH32" s="207"/>
      <c r="AI32" s="207"/>
      <c r="AJ32" s="207"/>
      <c r="AK32" s="207"/>
      <c r="AL32" s="207"/>
      <c r="AM32" s="207"/>
      <c r="AN32" s="207"/>
      <c r="AO32" s="207"/>
      <c r="AT32" s="207"/>
      <c r="AV32" s="207"/>
    </row>
    <row r="33" spans="1:48">
      <c r="A33" s="213"/>
      <c r="B33" s="212"/>
      <c r="C33" s="212"/>
      <c r="D33" s="212"/>
      <c r="E33" s="212"/>
      <c r="F33" s="212"/>
      <c r="G33" s="212"/>
      <c r="H33" s="212"/>
      <c r="I33" s="212"/>
      <c r="J33" s="212"/>
      <c r="K33" s="212"/>
      <c r="L33" s="212"/>
      <c r="M33" s="212"/>
      <c r="N33" s="212"/>
      <c r="O33" s="212"/>
      <c r="P33" s="212"/>
      <c r="Q33" s="212"/>
      <c r="R33" s="212"/>
      <c r="S33" s="212"/>
      <c r="T33" s="212"/>
      <c r="U33" s="212"/>
      <c r="V33" s="212"/>
      <c r="W33" s="212"/>
      <c r="X33" s="212"/>
      <c r="Y33" s="212"/>
      <c r="Z33" s="212"/>
      <c r="AA33" s="212"/>
      <c r="AH33" s="207"/>
      <c r="AI33" s="207"/>
      <c r="AJ33" s="207"/>
      <c r="AK33" s="207"/>
      <c r="AL33" s="207"/>
      <c r="AM33" s="207"/>
      <c r="AN33" s="207"/>
      <c r="AO33" s="207"/>
      <c r="AT33" s="207"/>
      <c r="AV33" s="207"/>
    </row>
    <row r="34" spans="1:48">
      <c r="A34" s="213"/>
      <c r="B34" s="212"/>
      <c r="C34" s="212"/>
      <c r="D34" s="212"/>
      <c r="E34" s="212"/>
      <c r="F34" s="212"/>
      <c r="G34" s="212"/>
      <c r="H34" s="212"/>
      <c r="I34" s="212"/>
      <c r="J34" s="212"/>
      <c r="K34" s="212"/>
      <c r="L34" s="212"/>
      <c r="M34" s="212"/>
      <c r="N34" s="212"/>
      <c r="O34" s="212"/>
      <c r="P34" s="212"/>
      <c r="Q34" s="212"/>
      <c r="R34" s="212"/>
      <c r="S34" s="212"/>
      <c r="T34" s="212"/>
      <c r="U34" s="212"/>
      <c r="V34" s="212"/>
      <c r="W34" s="212"/>
      <c r="X34" s="212"/>
      <c r="Y34" s="212"/>
      <c r="Z34" s="212"/>
      <c r="AA34" s="212"/>
      <c r="AH34" s="207"/>
      <c r="AI34" s="207"/>
      <c r="AJ34" s="207"/>
      <c r="AK34" s="207"/>
      <c r="AL34" s="207"/>
      <c r="AM34" s="207"/>
      <c r="AN34" s="207"/>
      <c r="AO34" s="207"/>
      <c r="AT34" s="207"/>
      <c r="AV34" s="207"/>
    </row>
    <row r="35" spans="1:48">
      <c r="A35" s="213"/>
      <c r="B35" s="212"/>
      <c r="C35" s="212"/>
      <c r="D35" s="212"/>
      <c r="E35" s="212"/>
      <c r="F35" s="212"/>
      <c r="G35" s="212"/>
      <c r="H35" s="212"/>
      <c r="I35" s="212"/>
      <c r="J35" s="212"/>
      <c r="K35" s="212"/>
      <c r="L35" s="212"/>
      <c r="M35" s="212"/>
      <c r="N35" s="212"/>
      <c r="O35" s="212"/>
      <c r="P35" s="212"/>
      <c r="Q35" s="212"/>
      <c r="R35" s="212"/>
      <c r="S35" s="212"/>
      <c r="T35" s="212"/>
      <c r="U35" s="212"/>
      <c r="V35" s="212"/>
      <c r="W35" s="212"/>
      <c r="X35" s="212"/>
      <c r="Y35" s="212"/>
      <c r="Z35" s="212"/>
      <c r="AA35" s="212"/>
      <c r="AH35" s="207"/>
      <c r="AI35" s="207"/>
      <c r="AJ35" s="207"/>
      <c r="AK35" s="207"/>
      <c r="AL35" s="207"/>
      <c r="AM35" s="207"/>
      <c r="AN35" s="207"/>
      <c r="AO35" s="207"/>
      <c r="AT35" s="207"/>
      <c r="AV35" s="207"/>
    </row>
    <row r="36" spans="1:48">
      <c r="A36" s="213"/>
      <c r="B36" s="212"/>
      <c r="C36" s="212"/>
      <c r="D36" s="212"/>
      <c r="E36" s="212"/>
      <c r="F36" s="212"/>
      <c r="G36" s="212"/>
      <c r="H36" s="212"/>
      <c r="I36" s="212"/>
      <c r="J36" s="212"/>
      <c r="K36" s="212"/>
      <c r="L36" s="212"/>
      <c r="M36" s="212"/>
      <c r="N36" s="212"/>
      <c r="O36" s="212"/>
      <c r="P36" s="212"/>
      <c r="Q36" s="212"/>
      <c r="R36" s="212"/>
      <c r="S36" s="212"/>
      <c r="T36" s="212"/>
      <c r="U36" s="212"/>
      <c r="V36" s="212"/>
      <c r="W36" s="212"/>
      <c r="X36" s="212"/>
      <c r="Y36" s="212"/>
      <c r="Z36" s="212"/>
      <c r="AA36" s="212"/>
      <c r="AH36" s="207"/>
      <c r="AI36" s="207"/>
      <c r="AJ36" s="207"/>
      <c r="AK36" s="207"/>
      <c r="AL36" s="207"/>
      <c r="AM36" s="207"/>
      <c r="AN36" s="207"/>
      <c r="AO36" s="207"/>
      <c r="AT36" s="207"/>
      <c r="AV36" s="207"/>
    </row>
    <row r="37" spans="1:48">
      <c r="A37" s="213"/>
      <c r="B37" s="212"/>
      <c r="C37" s="212"/>
      <c r="D37" s="212"/>
      <c r="E37" s="212"/>
      <c r="F37" s="212"/>
      <c r="G37" s="212"/>
      <c r="H37" s="212"/>
      <c r="I37" s="212"/>
      <c r="J37" s="212"/>
      <c r="K37" s="212"/>
      <c r="L37" s="212"/>
      <c r="M37" s="212"/>
      <c r="N37" s="212"/>
      <c r="O37" s="212"/>
      <c r="P37" s="212"/>
      <c r="Q37" s="212"/>
      <c r="R37" s="212"/>
      <c r="S37" s="212"/>
      <c r="T37" s="212"/>
      <c r="U37" s="212"/>
      <c r="V37" s="212"/>
      <c r="W37" s="212"/>
      <c r="X37" s="212"/>
      <c r="Y37" s="212"/>
      <c r="Z37" s="212"/>
      <c r="AA37" s="212"/>
      <c r="AH37" s="207"/>
      <c r="AI37" s="207"/>
      <c r="AJ37" s="207"/>
      <c r="AK37" s="207"/>
      <c r="AL37" s="207"/>
      <c r="AM37" s="207"/>
      <c r="AN37" s="207"/>
      <c r="AO37" s="207"/>
      <c r="AT37" s="207"/>
      <c r="AV37" s="207"/>
    </row>
    <row r="38" spans="1:48">
      <c r="A38" s="213"/>
      <c r="B38" s="212"/>
      <c r="C38" s="212"/>
      <c r="D38" s="212"/>
      <c r="E38" s="212"/>
      <c r="F38" s="212"/>
      <c r="G38" s="212"/>
      <c r="H38" s="212"/>
      <c r="I38" s="212"/>
      <c r="J38" s="212"/>
      <c r="K38" s="212"/>
      <c r="L38" s="212"/>
      <c r="M38" s="212"/>
      <c r="N38" s="212"/>
      <c r="O38" s="212"/>
      <c r="P38" s="212"/>
      <c r="Q38" s="212"/>
      <c r="R38" s="212"/>
      <c r="S38" s="212"/>
      <c r="T38" s="212"/>
      <c r="U38" s="212"/>
      <c r="V38" s="212"/>
      <c r="W38" s="212"/>
      <c r="X38" s="212"/>
      <c r="Y38" s="212"/>
      <c r="Z38" s="212"/>
      <c r="AA38" s="212"/>
      <c r="AH38" s="207"/>
      <c r="AI38" s="207"/>
      <c r="AJ38" s="207"/>
      <c r="AK38" s="207"/>
      <c r="AL38" s="207"/>
      <c r="AM38" s="207"/>
      <c r="AN38" s="207"/>
      <c r="AO38" s="207"/>
      <c r="AT38" s="207"/>
      <c r="AV38" s="207"/>
    </row>
    <row r="39" spans="1:48">
      <c r="A39" s="213"/>
      <c r="B39" s="212"/>
      <c r="C39" s="212"/>
      <c r="D39" s="212"/>
      <c r="E39" s="212"/>
      <c r="F39" s="212"/>
      <c r="G39" s="212"/>
      <c r="H39" s="212"/>
      <c r="I39" s="212"/>
      <c r="J39" s="212"/>
      <c r="K39" s="212"/>
      <c r="L39" s="212"/>
      <c r="M39" s="212"/>
      <c r="N39" s="212"/>
      <c r="O39" s="212"/>
      <c r="P39" s="212"/>
      <c r="Q39" s="212"/>
      <c r="R39" s="212"/>
      <c r="S39" s="212"/>
      <c r="T39" s="212"/>
      <c r="U39" s="212"/>
      <c r="V39" s="212"/>
      <c r="W39" s="212"/>
      <c r="X39" s="212"/>
      <c r="Y39" s="212"/>
      <c r="Z39" s="212"/>
      <c r="AA39" s="212"/>
      <c r="AH39" s="207"/>
      <c r="AI39" s="207"/>
      <c r="AJ39" s="207"/>
      <c r="AK39" s="207"/>
      <c r="AL39" s="207"/>
      <c r="AM39" s="207"/>
      <c r="AN39" s="207"/>
      <c r="AO39" s="207"/>
      <c r="AT39" s="207"/>
      <c r="AV39" s="207"/>
    </row>
    <row r="40" spans="1:48">
      <c r="A40" s="213"/>
      <c r="B40" s="212"/>
      <c r="C40" s="212"/>
      <c r="D40" s="212"/>
      <c r="E40" s="212"/>
      <c r="F40" s="212"/>
      <c r="G40" s="212"/>
      <c r="H40" s="212"/>
      <c r="I40" s="212"/>
      <c r="J40" s="212"/>
      <c r="K40" s="212"/>
      <c r="L40" s="212"/>
      <c r="M40" s="212"/>
      <c r="N40" s="212"/>
      <c r="O40" s="212"/>
      <c r="P40" s="212"/>
      <c r="Q40" s="212"/>
      <c r="R40" s="212"/>
      <c r="S40" s="212"/>
      <c r="T40" s="212"/>
      <c r="U40" s="212"/>
      <c r="V40" s="212"/>
      <c r="W40" s="212"/>
      <c r="X40" s="212"/>
      <c r="Y40" s="212"/>
      <c r="Z40" s="212"/>
      <c r="AA40" s="212"/>
      <c r="AH40" s="207"/>
      <c r="AI40" s="207"/>
      <c r="AJ40" s="207"/>
      <c r="AK40" s="207"/>
      <c r="AL40" s="207"/>
      <c r="AM40" s="207"/>
      <c r="AN40" s="207"/>
      <c r="AO40" s="207"/>
      <c r="AT40" s="207"/>
      <c r="AV40" s="207"/>
    </row>
    <row r="41" spans="1:48">
      <c r="A41" s="213"/>
      <c r="B41" s="212"/>
      <c r="C41" s="212"/>
      <c r="D41" s="212"/>
      <c r="E41" s="212"/>
      <c r="F41" s="212"/>
      <c r="G41" s="212"/>
      <c r="H41" s="212"/>
      <c r="I41" s="212"/>
      <c r="J41" s="212"/>
      <c r="K41" s="212"/>
      <c r="L41" s="212"/>
      <c r="M41" s="212"/>
      <c r="N41" s="212"/>
      <c r="O41" s="212"/>
      <c r="P41" s="212"/>
      <c r="Q41" s="212"/>
      <c r="R41" s="212"/>
      <c r="S41" s="212"/>
      <c r="T41" s="212"/>
      <c r="U41" s="212"/>
      <c r="V41" s="212"/>
      <c r="W41" s="212"/>
      <c r="X41" s="212"/>
      <c r="Y41" s="212"/>
      <c r="Z41" s="212"/>
      <c r="AA41" s="212"/>
      <c r="AH41" s="207"/>
      <c r="AI41" s="207"/>
      <c r="AJ41" s="207"/>
      <c r="AK41" s="207"/>
      <c r="AL41" s="207"/>
      <c r="AM41" s="207"/>
      <c r="AN41" s="207"/>
      <c r="AO41" s="207"/>
      <c r="AT41" s="207"/>
      <c r="AV41" s="207"/>
    </row>
    <row r="42" spans="1:48">
      <c r="A42" s="213"/>
      <c r="B42" s="212"/>
      <c r="C42" s="212"/>
      <c r="D42" s="212"/>
      <c r="E42" s="212"/>
      <c r="F42" s="212"/>
      <c r="G42" s="212"/>
      <c r="H42" s="212"/>
      <c r="I42" s="212"/>
      <c r="J42" s="212"/>
      <c r="K42" s="212"/>
      <c r="L42" s="212"/>
      <c r="M42" s="212"/>
      <c r="N42" s="212"/>
      <c r="O42" s="212"/>
      <c r="P42" s="212"/>
      <c r="Q42" s="212"/>
      <c r="R42" s="212"/>
      <c r="S42" s="212"/>
      <c r="T42" s="212"/>
      <c r="U42" s="212"/>
      <c r="V42" s="212"/>
      <c r="W42" s="212"/>
      <c r="X42" s="212"/>
      <c r="Y42" s="212"/>
      <c r="Z42" s="212"/>
      <c r="AA42" s="212"/>
      <c r="AH42" s="207"/>
      <c r="AI42" s="207"/>
      <c r="AJ42" s="207"/>
      <c r="AK42" s="207"/>
      <c r="AL42" s="207"/>
      <c r="AM42" s="207"/>
      <c r="AN42" s="207"/>
      <c r="AO42" s="207"/>
      <c r="AT42" s="207"/>
      <c r="AV42" s="207"/>
    </row>
    <row r="43" spans="1:48">
      <c r="A43" s="213"/>
      <c r="B43" s="212"/>
      <c r="C43" s="212"/>
      <c r="D43" s="212"/>
      <c r="E43" s="212"/>
      <c r="F43" s="212"/>
      <c r="G43" s="212"/>
      <c r="H43" s="212"/>
      <c r="I43" s="212"/>
      <c r="J43" s="212"/>
      <c r="K43" s="212"/>
      <c r="L43" s="212"/>
      <c r="M43" s="212"/>
      <c r="N43" s="212"/>
      <c r="O43" s="212"/>
      <c r="P43" s="212"/>
      <c r="Q43" s="212"/>
      <c r="R43" s="212"/>
      <c r="S43" s="212"/>
      <c r="T43" s="212"/>
      <c r="U43" s="212"/>
      <c r="V43" s="212"/>
      <c r="W43" s="212"/>
      <c r="X43" s="212"/>
      <c r="Y43" s="212"/>
      <c r="Z43" s="212"/>
      <c r="AA43" s="212"/>
      <c r="AH43" s="207"/>
      <c r="AI43" s="207"/>
      <c r="AJ43" s="207"/>
      <c r="AK43" s="207"/>
      <c r="AL43" s="207"/>
      <c r="AM43" s="207"/>
      <c r="AN43" s="207"/>
      <c r="AO43" s="207"/>
      <c r="AT43" s="207"/>
      <c r="AV43" s="207"/>
    </row>
    <row r="44" spans="1:48">
      <c r="A44" s="213"/>
      <c r="B44" s="212"/>
      <c r="C44" s="212"/>
      <c r="D44" s="212"/>
      <c r="E44" s="212"/>
      <c r="F44" s="212"/>
      <c r="G44" s="212"/>
      <c r="H44" s="212"/>
      <c r="I44" s="212"/>
      <c r="J44" s="212"/>
      <c r="K44" s="212"/>
      <c r="L44" s="212"/>
      <c r="M44" s="212"/>
      <c r="N44" s="212"/>
      <c r="O44" s="212"/>
      <c r="P44" s="212"/>
      <c r="Q44" s="212"/>
      <c r="R44" s="212"/>
      <c r="S44" s="212"/>
      <c r="T44" s="212"/>
      <c r="U44" s="212"/>
      <c r="V44" s="212"/>
      <c r="W44" s="212"/>
      <c r="X44" s="212"/>
      <c r="Y44" s="212"/>
      <c r="Z44" s="212"/>
      <c r="AA44" s="212"/>
      <c r="AH44" s="207"/>
      <c r="AI44" s="207"/>
      <c r="AJ44" s="207"/>
      <c r="AK44" s="207"/>
      <c r="AL44" s="207"/>
      <c r="AM44" s="207"/>
      <c r="AN44" s="207"/>
      <c r="AO44" s="207"/>
      <c r="AT44" s="207"/>
      <c r="AV44" s="207"/>
    </row>
    <row r="45" spans="1:48">
      <c r="A45" s="213"/>
      <c r="B45" s="212"/>
      <c r="C45" s="212"/>
      <c r="D45" s="212"/>
      <c r="E45" s="212"/>
      <c r="F45" s="212"/>
      <c r="G45" s="212"/>
      <c r="H45" s="212"/>
      <c r="I45" s="212"/>
      <c r="J45" s="212"/>
      <c r="K45" s="212"/>
      <c r="L45" s="212"/>
      <c r="M45" s="212"/>
      <c r="N45" s="212"/>
      <c r="O45" s="212"/>
      <c r="P45" s="212"/>
      <c r="Q45" s="212"/>
      <c r="R45" s="212"/>
      <c r="S45" s="212"/>
      <c r="T45" s="212"/>
      <c r="U45" s="212"/>
      <c r="V45" s="212"/>
      <c r="W45" s="212"/>
      <c r="X45" s="212"/>
      <c r="Y45" s="212"/>
      <c r="Z45" s="212"/>
      <c r="AA45" s="212"/>
      <c r="AH45" s="207"/>
      <c r="AI45" s="207"/>
      <c r="AJ45" s="207"/>
      <c r="AK45" s="207"/>
      <c r="AL45" s="207"/>
      <c r="AM45" s="207"/>
      <c r="AN45" s="207"/>
      <c r="AO45" s="207"/>
      <c r="AT45" s="207"/>
      <c r="AV45" s="207"/>
    </row>
    <row r="46" spans="1:48">
      <c r="A46" s="213"/>
      <c r="B46" s="212"/>
      <c r="C46" s="212"/>
      <c r="D46" s="212"/>
      <c r="E46" s="212"/>
      <c r="F46" s="212"/>
      <c r="G46" s="212"/>
      <c r="H46" s="212"/>
      <c r="I46" s="212"/>
      <c r="J46" s="212"/>
      <c r="K46" s="212"/>
      <c r="L46" s="212"/>
      <c r="M46" s="212"/>
      <c r="N46" s="212"/>
      <c r="O46" s="212"/>
      <c r="P46" s="212"/>
      <c r="Q46" s="212"/>
      <c r="R46" s="212"/>
      <c r="S46" s="212"/>
      <c r="T46" s="212"/>
      <c r="U46" s="212"/>
      <c r="V46" s="212"/>
      <c r="W46" s="212"/>
      <c r="X46" s="212"/>
      <c r="Y46" s="212"/>
      <c r="Z46" s="212"/>
      <c r="AA46" s="212"/>
      <c r="AH46" s="207"/>
      <c r="AI46" s="207"/>
      <c r="AJ46" s="207"/>
      <c r="AK46" s="207"/>
      <c r="AL46" s="207"/>
      <c r="AM46" s="207"/>
      <c r="AN46" s="207"/>
      <c r="AO46" s="207"/>
      <c r="AT46" s="207"/>
      <c r="AV46" s="207"/>
    </row>
    <row r="47" spans="1:48">
      <c r="A47" s="213"/>
      <c r="B47" s="212"/>
      <c r="C47" s="212"/>
      <c r="D47" s="212"/>
      <c r="E47" s="212"/>
      <c r="F47" s="212"/>
      <c r="G47" s="212"/>
      <c r="H47" s="212"/>
      <c r="I47" s="212"/>
      <c r="J47" s="212"/>
      <c r="K47" s="212"/>
      <c r="L47" s="212"/>
      <c r="M47" s="212"/>
      <c r="N47" s="212"/>
      <c r="O47" s="212"/>
      <c r="P47" s="212"/>
      <c r="Q47" s="212"/>
      <c r="R47" s="212"/>
      <c r="S47" s="212"/>
      <c r="T47" s="212"/>
      <c r="U47" s="212"/>
      <c r="V47" s="212"/>
      <c r="W47" s="212"/>
      <c r="X47" s="212"/>
      <c r="Y47" s="212"/>
      <c r="Z47" s="212"/>
      <c r="AA47" s="212"/>
      <c r="AH47" s="207"/>
      <c r="AI47" s="207"/>
      <c r="AJ47" s="207"/>
      <c r="AK47" s="207"/>
      <c r="AL47" s="207"/>
      <c r="AM47" s="207"/>
      <c r="AN47" s="207"/>
      <c r="AO47" s="207"/>
      <c r="AT47" s="207"/>
      <c r="AV47" s="207"/>
    </row>
    <row r="48" spans="1:48">
      <c r="A48" s="213"/>
      <c r="B48" s="212"/>
      <c r="C48" s="212"/>
      <c r="D48" s="212"/>
      <c r="E48" s="212"/>
      <c r="F48" s="212"/>
      <c r="G48" s="212"/>
      <c r="H48" s="212"/>
      <c r="I48" s="212"/>
      <c r="J48" s="212"/>
      <c r="K48" s="212"/>
      <c r="L48" s="212"/>
      <c r="M48" s="212"/>
      <c r="N48" s="212"/>
      <c r="O48" s="212"/>
      <c r="P48" s="212"/>
      <c r="Q48" s="212"/>
      <c r="R48" s="212"/>
      <c r="S48" s="212"/>
      <c r="T48" s="212"/>
      <c r="U48" s="212"/>
      <c r="V48" s="212"/>
      <c r="W48" s="212"/>
      <c r="X48" s="212"/>
      <c r="Y48" s="212"/>
      <c r="Z48" s="212"/>
      <c r="AA48" s="212"/>
      <c r="AH48" s="207"/>
      <c r="AI48" s="207"/>
      <c r="AJ48" s="207"/>
      <c r="AK48" s="207"/>
      <c r="AL48" s="207"/>
      <c r="AM48" s="207"/>
      <c r="AN48" s="207"/>
      <c r="AO48" s="207"/>
      <c r="AT48" s="207"/>
      <c r="AV48" s="207"/>
    </row>
    <row r="49" spans="1:48">
      <c r="A49" s="213"/>
      <c r="B49" s="212"/>
      <c r="C49" s="212"/>
      <c r="D49" s="212"/>
      <c r="E49" s="212"/>
      <c r="F49" s="212"/>
      <c r="G49" s="212"/>
      <c r="H49" s="212"/>
      <c r="I49" s="212"/>
      <c r="J49" s="212"/>
      <c r="K49" s="212"/>
      <c r="L49" s="212"/>
      <c r="M49" s="212"/>
      <c r="N49" s="212"/>
      <c r="O49" s="212"/>
      <c r="P49" s="212"/>
      <c r="Q49" s="212"/>
      <c r="R49" s="212"/>
      <c r="S49" s="212"/>
      <c r="T49" s="212"/>
      <c r="U49" s="212"/>
      <c r="V49" s="212"/>
      <c r="W49" s="212"/>
      <c r="X49" s="212"/>
      <c r="Y49" s="212"/>
      <c r="Z49" s="212"/>
      <c r="AA49" s="212"/>
      <c r="AH49" s="207"/>
      <c r="AI49" s="207"/>
      <c r="AJ49" s="207"/>
      <c r="AK49" s="207"/>
      <c r="AL49" s="207"/>
      <c r="AM49" s="207"/>
      <c r="AN49" s="207"/>
      <c r="AO49" s="207"/>
      <c r="AT49" s="207"/>
      <c r="AV49" s="207"/>
    </row>
    <row r="50" spans="1:48">
      <c r="A50" s="213"/>
      <c r="B50" s="212"/>
      <c r="C50" s="212"/>
      <c r="D50" s="212"/>
      <c r="E50" s="212"/>
      <c r="F50" s="212"/>
      <c r="G50" s="212"/>
      <c r="H50" s="212"/>
      <c r="I50" s="212"/>
      <c r="J50" s="212"/>
      <c r="K50" s="212"/>
      <c r="L50" s="212"/>
      <c r="M50" s="212"/>
      <c r="N50" s="212"/>
      <c r="O50" s="212"/>
      <c r="P50" s="212"/>
      <c r="Q50" s="212"/>
      <c r="R50" s="212"/>
      <c r="S50" s="212"/>
      <c r="T50" s="212"/>
      <c r="U50" s="212"/>
      <c r="V50" s="212"/>
      <c r="W50" s="212"/>
      <c r="X50" s="212"/>
      <c r="Y50" s="212"/>
      <c r="Z50" s="212"/>
      <c r="AA50" s="212"/>
      <c r="AH50" s="207"/>
      <c r="AI50" s="207"/>
      <c r="AJ50" s="207"/>
      <c r="AK50" s="207"/>
      <c r="AL50" s="207"/>
      <c r="AM50" s="207"/>
      <c r="AN50" s="207"/>
      <c r="AO50" s="207"/>
      <c r="AT50" s="207"/>
      <c r="AV50" s="207"/>
    </row>
    <row r="51" spans="1:48">
      <c r="A51" s="213"/>
      <c r="B51" s="212"/>
      <c r="C51" s="212"/>
      <c r="D51" s="212"/>
      <c r="E51" s="212"/>
      <c r="F51" s="212"/>
      <c r="G51" s="212"/>
      <c r="H51" s="212"/>
      <c r="I51" s="212"/>
      <c r="J51" s="212"/>
      <c r="K51" s="212"/>
      <c r="L51" s="212"/>
      <c r="M51" s="212"/>
      <c r="N51" s="212"/>
      <c r="O51" s="212"/>
      <c r="P51" s="212"/>
      <c r="Q51" s="212"/>
      <c r="R51" s="212"/>
      <c r="S51" s="212"/>
      <c r="T51" s="212"/>
      <c r="U51" s="212"/>
      <c r="V51" s="212"/>
      <c r="W51" s="212"/>
      <c r="X51" s="212"/>
      <c r="Y51" s="212"/>
      <c r="Z51" s="212"/>
      <c r="AA51" s="212"/>
      <c r="AH51" s="207"/>
      <c r="AI51" s="207"/>
      <c r="AJ51" s="207"/>
      <c r="AK51" s="207"/>
      <c r="AL51" s="207"/>
      <c r="AM51" s="207"/>
      <c r="AN51" s="207"/>
      <c r="AO51" s="207"/>
      <c r="AT51" s="207"/>
      <c r="AV51" s="207"/>
    </row>
    <row r="52" spans="1:48">
      <c r="A52" s="213"/>
      <c r="B52" s="212"/>
      <c r="C52" s="212"/>
      <c r="D52" s="212"/>
      <c r="E52" s="212"/>
      <c r="F52" s="212"/>
      <c r="G52" s="212"/>
      <c r="H52" s="212"/>
      <c r="I52" s="212"/>
      <c r="J52" s="212"/>
      <c r="K52" s="212"/>
      <c r="L52" s="212"/>
      <c r="M52" s="212"/>
      <c r="N52" s="212"/>
      <c r="O52" s="212"/>
      <c r="P52" s="212"/>
      <c r="Q52" s="212"/>
      <c r="R52" s="212"/>
      <c r="S52" s="212"/>
      <c r="T52" s="212"/>
      <c r="U52" s="212"/>
      <c r="V52" s="212"/>
      <c r="W52" s="212"/>
      <c r="X52" s="212"/>
      <c r="Y52" s="212"/>
      <c r="Z52" s="212"/>
      <c r="AA52" s="212"/>
      <c r="AH52" s="207"/>
      <c r="AI52" s="207"/>
      <c r="AJ52" s="207"/>
      <c r="AK52" s="207"/>
      <c r="AL52" s="207"/>
      <c r="AM52" s="207"/>
      <c r="AN52" s="207"/>
      <c r="AO52" s="207"/>
      <c r="AT52" s="207"/>
      <c r="AV52" s="207"/>
    </row>
    <row r="53" spans="1:48">
      <c r="A53" s="213"/>
      <c r="B53" s="212"/>
      <c r="C53" s="212"/>
      <c r="D53" s="212"/>
      <c r="E53" s="212"/>
      <c r="F53" s="212"/>
      <c r="G53" s="212"/>
      <c r="H53" s="212"/>
      <c r="I53" s="212"/>
      <c r="J53" s="212"/>
      <c r="K53" s="212"/>
      <c r="L53" s="212"/>
      <c r="M53" s="212"/>
      <c r="N53" s="212"/>
      <c r="O53" s="212"/>
      <c r="P53" s="212"/>
      <c r="Q53" s="212"/>
      <c r="R53" s="212"/>
      <c r="S53" s="212"/>
      <c r="T53" s="212"/>
      <c r="U53" s="212"/>
      <c r="V53" s="212"/>
      <c r="W53" s="212"/>
      <c r="X53" s="212"/>
      <c r="Y53" s="212"/>
      <c r="Z53" s="212"/>
      <c r="AA53" s="212"/>
      <c r="AH53" s="207"/>
      <c r="AI53" s="207"/>
      <c r="AJ53" s="207"/>
      <c r="AK53" s="207"/>
      <c r="AL53" s="207"/>
      <c r="AM53" s="207"/>
      <c r="AN53" s="207"/>
      <c r="AO53" s="207"/>
      <c r="AT53" s="207"/>
      <c r="AV53" s="207"/>
    </row>
    <row r="54" spans="1:48">
      <c r="A54" s="213"/>
      <c r="B54" s="212"/>
      <c r="C54" s="212"/>
      <c r="D54" s="212"/>
      <c r="E54" s="212"/>
      <c r="F54" s="212"/>
      <c r="G54" s="212"/>
      <c r="H54" s="212"/>
      <c r="I54" s="212"/>
      <c r="J54" s="212"/>
      <c r="K54" s="212"/>
      <c r="L54" s="212"/>
      <c r="M54" s="212"/>
      <c r="N54" s="212"/>
      <c r="O54" s="212"/>
      <c r="P54" s="212"/>
      <c r="Q54" s="212"/>
      <c r="R54" s="212"/>
      <c r="S54" s="212"/>
      <c r="T54" s="212"/>
      <c r="U54" s="212"/>
      <c r="V54" s="212"/>
      <c r="W54" s="212"/>
      <c r="X54" s="212"/>
      <c r="Y54" s="212"/>
      <c r="Z54" s="212"/>
      <c r="AA54" s="212"/>
      <c r="AH54" s="207"/>
      <c r="AI54" s="207"/>
      <c r="AJ54" s="207"/>
      <c r="AK54" s="207"/>
      <c r="AL54" s="207"/>
      <c r="AM54" s="207"/>
      <c r="AN54" s="207"/>
      <c r="AO54" s="207"/>
      <c r="AT54" s="207"/>
      <c r="AV54" s="207"/>
    </row>
    <row r="55" spans="1:48">
      <c r="A55" s="213"/>
      <c r="B55" s="212"/>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H55" s="207"/>
      <c r="AI55" s="207"/>
      <c r="AJ55" s="207"/>
      <c r="AK55" s="207"/>
      <c r="AL55" s="207"/>
      <c r="AM55" s="207"/>
      <c r="AN55" s="207"/>
      <c r="AO55" s="207"/>
      <c r="AT55" s="207"/>
      <c r="AV55" s="207"/>
    </row>
    <row r="56" spans="1:48">
      <c r="A56" s="213"/>
      <c r="B56" s="212"/>
      <c r="C56" s="212"/>
      <c r="D56" s="212"/>
      <c r="E56" s="212"/>
      <c r="F56" s="212"/>
      <c r="G56" s="212"/>
      <c r="H56" s="212"/>
      <c r="I56" s="212"/>
      <c r="J56" s="212"/>
      <c r="K56" s="212"/>
      <c r="L56" s="212"/>
      <c r="M56" s="212"/>
      <c r="N56" s="212"/>
      <c r="O56" s="212"/>
      <c r="P56" s="212"/>
      <c r="Q56" s="212"/>
      <c r="R56" s="212"/>
      <c r="S56" s="212"/>
      <c r="T56" s="212"/>
      <c r="U56" s="212"/>
      <c r="V56" s="212"/>
      <c r="W56" s="212"/>
      <c r="X56" s="212"/>
      <c r="Y56" s="212"/>
      <c r="Z56" s="212"/>
      <c r="AA56" s="212"/>
      <c r="AH56" s="207"/>
      <c r="AI56" s="207"/>
      <c r="AJ56" s="207"/>
      <c r="AK56" s="207"/>
      <c r="AL56" s="207"/>
      <c r="AM56" s="207"/>
      <c r="AN56" s="207"/>
      <c r="AO56" s="207"/>
      <c r="AT56" s="207"/>
      <c r="AV56" s="207"/>
    </row>
    <row r="57" spans="1:48">
      <c r="A57" s="213"/>
      <c r="B57" s="212"/>
      <c r="C57" s="212"/>
      <c r="D57" s="212"/>
      <c r="E57" s="212"/>
      <c r="F57" s="212"/>
      <c r="G57" s="212"/>
      <c r="H57" s="212"/>
      <c r="I57" s="212"/>
      <c r="J57" s="212"/>
      <c r="K57" s="212"/>
      <c r="L57" s="212"/>
      <c r="M57" s="212"/>
      <c r="N57" s="212"/>
      <c r="O57" s="212"/>
      <c r="P57" s="212"/>
      <c r="Q57" s="212"/>
      <c r="R57" s="212"/>
      <c r="S57" s="212"/>
      <c r="T57" s="212"/>
      <c r="U57" s="212"/>
      <c r="V57" s="212"/>
      <c r="W57" s="212"/>
      <c r="X57" s="212"/>
      <c r="Y57" s="212"/>
      <c r="Z57" s="212"/>
      <c r="AA57" s="212"/>
      <c r="AH57" s="207"/>
      <c r="AI57" s="207"/>
      <c r="AJ57" s="207"/>
      <c r="AK57" s="207"/>
      <c r="AL57" s="207"/>
      <c r="AM57" s="207"/>
      <c r="AN57" s="207"/>
      <c r="AO57" s="207"/>
      <c r="AT57" s="207"/>
      <c r="AV57" s="207"/>
    </row>
    <row r="58" spans="1:48">
      <c r="A58" s="213"/>
      <c r="B58" s="212"/>
      <c r="C58" s="212"/>
      <c r="D58" s="212"/>
      <c r="E58" s="212"/>
      <c r="F58" s="212"/>
      <c r="G58" s="212"/>
      <c r="H58" s="212"/>
      <c r="I58" s="212"/>
      <c r="J58" s="212"/>
      <c r="K58" s="212"/>
      <c r="L58" s="212"/>
      <c r="M58" s="212"/>
      <c r="N58" s="212"/>
      <c r="O58" s="212"/>
      <c r="P58" s="212"/>
      <c r="Q58" s="212"/>
      <c r="R58" s="212"/>
      <c r="S58" s="212"/>
      <c r="T58" s="212"/>
      <c r="U58" s="212"/>
      <c r="V58" s="212"/>
      <c r="W58" s="212"/>
      <c r="X58" s="212"/>
      <c r="Y58" s="212"/>
      <c r="Z58" s="212"/>
      <c r="AA58" s="212"/>
      <c r="AH58" s="207"/>
      <c r="AI58" s="207"/>
      <c r="AJ58" s="207"/>
      <c r="AK58" s="207"/>
      <c r="AL58" s="207"/>
      <c r="AM58" s="207"/>
      <c r="AN58" s="207"/>
      <c r="AO58" s="207"/>
      <c r="AT58" s="207"/>
      <c r="AV58" s="207"/>
    </row>
    <row r="59" spans="1:48">
      <c r="A59" s="213"/>
      <c r="B59" s="212"/>
      <c r="C59" s="212"/>
      <c r="D59" s="212"/>
      <c r="E59" s="212"/>
      <c r="F59" s="212"/>
      <c r="G59" s="212"/>
      <c r="H59" s="212"/>
      <c r="I59" s="212"/>
      <c r="J59" s="212"/>
      <c r="K59" s="212"/>
      <c r="L59" s="212"/>
      <c r="M59" s="212"/>
      <c r="N59" s="212"/>
      <c r="O59" s="212"/>
      <c r="P59" s="212"/>
      <c r="Q59" s="212"/>
      <c r="R59" s="212"/>
      <c r="S59" s="212"/>
      <c r="T59" s="212"/>
      <c r="U59" s="212"/>
      <c r="V59" s="212"/>
      <c r="W59" s="212"/>
      <c r="X59" s="212"/>
      <c r="Y59" s="212"/>
      <c r="Z59" s="212"/>
      <c r="AA59" s="212"/>
      <c r="AH59" s="207"/>
      <c r="AI59" s="207"/>
      <c r="AJ59" s="207"/>
      <c r="AK59" s="207"/>
      <c r="AL59" s="207"/>
      <c r="AM59" s="207"/>
      <c r="AN59" s="207"/>
      <c r="AO59" s="207"/>
      <c r="AT59" s="207"/>
      <c r="AV59" s="207"/>
    </row>
    <row r="60" spans="1:48">
      <c r="A60" s="213"/>
      <c r="B60" s="212"/>
      <c r="C60" s="212"/>
      <c r="D60" s="212"/>
      <c r="E60" s="212"/>
      <c r="F60" s="212"/>
      <c r="G60" s="212"/>
      <c r="H60" s="212"/>
      <c r="I60" s="212"/>
      <c r="J60" s="212"/>
      <c r="K60" s="212"/>
      <c r="L60" s="212"/>
      <c r="M60" s="212"/>
      <c r="N60" s="212"/>
      <c r="O60" s="212"/>
      <c r="P60" s="212"/>
      <c r="Q60" s="212"/>
      <c r="R60" s="212"/>
      <c r="S60" s="212"/>
      <c r="T60" s="212"/>
      <c r="U60" s="212"/>
      <c r="V60" s="212"/>
      <c r="W60" s="212"/>
      <c r="X60" s="212"/>
      <c r="Y60" s="212"/>
      <c r="Z60" s="212"/>
      <c r="AA60" s="212"/>
      <c r="AH60" s="207"/>
      <c r="AI60" s="207"/>
      <c r="AJ60" s="207"/>
      <c r="AK60" s="207"/>
      <c r="AL60" s="207"/>
      <c r="AM60" s="207"/>
      <c r="AN60" s="207"/>
      <c r="AO60" s="207"/>
      <c r="AT60" s="207"/>
      <c r="AV60" s="207"/>
    </row>
    <row r="61" spans="1:48">
      <c r="A61" s="213"/>
      <c r="B61" s="212"/>
      <c r="C61" s="212"/>
      <c r="D61" s="212"/>
      <c r="E61" s="212"/>
      <c r="F61" s="212"/>
      <c r="G61" s="212"/>
      <c r="H61" s="212"/>
      <c r="I61" s="212"/>
      <c r="J61" s="212"/>
      <c r="K61" s="212"/>
      <c r="L61" s="212"/>
      <c r="M61" s="212"/>
      <c r="N61" s="212"/>
      <c r="O61" s="212"/>
      <c r="P61" s="212"/>
      <c r="Q61" s="212"/>
      <c r="R61" s="212"/>
      <c r="S61" s="212"/>
      <c r="T61" s="212"/>
      <c r="U61" s="212"/>
      <c r="V61" s="212"/>
      <c r="W61" s="212"/>
      <c r="X61" s="212"/>
      <c r="Y61" s="212"/>
      <c r="Z61" s="212"/>
      <c r="AA61" s="212"/>
      <c r="AH61" s="207"/>
      <c r="AI61" s="207"/>
      <c r="AJ61" s="207"/>
      <c r="AK61" s="207"/>
      <c r="AL61" s="207"/>
      <c r="AM61" s="207"/>
      <c r="AN61" s="207"/>
      <c r="AO61" s="207"/>
      <c r="AT61" s="207"/>
      <c r="AV61" s="207"/>
    </row>
    <row r="62" spans="1:48">
      <c r="A62" s="213"/>
      <c r="B62" s="212"/>
      <c r="C62" s="212"/>
      <c r="D62" s="212"/>
      <c r="E62" s="212"/>
      <c r="F62" s="212"/>
      <c r="G62" s="212"/>
      <c r="H62" s="212"/>
      <c r="I62" s="212"/>
      <c r="J62" s="212"/>
      <c r="K62" s="212"/>
      <c r="L62" s="212"/>
      <c r="M62" s="212"/>
      <c r="N62" s="212"/>
      <c r="O62" s="212"/>
      <c r="P62" s="212"/>
      <c r="Q62" s="212"/>
      <c r="R62" s="212"/>
      <c r="S62" s="212"/>
      <c r="T62" s="212"/>
      <c r="U62" s="212"/>
      <c r="V62" s="212"/>
      <c r="W62" s="212"/>
      <c r="X62" s="212"/>
      <c r="Y62" s="212"/>
      <c r="Z62" s="212"/>
      <c r="AA62" s="212"/>
      <c r="AH62" s="207"/>
      <c r="AI62" s="207"/>
      <c r="AJ62" s="207"/>
      <c r="AK62" s="207"/>
      <c r="AL62" s="207"/>
      <c r="AM62" s="207"/>
      <c r="AN62" s="207"/>
      <c r="AO62" s="207"/>
      <c r="AT62" s="207"/>
      <c r="AV62" s="207"/>
    </row>
    <row r="63" spans="1:48">
      <c r="A63" s="213"/>
      <c r="B63" s="212"/>
      <c r="C63" s="212"/>
      <c r="D63" s="212"/>
      <c r="E63" s="212"/>
      <c r="F63" s="212"/>
      <c r="G63" s="212"/>
      <c r="H63" s="212"/>
      <c r="I63" s="212"/>
      <c r="J63" s="212"/>
      <c r="K63" s="212"/>
      <c r="L63" s="212"/>
      <c r="M63" s="212"/>
      <c r="N63" s="212"/>
      <c r="O63" s="212"/>
      <c r="P63" s="212"/>
      <c r="Q63" s="212"/>
      <c r="R63" s="212"/>
      <c r="S63" s="212"/>
      <c r="T63" s="212"/>
      <c r="U63" s="212"/>
      <c r="V63" s="212"/>
      <c r="W63" s="212"/>
      <c r="X63" s="212"/>
      <c r="Y63" s="212"/>
      <c r="Z63" s="212"/>
      <c r="AA63" s="212"/>
      <c r="AH63" s="207"/>
      <c r="AI63" s="207"/>
      <c r="AJ63" s="207"/>
      <c r="AK63" s="207"/>
      <c r="AL63" s="207"/>
      <c r="AM63" s="207"/>
      <c r="AN63" s="207"/>
      <c r="AO63" s="207"/>
      <c r="AT63" s="207"/>
      <c r="AV63" s="207"/>
    </row>
    <row r="64" spans="1:48">
      <c r="A64" s="213"/>
      <c r="B64" s="212"/>
      <c r="C64" s="212"/>
      <c r="D64" s="212"/>
      <c r="E64" s="212"/>
      <c r="F64" s="212"/>
      <c r="G64" s="212"/>
      <c r="H64" s="212"/>
      <c r="I64" s="212"/>
      <c r="J64" s="212"/>
      <c r="K64" s="212"/>
      <c r="L64" s="212"/>
      <c r="M64" s="212"/>
      <c r="N64" s="212"/>
      <c r="O64" s="212"/>
      <c r="P64" s="212"/>
      <c r="Q64" s="212"/>
      <c r="R64" s="212"/>
      <c r="S64" s="212"/>
      <c r="T64" s="212"/>
      <c r="U64" s="212"/>
      <c r="V64" s="212"/>
      <c r="W64" s="212"/>
      <c r="X64" s="212"/>
      <c r="Y64" s="212"/>
      <c r="Z64" s="212"/>
      <c r="AA64" s="212"/>
      <c r="AH64" s="207"/>
      <c r="AI64" s="207"/>
      <c r="AJ64" s="207"/>
      <c r="AK64" s="207"/>
      <c r="AL64" s="207"/>
      <c r="AM64" s="207"/>
      <c r="AN64" s="207"/>
      <c r="AO64" s="207"/>
      <c r="AT64" s="207"/>
      <c r="AV64" s="207"/>
    </row>
    <row r="65" spans="1:48">
      <c r="A65" s="213"/>
      <c r="B65" s="212"/>
      <c r="C65" s="212"/>
      <c r="D65" s="212"/>
      <c r="E65" s="212"/>
      <c r="F65" s="212"/>
      <c r="G65" s="212"/>
      <c r="H65" s="212"/>
      <c r="I65" s="212"/>
      <c r="J65" s="212"/>
      <c r="K65" s="212"/>
      <c r="L65" s="212"/>
      <c r="M65" s="212"/>
      <c r="N65" s="212"/>
      <c r="O65" s="212"/>
      <c r="P65" s="212"/>
      <c r="Q65" s="212"/>
      <c r="R65" s="212"/>
      <c r="S65" s="212"/>
      <c r="T65" s="212"/>
      <c r="U65" s="212"/>
      <c r="V65" s="212"/>
      <c r="W65" s="212"/>
      <c r="X65" s="212"/>
      <c r="Y65" s="212"/>
      <c r="Z65" s="212"/>
      <c r="AA65" s="212"/>
      <c r="AH65" s="207"/>
      <c r="AI65" s="207"/>
      <c r="AJ65" s="207"/>
      <c r="AK65" s="207"/>
      <c r="AL65" s="207"/>
      <c r="AM65" s="207"/>
      <c r="AN65" s="207"/>
      <c r="AO65" s="207"/>
      <c r="AT65" s="207"/>
      <c r="AV65" s="207"/>
    </row>
    <row r="66" spans="1:48">
      <c r="A66" s="213"/>
      <c r="B66" s="212"/>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H66" s="207"/>
      <c r="AI66" s="207"/>
      <c r="AJ66" s="207"/>
      <c r="AK66" s="207"/>
      <c r="AL66" s="207"/>
      <c r="AM66" s="207"/>
      <c r="AN66" s="207"/>
      <c r="AO66" s="207"/>
      <c r="AT66" s="207"/>
      <c r="AV66" s="207"/>
    </row>
    <row r="67" spans="1:48">
      <c r="A67" s="213"/>
      <c r="B67" s="212"/>
      <c r="C67" s="212"/>
      <c r="D67" s="212"/>
      <c r="E67" s="212"/>
      <c r="F67" s="212"/>
      <c r="G67" s="212"/>
      <c r="H67" s="212"/>
      <c r="I67" s="212"/>
      <c r="J67" s="212"/>
      <c r="K67" s="212"/>
      <c r="L67" s="212"/>
      <c r="M67" s="212"/>
      <c r="N67" s="212"/>
      <c r="O67" s="212"/>
      <c r="P67" s="212"/>
      <c r="Q67" s="212"/>
      <c r="R67" s="212"/>
      <c r="S67" s="212"/>
      <c r="T67" s="212"/>
      <c r="U67" s="212"/>
      <c r="V67" s="212"/>
      <c r="W67" s="212"/>
      <c r="X67" s="212"/>
      <c r="Y67" s="212"/>
      <c r="Z67" s="212"/>
      <c r="AA67" s="212"/>
      <c r="AH67" s="207"/>
      <c r="AI67" s="207"/>
      <c r="AJ67" s="207"/>
      <c r="AK67" s="207"/>
      <c r="AL67" s="207"/>
      <c r="AM67" s="207"/>
      <c r="AN67" s="207"/>
      <c r="AO67" s="207"/>
      <c r="AT67" s="207"/>
      <c r="AV67" s="207"/>
    </row>
    <row r="68" spans="1:48">
      <c r="A68" s="213"/>
      <c r="B68" s="212"/>
      <c r="C68" s="212"/>
      <c r="D68" s="212"/>
      <c r="E68" s="212"/>
      <c r="F68" s="212"/>
      <c r="G68" s="212"/>
      <c r="H68" s="212"/>
      <c r="I68" s="212"/>
      <c r="J68" s="212"/>
      <c r="K68" s="212"/>
      <c r="L68" s="212"/>
      <c r="M68" s="212"/>
      <c r="N68" s="212"/>
      <c r="O68" s="212"/>
      <c r="P68" s="212"/>
      <c r="Q68" s="212"/>
      <c r="R68" s="212"/>
      <c r="S68" s="212"/>
      <c r="T68" s="212"/>
      <c r="U68" s="212"/>
      <c r="V68" s="212"/>
      <c r="W68" s="212"/>
      <c r="X68" s="212"/>
      <c r="Y68" s="212"/>
      <c r="Z68" s="212"/>
      <c r="AA68" s="212"/>
      <c r="AH68" s="207"/>
      <c r="AI68" s="207"/>
      <c r="AJ68" s="207"/>
      <c r="AK68" s="207"/>
      <c r="AL68" s="207"/>
      <c r="AM68" s="207"/>
      <c r="AN68" s="207"/>
      <c r="AO68" s="207"/>
      <c r="AT68" s="207"/>
      <c r="AV68" s="207"/>
    </row>
    <row r="69" spans="1:48" ht="13.5" customHeight="1">
      <c r="A69" s="213"/>
      <c r="B69" s="212"/>
      <c r="C69" s="212"/>
      <c r="D69" s="212"/>
      <c r="E69" s="212"/>
      <c r="F69" s="212"/>
      <c r="G69" s="212"/>
      <c r="H69" s="212"/>
      <c r="I69" s="212"/>
      <c r="J69" s="212"/>
      <c r="K69" s="212"/>
      <c r="L69" s="212"/>
      <c r="M69" s="212"/>
      <c r="N69" s="212"/>
      <c r="O69" s="212"/>
      <c r="P69" s="212"/>
      <c r="Q69" s="212"/>
      <c r="R69" s="212"/>
      <c r="S69" s="212"/>
      <c r="T69" s="212"/>
      <c r="U69" s="212"/>
      <c r="V69" s="212"/>
      <c r="W69" s="212"/>
      <c r="X69" s="212"/>
      <c r="Y69" s="212"/>
      <c r="Z69" s="212"/>
      <c r="AA69" s="212"/>
      <c r="AH69" s="207"/>
      <c r="AI69" s="207"/>
      <c r="AJ69" s="207"/>
      <c r="AK69" s="207"/>
      <c r="AL69" s="207"/>
      <c r="AM69" s="207"/>
      <c r="AN69" s="207"/>
      <c r="AO69" s="207"/>
      <c r="AT69" s="207"/>
      <c r="AV69" s="207"/>
    </row>
    <row r="70" spans="1:48" ht="12" customHeight="1">
      <c r="A70" s="213"/>
      <c r="B70" s="212"/>
      <c r="C70" s="212"/>
      <c r="D70" s="212"/>
      <c r="E70" s="212"/>
      <c r="F70" s="212"/>
      <c r="G70" s="212"/>
      <c r="H70" s="212"/>
      <c r="I70" s="212"/>
      <c r="J70" s="212"/>
      <c r="K70" s="212"/>
      <c r="L70" s="212"/>
      <c r="M70" s="212"/>
      <c r="N70" s="212"/>
      <c r="O70" s="212"/>
      <c r="P70" s="212"/>
      <c r="Q70" s="212"/>
      <c r="R70" s="212"/>
      <c r="S70" s="212"/>
      <c r="T70" s="212"/>
      <c r="U70" s="212"/>
      <c r="V70" s="212"/>
      <c r="W70" s="212"/>
      <c r="X70" s="212"/>
      <c r="Y70" s="212"/>
      <c r="Z70" s="212"/>
      <c r="AA70" s="212"/>
      <c r="AH70" s="207"/>
      <c r="AI70" s="207"/>
      <c r="AJ70" s="207"/>
      <c r="AK70" s="207"/>
      <c r="AL70" s="207"/>
      <c r="AM70" s="207"/>
      <c r="AN70" s="207"/>
      <c r="AO70" s="207"/>
      <c r="AT70" s="207"/>
      <c r="AV70" s="207"/>
    </row>
    <row r="71" spans="1:48">
      <c r="A71" s="213"/>
      <c r="B71" s="212"/>
      <c r="C71" s="212"/>
      <c r="D71" s="212"/>
      <c r="E71" s="212"/>
      <c r="F71" s="212"/>
      <c r="G71" s="212"/>
      <c r="H71" s="212"/>
      <c r="I71" s="212"/>
      <c r="J71" s="212"/>
      <c r="K71" s="212"/>
      <c r="L71" s="212"/>
      <c r="M71" s="212"/>
      <c r="N71" s="212"/>
      <c r="O71" s="212"/>
      <c r="P71" s="212"/>
      <c r="Q71" s="212"/>
      <c r="R71" s="212"/>
      <c r="S71" s="212"/>
      <c r="T71" s="212"/>
      <c r="U71" s="212"/>
      <c r="V71" s="212"/>
      <c r="W71" s="212"/>
      <c r="X71" s="212"/>
      <c r="Y71" s="212"/>
      <c r="Z71" s="212"/>
      <c r="AA71" s="212"/>
      <c r="AH71" s="207"/>
      <c r="AI71" s="207"/>
      <c r="AJ71" s="207"/>
      <c r="AK71" s="207"/>
      <c r="AL71" s="207"/>
      <c r="AM71" s="207"/>
      <c r="AN71" s="207"/>
      <c r="AO71" s="207"/>
      <c r="AT71" s="207"/>
      <c r="AV71" s="207"/>
    </row>
    <row r="72" spans="1:48">
      <c r="A72" s="213"/>
      <c r="B72" s="212"/>
      <c r="C72" s="212"/>
      <c r="D72" s="212"/>
      <c r="E72" s="212"/>
      <c r="F72" s="212"/>
      <c r="G72" s="212"/>
      <c r="H72" s="212"/>
      <c r="I72" s="212"/>
      <c r="J72" s="212"/>
      <c r="K72" s="212"/>
      <c r="L72" s="212"/>
      <c r="M72" s="212"/>
      <c r="N72" s="212"/>
      <c r="O72" s="212"/>
      <c r="P72" s="212"/>
      <c r="Q72" s="212"/>
      <c r="R72" s="212"/>
      <c r="S72" s="212"/>
      <c r="T72" s="212"/>
      <c r="U72" s="212"/>
      <c r="V72" s="212"/>
      <c r="W72" s="212"/>
      <c r="X72" s="212"/>
      <c r="Y72" s="212"/>
      <c r="Z72" s="212"/>
      <c r="AA72" s="212"/>
      <c r="AH72" s="207"/>
      <c r="AI72" s="207"/>
      <c r="AJ72" s="207"/>
      <c r="AK72" s="207"/>
      <c r="AL72" s="207"/>
      <c r="AM72" s="207"/>
      <c r="AN72" s="207"/>
      <c r="AO72" s="207"/>
      <c r="AT72" s="207"/>
      <c r="AV72" s="207"/>
    </row>
    <row r="73" spans="1:48">
      <c r="A73" s="213"/>
      <c r="B73" s="212"/>
      <c r="C73" s="212"/>
      <c r="D73" s="212"/>
      <c r="E73" s="212"/>
      <c r="F73" s="212"/>
      <c r="G73" s="212"/>
      <c r="H73" s="212"/>
      <c r="I73" s="212"/>
      <c r="J73" s="212"/>
      <c r="K73" s="212"/>
      <c r="L73" s="212"/>
      <c r="M73" s="212"/>
      <c r="N73" s="212"/>
      <c r="O73" s="212"/>
      <c r="P73" s="212"/>
      <c r="Q73" s="212"/>
      <c r="R73" s="212"/>
      <c r="S73" s="212"/>
      <c r="T73" s="212"/>
      <c r="U73" s="212"/>
      <c r="V73" s="212"/>
      <c r="W73" s="212"/>
      <c r="X73" s="212"/>
      <c r="Y73" s="212"/>
      <c r="Z73" s="212"/>
      <c r="AA73" s="212"/>
      <c r="AH73" s="207"/>
      <c r="AI73" s="207"/>
      <c r="AJ73" s="207"/>
      <c r="AK73" s="207"/>
      <c r="AL73" s="207"/>
      <c r="AM73" s="207"/>
      <c r="AN73" s="207"/>
      <c r="AO73" s="207"/>
      <c r="AT73" s="207"/>
      <c r="AV73" s="207"/>
    </row>
    <row r="74" spans="1:48">
      <c r="A74" s="213"/>
      <c r="B74" s="212"/>
      <c r="C74" s="212"/>
      <c r="D74" s="212"/>
      <c r="E74" s="212"/>
      <c r="F74" s="212"/>
      <c r="G74" s="212"/>
      <c r="H74" s="212"/>
      <c r="I74" s="212"/>
      <c r="J74" s="212"/>
      <c r="K74" s="212"/>
      <c r="L74" s="212"/>
      <c r="M74" s="212"/>
      <c r="N74" s="212"/>
      <c r="O74" s="212"/>
      <c r="P74" s="212"/>
      <c r="Q74" s="212"/>
      <c r="R74" s="212"/>
      <c r="S74" s="212"/>
      <c r="T74" s="212"/>
      <c r="U74" s="212"/>
      <c r="V74" s="212"/>
      <c r="W74" s="212"/>
      <c r="X74" s="212"/>
      <c r="Y74" s="212"/>
      <c r="Z74" s="212"/>
      <c r="AA74" s="212"/>
      <c r="AH74" s="207"/>
      <c r="AI74" s="207"/>
      <c r="AJ74" s="207"/>
      <c r="AK74" s="207"/>
      <c r="AL74" s="207"/>
      <c r="AM74" s="207"/>
      <c r="AN74" s="207"/>
      <c r="AO74" s="207"/>
      <c r="AT74" s="207"/>
      <c r="AV74" s="207"/>
    </row>
    <row r="75" spans="1:48">
      <c r="A75" s="213"/>
      <c r="B75" s="212"/>
      <c r="C75" s="212"/>
      <c r="D75" s="212"/>
      <c r="E75" s="212"/>
      <c r="F75" s="212"/>
      <c r="G75" s="212"/>
      <c r="H75" s="212"/>
      <c r="I75" s="212"/>
      <c r="J75" s="212"/>
      <c r="K75" s="212"/>
      <c r="L75" s="212"/>
      <c r="M75" s="212"/>
      <c r="N75" s="212"/>
      <c r="O75" s="212"/>
      <c r="P75" s="212"/>
      <c r="Q75" s="212"/>
      <c r="R75" s="212"/>
      <c r="S75" s="212"/>
      <c r="T75" s="212"/>
      <c r="U75" s="212"/>
      <c r="V75" s="212"/>
      <c r="W75" s="212"/>
      <c r="X75" s="212"/>
      <c r="Y75" s="212"/>
      <c r="Z75" s="212"/>
      <c r="AA75" s="212"/>
      <c r="AH75" s="207"/>
      <c r="AI75" s="207"/>
      <c r="AJ75" s="207"/>
      <c r="AK75" s="207"/>
      <c r="AL75" s="207"/>
      <c r="AM75" s="207"/>
      <c r="AN75" s="207"/>
      <c r="AO75" s="207"/>
      <c r="AT75" s="207"/>
      <c r="AV75" s="207"/>
    </row>
    <row r="76" spans="1:48">
      <c r="A76" s="212"/>
      <c r="B76" s="212"/>
      <c r="C76" s="212"/>
      <c r="D76" s="212"/>
      <c r="E76" s="212"/>
      <c r="F76" s="212"/>
      <c r="G76" s="212"/>
      <c r="H76" s="212"/>
      <c r="I76" s="212"/>
      <c r="J76" s="212"/>
      <c r="K76" s="212"/>
      <c r="L76" s="212"/>
      <c r="M76" s="212"/>
      <c r="N76" s="212"/>
      <c r="O76" s="212"/>
      <c r="P76" s="212"/>
      <c r="Q76" s="212"/>
      <c r="R76" s="212"/>
      <c r="S76" s="212"/>
      <c r="T76" s="212"/>
      <c r="U76" s="212"/>
      <c r="V76" s="212"/>
      <c r="W76" s="212"/>
      <c r="X76" s="213"/>
      <c r="Y76" s="212"/>
      <c r="Z76" s="212"/>
      <c r="AA76" s="212"/>
    </row>
    <row r="77" spans="1:48">
      <c r="A77" s="207"/>
      <c r="C77"/>
      <c r="X77"/>
      <c r="AH77" s="207"/>
      <c r="AI77" s="207"/>
      <c r="AJ77" s="207"/>
      <c r="AK77" s="207"/>
      <c r="AL77" s="207"/>
      <c r="AM77" s="207"/>
      <c r="AN77" s="207"/>
      <c r="AO77" s="207"/>
      <c r="AT77" s="207"/>
      <c r="AV77" s="207"/>
    </row>
    <row r="78" spans="1:48">
      <c r="A78" s="207"/>
      <c r="C78"/>
      <c r="X78"/>
      <c r="AH78" s="207"/>
      <c r="AI78" s="207"/>
      <c r="AJ78" s="207"/>
      <c r="AK78" s="207"/>
      <c r="AL78" s="207"/>
      <c r="AM78" s="207"/>
      <c r="AN78" s="207"/>
      <c r="AO78" s="207"/>
      <c r="AT78" s="207"/>
      <c r="AV78" s="207"/>
    </row>
    <row r="79" spans="1:48">
      <c r="A79" s="213"/>
      <c r="B79" s="212"/>
      <c r="C79" s="212"/>
      <c r="D79" s="212"/>
      <c r="E79" s="212"/>
      <c r="F79" s="212"/>
      <c r="G79" s="212"/>
      <c r="H79" s="212"/>
      <c r="I79" s="212"/>
      <c r="J79" s="212"/>
      <c r="K79" s="212"/>
      <c r="L79" s="212"/>
      <c r="M79" s="212"/>
      <c r="N79" s="212"/>
      <c r="O79" s="212"/>
      <c r="P79" s="212"/>
      <c r="Q79" s="212"/>
      <c r="R79" s="212"/>
      <c r="S79" s="212"/>
      <c r="T79" s="212"/>
      <c r="U79" s="212"/>
      <c r="V79" s="212"/>
      <c r="W79" s="212"/>
      <c r="X79" s="212"/>
      <c r="Y79" s="212"/>
      <c r="Z79" s="212"/>
      <c r="AA79" s="212"/>
      <c r="AH79" s="207"/>
      <c r="AI79" s="207"/>
      <c r="AJ79" s="207"/>
      <c r="AK79" s="207"/>
      <c r="AL79" s="207"/>
      <c r="AM79" s="207"/>
      <c r="AN79" s="207"/>
      <c r="AO79" s="207"/>
      <c r="AT79" s="207"/>
      <c r="AV79" s="207"/>
    </row>
    <row r="80" spans="1:48">
      <c r="A80" s="213"/>
      <c r="B80" s="212"/>
      <c r="C80" s="212"/>
      <c r="D80" s="212"/>
      <c r="E80" s="212"/>
      <c r="F80" s="212"/>
      <c r="G80" s="212"/>
      <c r="H80" s="212"/>
      <c r="I80" s="212"/>
      <c r="J80" s="212"/>
      <c r="K80" s="212"/>
      <c r="L80" s="212"/>
      <c r="M80" s="212"/>
      <c r="N80" s="212"/>
      <c r="O80" s="212"/>
      <c r="P80" s="212"/>
      <c r="Q80" s="212"/>
      <c r="R80" s="212"/>
      <c r="S80" s="212"/>
      <c r="T80" s="212"/>
      <c r="U80" s="212"/>
      <c r="V80" s="212"/>
      <c r="W80" s="212"/>
      <c r="X80" s="212"/>
      <c r="Y80" s="212"/>
      <c r="Z80" s="212"/>
      <c r="AA80" s="212"/>
      <c r="AH80" s="207"/>
      <c r="AI80" s="207"/>
      <c r="AJ80" s="207"/>
      <c r="AK80" s="207"/>
      <c r="AL80" s="207"/>
      <c r="AM80" s="207"/>
      <c r="AN80" s="207"/>
      <c r="AO80" s="207"/>
      <c r="AT80" s="207"/>
      <c r="AV80" s="207"/>
    </row>
    <row r="81" spans="1:48">
      <c r="A81" s="213"/>
      <c r="B81" s="212"/>
      <c r="C81" s="212"/>
      <c r="D81" s="212"/>
      <c r="E81" s="212"/>
      <c r="F81" s="212"/>
      <c r="G81" s="212"/>
      <c r="H81" s="212"/>
      <c r="I81" s="212"/>
      <c r="J81" s="212"/>
      <c r="K81" s="212"/>
      <c r="L81" s="212"/>
      <c r="M81" s="212"/>
      <c r="N81" s="212"/>
      <c r="O81" s="212"/>
      <c r="P81" s="212"/>
      <c r="Q81" s="212"/>
      <c r="R81" s="212"/>
      <c r="S81" s="212"/>
      <c r="T81" s="212"/>
      <c r="U81" s="212"/>
      <c r="V81" s="212"/>
      <c r="W81" s="212"/>
      <c r="X81" s="212"/>
      <c r="Y81" s="212"/>
      <c r="Z81" s="212"/>
      <c r="AA81" s="212"/>
      <c r="AH81" s="207"/>
      <c r="AI81" s="207"/>
      <c r="AJ81" s="207"/>
      <c r="AK81" s="207"/>
      <c r="AL81" s="207"/>
      <c r="AM81" s="207"/>
      <c r="AN81" s="207"/>
      <c r="AO81" s="207"/>
      <c r="AT81" s="207"/>
      <c r="AV81" s="207"/>
    </row>
    <row r="82" spans="1:48">
      <c r="A82" s="213"/>
      <c r="B82" s="212"/>
      <c r="C82" s="212"/>
      <c r="D82" s="212"/>
      <c r="E82" s="212"/>
      <c r="F82" s="212"/>
      <c r="G82" s="212"/>
      <c r="H82" s="212"/>
      <c r="I82" s="212"/>
      <c r="J82" s="212"/>
      <c r="K82" s="212"/>
      <c r="L82" s="212"/>
      <c r="M82" s="212"/>
      <c r="N82" s="212"/>
      <c r="O82" s="212"/>
      <c r="P82" s="212"/>
      <c r="Q82" s="212"/>
      <c r="R82" s="212"/>
      <c r="S82" s="212"/>
      <c r="T82" s="212"/>
      <c r="U82" s="212"/>
      <c r="V82" s="212"/>
      <c r="W82" s="212"/>
      <c r="X82" s="212"/>
      <c r="Y82" s="212"/>
      <c r="Z82" s="212"/>
      <c r="AA82" s="212"/>
      <c r="AH82" s="207"/>
      <c r="AI82" s="207"/>
      <c r="AJ82" s="207"/>
      <c r="AK82" s="207"/>
      <c r="AL82" s="207"/>
      <c r="AM82" s="207"/>
      <c r="AN82" s="207"/>
      <c r="AO82" s="207"/>
      <c r="AT82" s="207"/>
      <c r="AV82" s="207"/>
    </row>
    <row r="83" spans="1:48">
      <c r="A83" s="213"/>
      <c r="B83" s="212"/>
      <c r="C83" s="212"/>
      <c r="D83" s="212"/>
      <c r="E83" s="212"/>
      <c r="F83" s="212"/>
      <c r="G83" s="212"/>
      <c r="H83" s="212"/>
      <c r="I83" s="212"/>
      <c r="J83" s="212"/>
      <c r="K83" s="212"/>
      <c r="L83" s="212"/>
      <c r="M83" s="212"/>
      <c r="N83" s="212"/>
      <c r="O83" s="212"/>
      <c r="P83" s="212"/>
      <c r="Q83" s="212"/>
      <c r="R83" s="212"/>
      <c r="S83" s="212"/>
      <c r="T83" s="212"/>
      <c r="U83" s="212"/>
      <c r="V83" s="212"/>
      <c r="W83" s="212"/>
      <c r="X83" s="212"/>
      <c r="Y83" s="212"/>
      <c r="Z83" s="212"/>
      <c r="AA83" s="212"/>
      <c r="AH83" s="207"/>
      <c r="AI83" s="207"/>
      <c r="AJ83" s="207"/>
      <c r="AK83" s="207"/>
      <c r="AL83" s="207"/>
      <c r="AM83" s="207"/>
      <c r="AN83" s="207"/>
      <c r="AO83" s="207"/>
      <c r="AT83" s="207"/>
      <c r="AV83" s="207"/>
    </row>
    <row r="84" spans="1:48">
      <c r="A84" s="213"/>
      <c r="B84" s="212"/>
      <c r="C84" s="212"/>
      <c r="D84" s="212"/>
      <c r="E84" s="212"/>
      <c r="F84" s="212"/>
      <c r="G84" s="212"/>
      <c r="H84" s="212"/>
      <c r="I84" s="212"/>
      <c r="J84" s="212"/>
      <c r="K84" s="212"/>
      <c r="L84" s="212"/>
      <c r="M84" s="212"/>
      <c r="N84" s="212"/>
      <c r="O84" s="212"/>
      <c r="P84" s="212"/>
      <c r="Q84" s="212"/>
      <c r="R84" s="212"/>
      <c r="S84" s="212"/>
      <c r="T84" s="212"/>
      <c r="U84" s="212"/>
      <c r="V84" s="212"/>
      <c r="W84" s="212"/>
      <c r="X84" s="212"/>
      <c r="Y84" s="212"/>
      <c r="Z84" s="212"/>
      <c r="AA84" s="212"/>
      <c r="AH84" s="207"/>
      <c r="AI84" s="207"/>
      <c r="AJ84" s="207"/>
      <c r="AK84" s="207"/>
      <c r="AL84" s="207"/>
      <c r="AM84" s="207"/>
      <c r="AN84" s="207"/>
      <c r="AO84" s="207"/>
      <c r="AT84" s="207"/>
      <c r="AV84" s="207"/>
    </row>
    <row r="85" spans="1:48">
      <c r="A85" s="213"/>
      <c r="B85" s="212"/>
      <c r="C85" s="212"/>
      <c r="D85" s="212"/>
      <c r="E85" s="212"/>
      <c r="F85" s="212"/>
      <c r="G85" s="212"/>
      <c r="H85" s="212"/>
      <c r="I85" s="212"/>
      <c r="J85" s="212"/>
      <c r="K85" s="212"/>
      <c r="L85" s="212"/>
      <c r="M85" s="212"/>
      <c r="N85" s="212"/>
      <c r="O85" s="212"/>
      <c r="P85" s="212"/>
      <c r="Q85" s="212"/>
      <c r="R85" s="212"/>
      <c r="S85" s="212"/>
      <c r="T85" s="212"/>
      <c r="U85" s="212"/>
      <c r="V85" s="212"/>
      <c r="W85" s="212"/>
      <c r="X85" s="212"/>
      <c r="Y85" s="212"/>
      <c r="Z85" s="212"/>
      <c r="AA85" s="212"/>
      <c r="AH85" s="207"/>
      <c r="AI85" s="207"/>
      <c r="AJ85" s="207"/>
      <c r="AK85" s="207"/>
      <c r="AL85" s="207"/>
      <c r="AM85" s="207"/>
      <c r="AN85" s="207"/>
      <c r="AO85" s="207"/>
      <c r="AT85" s="207"/>
      <c r="AV85" s="207"/>
    </row>
    <row r="86" spans="1:48">
      <c r="A86" s="213"/>
      <c r="B86" s="212"/>
      <c r="C86" s="212"/>
      <c r="D86" s="212"/>
      <c r="E86" s="212"/>
      <c r="F86" s="212"/>
      <c r="G86" s="212"/>
      <c r="H86" s="212"/>
      <c r="I86" s="212"/>
      <c r="J86" s="212"/>
      <c r="K86" s="212"/>
      <c r="L86" s="212"/>
      <c r="M86" s="212"/>
      <c r="N86" s="212"/>
      <c r="O86" s="212"/>
      <c r="P86" s="212"/>
      <c r="Q86" s="212"/>
      <c r="R86" s="212"/>
      <c r="S86" s="212"/>
      <c r="T86" s="212"/>
      <c r="U86" s="212"/>
      <c r="V86" s="212"/>
      <c r="W86" s="212"/>
      <c r="X86" s="212"/>
      <c r="Y86" s="212"/>
      <c r="Z86" s="212"/>
      <c r="AA86" s="212"/>
      <c r="AH86" s="207"/>
      <c r="AI86" s="207"/>
      <c r="AJ86" s="207"/>
      <c r="AK86" s="207"/>
      <c r="AL86" s="207"/>
      <c r="AM86" s="207"/>
      <c r="AN86" s="207"/>
      <c r="AO86" s="207"/>
      <c r="AT86" s="207"/>
      <c r="AV86" s="207"/>
    </row>
    <row r="87" spans="1:48">
      <c r="A87" s="213"/>
      <c r="B87" s="212"/>
      <c r="C87" s="212"/>
      <c r="D87" s="212"/>
      <c r="E87" s="212"/>
      <c r="F87" s="212"/>
      <c r="G87" s="212"/>
      <c r="H87" s="212"/>
      <c r="I87" s="212"/>
      <c r="J87" s="212"/>
      <c r="K87" s="212"/>
      <c r="L87" s="212"/>
      <c r="M87" s="212"/>
      <c r="N87" s="212"/>
      <c r="O87" s="212"/>
      <c r="P87" s="212"/>
      <c r="Q87" s="212"/>
      <c r="R87" s="212"/>
      <c r="S87" s="212"/>
      <c r="T87" s="212"/>
      <c r="U87" s="212"/>
      <c r="V87" s="212"/>
      <c r="W87" s="212"/>
      <c r="X87" s="212"/>
      <c r="Y87" s="212"/>
      <c r="Z87" s="212"/>
      <c r="AA87" s="212"/>
      <c r="AH87" s="207"/>
      <c r="AI87" s="207"/>
      <c r="AJ87" s="207"/>
      <c r="AK87" s="207"/>
      <c r="AL87" s="207"/>
      <c r="AM87" s="207"/>
      <c r="AN87" s="207"/>
      <c r="AO87" s="207"/>
      <c r="AT87" s="207"/>
      <c r="AV87" s="207"/>
    </row>
    <row r="88" spans="1:48">
      <c r="A88" s="213"/>
      <c r="B88" s="212"/>
      <c r="C88" s="212"/>
      <c r="D88" s="212"/>
      <c r="E88" s="212"/>
      <c r="F88" s="212"/>
      <c r="G88" s="212"/>
      <c r="H88" s="212"/>
      <c r="I88" s="212"/>
      <c r="J88" s="212"/>
      <c r="K88" s="212"/>
      <c r="L88" s="212"/>
      <c r="M88" s="212"/>
      <c r="N88" s="212"/>
      <c r="O88" s="212"/>
      <c r="P88" s="212"/>
      <c r="Q88" s="212"/>
      <c r="R88" s="212"/>
      <c r="S88" s="212"/>
      <c r="T88" s="212"/>
      <c r="U88" s="212"/>
      <c r="V88" s="212"/>
      <c r="W88" s="212"/>
      <c r="X88" s="212"/>
      <c r="Y88" s="212"/>
      <c r="Z88" s="212"/>
      <c r="AA88" s="212"/>
      <c r="AH88" s="207"/>
      <c r="AI88" s="207"/>
      <c r="AJ88" s="207"/>
      <c r="AK88" s="207"/>
      <c r="AL88" s="207"/>
      <c r="AM88" s="207"/>
      <c r="AN88" s="207"/>
      <c r="AO88" s="207"/>
      <c r="AT88" s="207"/>
      <c r="AV88" s="207"/>
    </row>
    <row r="89" spans="1:48">
      <c r="A89" s="213"/>
      <c r="B89" s="212"/>
      <c r="C89" s="212"/>
      <c r="D89" s="212"/>
      <c r="E89" s="212"/>
      <c r="F89" s="212"/>
      <c r="G89" s="212"/>
      <c r="H89" s="212"/>
      <c r="I89" s="212"/>
      <c r="J89" s="212"/>
      <c r="K89" s="212"/>
      <c r="L89" s="216"/>
      <c r="M89" s="212"/>
      <c r="N89" s="212"/>
      <c r="O89" s="212"/>
      <c r="P89" s="212"/>
      <c r="Q89" s="212"/>
      <c r="R89" s="212"/>
      <c r="S89" s="212"/>
      <c r="T89" s="212"/>
      <c r="U89" s="212"/>
      <c r="V89" s="212"/>
      <c r="W89" s="212"/>
      <c r="X89" s="212"/>
      <c r="Y89" s="212"/>
      <c r="Z89" s="212"/>
      <c r="AA89" s="212"/>
      <c r="AH89" s="207"/>
      <c r="AI89" s="207"/>
      <c r="AJ89" s="207"/>
      <c r="AK89" s="207"/>
      <c r="AL89" s="207"/>
      <c r="AM89" s="207"/>
      <c r="AN89" s="207"/>
      <c r="AO89" s="207"/>
      <c r="AT89" s="207"/>
      <c r="AV89" s="207"/>
    </row>
    <row r="90" spans="1:48">
      <c r="A90" s="213"/>
      <c r="B90" s="212"/>
      <c r="C90" s="212"/>
      <c r="D90" s="212"/>
      <c r="E90" s="212"/>
      <c r="F90" s="212"/>
      <c r="G90" s="212"/>
      <c r="H90" s="212"/>
      <c r="I90" s="212"/>
      <c r="J90" s="212"/>
      <c r="K90" s="212"/>
      <c r="L90" s="216"/>
      <c r="M90" s="212"/>
      <c r="N90" s="212"/>
      <c r="O90" s="212"/>
      <c r="P90" s="212"/>
      <c r="Q90" s="212"/>
      <c r="R90" s="212"/>
      <c r="S90" s="212"/>
      <c r="T90" s="212"/>
      <c r="U90" s="212"/>
      <c r="V90" s="212"/>
      <c r="W90" s="212"/>
      <c r="X90" s="212"/>
      <c r="Y90" s="212"/>
      <c r="Z90" s="212"/>
      <c r="AA90" s="212"/>
      <c r="AH90" s="207"/>
      <c r="AI90" s="207"/>
      <c r="AJ90" s="207"/>
      <c r="AK90" s="207"/>
      <c r="AL90" s="207"/>
      <c r="AM90" s="207"/>
      <c r="AN90" s="207"/>
      <c r="AO90" s="207"/>
      <c r="AT90" s="207"/>
      <c r="AV90" s="207"/>
    </row>
    <row r="91" spans="1:48">
      <c r="A91" s="213"/>
      <c r="B91" s="212"/>
      <c r="C91" s="212"/>
      <c r="D91" s="212"/>
      <c r="E91" s="212"/>
      <c r="F91" s="212"/>
      <c r="G91" s="212"/>
      <c r="H91" s="212"/>
      <c r="I91" s="212"/>
      <c r="J91" s="212"/>
      <c r="K91" s="212"/>
      <c r="L91" s="212"/>
      <c r="M91" s="212"/>
      <c r="N91" s="212"/>
      <c r="O91" s="212"/>
      <c r="P91" s="212"/>
      <c r="Q91" s="212"/>
      <c r="R91" s="212"/>
      <c r="S91" s="212"/>
      <c r="T91" s="212"/>
      <c r="U91" s="212"/>
      <c r="V91" s="212"/>
      <c r="W91" s="212"/>
      <c r="X91" s="212"/>
      <c r="Y91" s="212"/>
      <c r="Z91" s="212"/>
      <c r="AA91" s="212"/>
      <c r="AH91" s="207"/>
      <c r="AI91" s="207"/>
      <c r="AJ91" s="207"/>
      <c r="AK91" s="207"/>
      <c r="AL91" s="207"/>
      <c r="AM91" s="207"/>
      <c r="AN91" s="207"/>
      <c r="AO91" s="207"/>
      <c r="AT91" s="207"/>
      <c r="AV91" s="207"/>
    </row>
    <row r="92" spans="1:48">
      <c r="A92" s="213"/>
      <c r="B92" s="212"/>
      <c r="C92" s="212"/>
      <c r="D92" s="212"/>
      <c r="E92" s="212"/>
      <c r="F92" s="212"/>
      <c r="G92" s="212"/>
      <c r="H92" s="212"/>
      <c r="I92" s="212"/>
      <c r="J92" s="212"/>
      <c r="K92" s="212"/>
      <c r="L92" s="217"/>
      <c r="M92" s="212"/>
      <c r="N92" s="212"/>
      <c r="O92" s="212"/>
      <c r="P92" s="212"/>
      <c r="Q92" s="212"/>
      <c r="R92" s="212"/>
      <c r="S92" s="212"/>
      <c r="T92" s="212"/>
      <c r="U92" s="212"/>
      <c r="V92" s="212"/>
      <c r="W92" s="212"/>
      <c r="X92" s="212"/>
      <c r="Y92" s="212"/>
      <c r="Z92" s="212"/>
      <c r="AA92" s="212"/>
      <c r="AH92" s="207"/>
      <c r="AI92" s="207"/>
      <c r="AJ92" s="207"/>
      <c r="AK92" s="207"/>
      <c r="AL92" s="207"/>
      <c r="AM92" s="207"/>
      <c r="AN92" s="207"/>
      <c r="AO92" s="207"/>
      <c r="AT92" s="207"/>
      <c r="AV92" s="207"/>
    </row>
    <row r="93" spans="1:48">
      <c r="A93" s="213"/>
      <c r="B93" s="212"/>
      <c r="C93" s="212"/>
      <c r="D93" s="212"/>
      <c r="E93" s="212"/>
      <c r="F93" s="212"/>
      <c r="G93" s="212"/>
      <c r="H93" s="212"/>
      <c r="I93" s="212"/>
      <c r="J93" s="212"/>
      <c r="K93" s="212"/>
      <c r="L93" s="212"/>
      <c r="M93" s="212"/>
      <c r="N93" s="212"/>
      <c r="O93" s="212"/>
      <c r="P93" s="212"/>
      <c r="Q93" s="212"/>
      <c r="R93" s="212"/>
      <c r="S93" s="212"/>
      <c r="T93" s="212"/>
      <c r="U93" s="212"/>
      <c r="V93" s="212"/>
      <c r="W93" s="212"/>
      <c r="X93" s="212"/>
      <c r="Y93" s="212"/>
      <c r="Z93" s="212"/>
      <c r="AA93" s="212"/>
      <c r="AH93" s="207"/>
      <c r="AI93" s="207"/>
      <c r="AJ93" s="207"/>
      <c r="AK93" s="207"/>
      <c r="AL93" s="207"/>
      <c r="AM93" s="207"/>
      <c r="AN93" s="207"/>
      <c r="AO93" s="207"/>
      <c r="AT93" s="207"/>
      <c r="AV93" s="207"/>
    </row>
    <row r="94" spans="1:48">
      <c r="A94" s="213"/>
      <c r="B94" s="212"/>
      <c r="C94" s="212"/>
      <c r="D94" s="212"/>
      <c r="E94" s="212"/>
      <c r="F94" s="212"/>
      <c r="G94" s="212"/>
      <c r="H94" s="212"/>
      <c r="I94" s="212"/>
      <c r="J94" s="212"/>
      <c r="K94" s="212"/>
      <c r="L94" s="212"/>
      <c r="M94" s="212"/>
      <c r="N94" s="212"/>
      <c r="O94" s="212"/>
      <c r="P94" s="212"/>
      <c r="Q94" s="212"/>
      <c r="R94" s="212"/>
      <c r="S94" s="212"/>
      <c r="T94" s="212"/>
      <c r="U94" s="212"/>
      <c r="V94" s="212"/>
      <c r="W94" s="212"/>
      <c r="X94" s="212"/>
      <c r="Y94" s="212"/>
      <c r="Z94" s="212"/>
      <c r="AA94" s="212"/>
      <c r="AH94" s="207"/>
      <c r="AI94" s="207"/>
      <c r="AJ94" s="207"/>
      <c r="AK94" s="207"/>
      <c r="AL94" s="207"/>
      <c r="AM94" s="207"/>
      <c r="AN94" s="207"/>
      <c r="AO94" s="207"/>
      <c r="AT94" s="207"/>
      <c r="AV94" s="207"/>
    </row>
    <row r="95" spans="1:48">
      <c r="A95" s="213"/>
      <c r="B95" s="212"/>
      <c r="C95" s="212"/>
      <c r="D95" s="212"/>
      <c r="E95" s="212"/>
      <c r="F95" s="212"/>
      <c r="G95" s="212"/>
      <c r="H95" s="212"/>
      <c r="I95" s="212"/>
      <c r="J95" s="212"/>
      <c r="K95" s="212"/>
      <c r="L95" s="212"/>
      <c r="M95" s="212"/>
      <c r="N95" s="212"/>
      <c r="O95" s="212"/>
      <c r="P95" s="212"/>
      <c r="Q95" s="212"/>
      <c r="R95" s="212"/>
      <c r="S95" s="212"/>
      <c r="T95" s="212"/>
      <c r="U95" s="212"/>
      <c r="V95" s="212"/>
      <c r="W95" s="212"/>
      <c r="X95" s="212"/>
      <c r="Y95" s="212"/>
      <c r="Z95" s="212"/>
      <c r="AA95" s="212"/>
      <c r="AH95" s="207"/>
      <c r="AI95" s="207"/>
      <c r="AJ95" s="207"/>
      <c r="AK95" s="207"/>
      <c r="AL95" s="207"/>
      <c r="AM95" s="207"/>
      <c r="AN95" s="207"/>
      <c r="AO95" s="207"/>
      <c r="AT95" s="207"/>
      <c r="AV95" s="207"/>
    </row>
    <row r="96" spans="1:48">
      <c r="A96" s="213"/>
      <c r="B96" s="212"/>
      <c r="C96" s="212"/>
      <c r="D96" s="212"/>
      <c r="E96" s="212"/>
      <c r="F96" s="212"/>
      <c r="G96" s="212"/>
      <c r="H96" s="212"/>
      <c r="I96" s="212"/>
      <c r="J96" s="212"/>
      <c r="K96" s="212"/>
      <c r="L96" s="212"/>
      <c r="M96" s="212"/>
      <c r="N96" s="212"/>
      <c r="O96" s="212"/>
      <c r="P96" s="212"/>
      <c r="Q96" s="212"/>
      <c r="R96" s="212"/>
      <c r="S96" s="212"/>
      <c r="T96" s="212"/>
      <c r="U96" s="212"/>
      <c r="V96" s="212"/>
      <c r="W96" s="212"/>
      <c r="X96" s="212"/>
      <c r="Y96" s="212"/>
      <c r="Z96" s="212"/>
      <c r="AA96" s="212"/>
      <c r="AH96" s="207"/>
      <c r="AI96" s="207"/>
      <c r="AJ96" s="207"/>
      <c r="AK96" s="207"/>
      <c r="AL96" s="207"/>
      <c r="AM96" s="207"/>
      <c r="AN96" s="207"/>
      <c r="AO96" s="207"/>
      <c r="AT96" s="207"/>
      <c r="AV96" s="207"/>
    </row>
    <row r="97" spans="1:48">
      <c r="A97" s="213"/>
      <c r="B97" s="212"/>
      <c r="C97" s="212"/>
      <c r="D97" s="212"/>
      <c r="E97" s="212"/>
      <c r="F97" s="212"/>
      <c r="G97" s="212"/>
      <c r="H97" s="212"/>
      <c r="I97" s="212"/>
      <c r="J97" s="212"/>
      <c r="K97" s="212"/>
      <c r="L97" s="212"/>
      <c r="M97" s="212"/>
      <c r="N97" s="212"/>
      <c r="O97" s="212"/>
      <c r="P97" s="212"/>
      <c r="Q97" s="212"/>
      <c r="R97" s="212"/>
      <c r="S97" s="212"/>
      <c r="T97" s="212"/>
      <c r="U97" s="212"/>
      <c r="V97" s="212"/>
      <c r="W97" s="212"/>
      <c r="X97" s="212"/>
      <c r="Y97" s="212"/>
      <c r="Z97" s="212"/>
      <c r="AA97" s="212"/>
      <c r="AH97" s="207"/>
      <c r="AI97" s="207"/>
      <c r="AJ97" s="207"/>
      <c r="AK97" s="207"/>
      <c r="AL97" s="207"/>
      <c r="AM97" s="207"/>
      <c r="AN97" s="207"/>
      <c r="AO97" s="207"/>
      <c r="AT97" s="207"/>
      <c r="AV97" s="207"/>
    </row>
    <row r="98" spans="1:48">
      <c r="A98" s="213"/>
      <c r="B98" s="212"/>
      <c r="C98" s="212"/>
      <c r="D98" s="212"/>
      <c r="E98" s="212"/>
      <c r="F98" s="212"/>
      <c r="G98" s="212"/>
      <c r="H98" s="212"/>
      <c r="I98" s="212"/>
      <c r="J98" s="212"/>
      <c r="K98" s="212"/>
      <c r="L98" s="212"/>
      <c r="M98" s="212"/>
      <c r="N98" s="212"/>
      <c r="O98" s="212"/>
      <c r="P98" s="212"/>
      <c r="Q98" s="212"/>
      <c r="R98" s="212"/>
      <c r="S98" s="212"/>
      <c r="T98" s="212"/>
      <c r="U98" s="212"/>
      <c r="V98" s="212"/>
      <c r="W98" s="212"/>
      <c r="X98" s="212"/>
      <c r="Y98" s="212"/>
      <c r="Z98" s="212"/>
      <c r="AA98" s="212"/>
      <c r="AH98" s="207"/>
      <c r="AI98" s="207"/>
      <c r="AJ98" s="207"/>
      <c r="AK98" s="207"/>
      <c r="AL98" s="207"/>
      <c r="AM98" s="207"/>
      <c r="AN98" s="207"/>
      <c r="AO98" s="207"/>
      <c r="AT98" s="207"/>
      <c r="AV98" s="207"/>
    </row>
    <row r="99" spans="1:48">
      <c r="A99" s="213"/>
      <c r="B99" s="212"/>
      <c r="C99" s="212"/>
      <c r="D99" s="212"/>
      <c r="E99" s="212"/>
      <c r="F99" s="212"/>
      <c r="G99" s="212"/>
      <c r="H99" s="212"/>
      <c r="I99" s="212"/>
      <c r="J99" s="212"/>
      <c r="K99" s="212"/>
      <c r="L99" s="212"/>
      <c r="M99" s="212"/>
      <c r="N99" s="212"/>
      <c r="O99" s="212"/>
      <c r="P99" s="212"/>
      <c r="Q99" s="212"/>
      <c r="R99" s="212"/>
      <c r="S99" s="212"/>
      <c r="T99" s="212"/>
      <c r="U99" s="212"/>
      <c r="V99" s="212"/>
      <c r="W99" s="212"/>
      <c r="X99" s="212"/>
      <c r="Y99" s="212"/>
      <c r="Z99" s="212"/>
      <c r="AA99" s="212"/>
      <c r="AH99" s="207"/>
      <c r="AI99" s="207"/>
      <c r="AJ99" s="207"/>
      <c r="AK99" s="207"/>
      <c r="AL99" s="207"/>
      <c r="AM99" s="207"/>
      <c r="AN99" s="207"/>
      <c r="AO99" s="207"/>
      <c r="AT99" s="207"/>
      <c r="AV99" s="207"/>
    </row>
    <row r="100" spans="1:48">
      <c r="A100" s="213"/>
      <c r="B100" s="212"/>
      <c r="C100" s="212"/>
      <c r="D100" s="212"/>
      <c r="E100" s="212"/>
      <c r="F100" s="212"/>
      <c r="G100" s="212"/>
      <c r="H100" s="212"/>
      <c r="I100" s="212"/>
      <c r="J100" s="212"/>
      <c r="K100" s="212"/>
      <c r="L100" s="212"/>
      <c r="M100" s="212"/>
      <c r="N100" s="212"/>
      <c r="O100" s="212"/>
      <c r="P100" s="212"/>
      <c r="Q100" s="212"/>
      <c r="R100" s="212"/>
      <c r="S100" s="212"/>
      <c r="T100" s="212"/>
      <c r="U100" s="212"/>
      <c r="V100" s="212"/>
      <c r="W100" s="212"/>
      <c r="X100" s="212"/>
      <c r="Y100" s="212"/>
      <c r="Z100" s="212"/>
      <c r="AA100" s="212"/>
      <c r="AH100" s="207"/>
      <c r="AI100" s="207"/>
      <c r="AJ100" s="207"/>
      <c r="AK100" s="207"/>
      <c r="AL100" s="207"/>
      <c r="AM100" s="207"/>
      <c r="AN100" s="207"/>
      <c r="AO100" s="207"/>
      <c r="AT100" s="207"/>
      <c r="AV100" s="207"/>
    </row>
    <row r="101" spans="1:48">
      <c r="A101" s="213"/>
      <c r="B101" s="212"/>
      <c r="C101" s="212"/>
      <c r="D101" s="212"/>
      <c r="E101" s="212"/>
      <c r="F101" s="212"/>
      <c r="G101" s="212"/>
      <c r="H101" s="212"/>
      <c r="I101" s="212"/>
      <c r="J101" s="212"/>
      <c r="K101" s="212"/>
      <c r="L101" s="212"/>
      <c r="M101" s="212"/>
      <c r="N101" s="212"/>
      <c r="O101" s="212"/>
      <c r="P101" s="212"/>
      <c r="Q101" s="212"/>
      <c r="R101" s="212"/>
      <c r="S101" s="212"/>
      <c r="T101" s="212"/>
      <c r="U101" s="212"/>
      <c r="V101" s="212"/>
      <c r="W101" s="212"/>
      <c r="X101" s="212"/>
      <c r="Y101" s="212"/>
      <c r="Z101" s="212"/>
      <c r="AA101" s="212"/>
      <c r="AH101" s="207"/>
      <c r="AI101" s="207"/>
      <c r="AJ101" s="207"/>
      <c r="AK101" s="207"/>
      <c r="AL101" s="207"/>
      <c r="AM101" s="207"/>
      <c r="AN101" s="207"/>
      <c r="AO101" s="207"/>
      <c r="AT101" s="207"/>
      <c r="AV101" s="207"/>
    </row>
    <row r="102" spans="1:48">
      <c r="A102" s="213"/>
      <c r="B102" s="212"/>
      <c r="C102" s="212"/>
      <c r="D102" s="212"/>
      <c r="E102" s="212"/>
      <c r="F102" s="212"/>
      <c r="G102" s="212"/>
      <c r="H102" s="212"/>
      <c r="I102" s="212"/>
      <c r="J102" s="212"/>
      <c r="K102" s="212"/>
      <c r="L102" s="212"/>
      <c r="M102" s="212"/>
      <c r="N102" s="212"/>
      <c r="O102" s="212"/>
      <c r="P102" s="212"/>
      <c r="Q102" s="212"/>
      <c r="R102" s="212"/>
      <c r="S102" s="212"/>
      <c r="T102" s="212"/>
      <c r="U102" s="212"/>
      <c r="V102" s="212"/>
      <c r="W102" s="212"/>
      <c r="X102" s="212"/>
      <c r="Y102" s="212"/>
      <c r="Z102" s="212"/>
      <c r="AA102" s="212"/>
      <c r="AH102" s="207"/>
      <c r="AI102" s="207"/>
      <c r="AJ102" s="207"/>
      <c r="AK102" s="207"/>
      <c r="AL102" s="207"/>
      <c r="AM102" s="207"/>
      <c r="AN102" s="207"/>
      <c r="AO102" s="207"/>
      <c r="AT102" s="207"/>
      <c r="AV102" s="207"/>
    </row>
    <row r="103" spans="1:48">
      <c r="A103" s="213"/>
      <c r="B103" s="212"/>
      <c r="C103" s="212"/>
      <c r="D103" s="212"/>
      <c r="E103" s="212"/>
      <c r="F103" s="212"/>
      <c r="G103" s="212"/>
      <c r="H103" s="212"/>
      <c r="I103" s="212"/>
      <c r="J103" s="212"/>
      <c r="K103" s="212"/>
      <c r="L103" s="212"/>
      <c r="M103" s="212"/>
      <c r="N103" s="212"/>
      <c r="O103" s="212"/>
      <c r="P103" s="212"/>
      <c r="Q103" s="212"/>
      <c r="R103" s="212"/>
      <c r="S103" s="212"/>
      <c r="T103" s="212"/>
      <c r="U103" s="212"/>
      <c r="V103" s="212"/>
      <c r="W103" s="212"/>
      <c r="X103" s="212"/>
      <c r="Y103" s="212"/>
      <c r="Z103" s="212"/>
      <c r="AA103" s="212"/>
      <c r="AH103" s="207"/>
      <c r="AI103" s="207"/>
      <c r="AJ103" s="207"/>
      <c r="AK103" s="207"/>
      <c r="AL103" s="207"/>
      <c r="AM103" s="207"/>
      <c r="AN103" s="207"/>
      <c r="AO103" s="207"/>
      <c r="AT103" s="207"/>
      <c r="AV103" s="207"/>
    </row>
    <row r="104" spans="1:48">
      <c r="A104" s="213"/>
      <c r="B104" s="212"/>
      <c r="C104" s="212"/>
      <c r="D104" s="212"/>
      <c r="E104" s="212"/>
      <c r="F104" s="212"/>
      <c r="G104" s="212"/>
      <c r="H104" s="212"/>
      <c r="I104" s="212"/>
      <c r="J104" s="212"/>
      <c r="K104" s="212"/>
      <c r="L104" s="212"/>
      <c r="M104" s="212"/>
      <c r="N104" s="212"/>
      <c r="O104" s="212"/>
      <c r="P104" s="212"/>
      <c r="Q104" s="212"/>
      <c r="R104" s="212"/>
      <c r="S104" s="212"/>
      <c r="T104" s="212"/>
      <c r="U104" s="212"/>
      <c r="V104" s="212"/>
      <c r="W104" s="212"/>
      <c r="X104" s="212"/>
      <c r="Y104" s="212"/>
      <c r="Z104" s="212"/>
      <c r="AA104" s="212"/>
      <c r="AH104" s="207"/>
      <c r="AI104" s="207"/>
      <c r="AJ104" s="207"/>
      <c r="AK104" s="207"/>
      <c r="AL104" s="207"/>
      <c r="AM104" s="207"/>
      <c r="AN104" s="207"/>
      <c r="AO104" s="207"/>
      <c r="AT104" s="207"/>
      <c r="AV104" s="207"/>
    </row>
    <row r="105" spans="1:48">
      <c r="A105" s="213"/>
      <c r="B105" s="212"/>
      <c r="C105" s="212"/>
      <c r="D105" s="212"/>
      <c r="E105" s="212"/>
      <c r="F105" s="212"/>
      <c r="G105" s="212"/>
      <c r="H105" s="212"/>
      <c r="I105" s="212"/>
      <c r="J105" s="212"/>
      <c r="K105" s="212"/>
      <c r="L105" s="212"/>
      <c r="M105" s="212"/>
      <c r="N105" s="212"/>
      <c r="O105" s="212"/>
      <c r="P105" s="212"/>
      <c r="Q105" s="212"/>
      <c r="R105" s="212"/>
      <c r="S105" s="212"/>
      <c r="T105" s="212"/>
      <c r="U105" s="212"/>
      <c r="V105" s="212"/>
      <c r="W105" s="212"/>
      <c r="X105" s="212"/>
      <c r="Y105" s="212"/>
      <c r="Z105" s="212"/>
      <c r="AA105" s="212"/>
      <c r="AH105" s="207"/>
      <c r="AI105" s="207"/>
      <c r="AJ105" s="207"/>
      <c r="AK105" s="207"/>
      <c r="AL105" s="207"/>
      <c r="AM105" s="207"/>
      <c r="AN105" s="207"/>
      <c r="AO105" s="207"/>
      <c r="AT105" s="207"/>
      <c r="AV105" s="207"/>
    </row>
    <row r="106" spans="1:48">
      <c r="A106" s="213"/>
      <c r="B106" s="212"/>
      <c r="C106" s="212"/>
      <c r="D106" s="212"/>
      <c r="E106" s="212"/>
      <c r="F106" s="212"/>
      <c r="G106" s="212"/>
      <c r="H106" s="212"/>
      <c r="I106" s="212"/>
      <c r="J106" s="212"/>
      <c r="K106" s="212"/>
      <c r="L106" s="212"/>
      <c r="M106" s="212"/>
      <c r="N106" s="212"/>
      <c r="O106" s="212"/>
      <c r="P106" s="212"/>
      <c r="Q106" s="212"/>
      <c r="R106" s="212"/>
      <c r="S106" s="212"/>
      <c r="T106" s="212"/>
      <c r="U106" s="212"/>
      <c r="V106" s="212"/>
      <c r="W106" s="212"/>
      <c r="X106" s="212"/>
      <c r="Y106" s="212"/>
      <c r="Z106" s="212"/>
      <c r="AA106" s="212"/>
      <c r="AH106" s="207"/>
      <c r="AI106" s="207"/>
      <c r="AJ106" s="207"/>
      <c r="AK106" s="207"/>
      <c r="AL106" s="207"/>
      <c r="AM106" s="207"/>
      <c r="AN106" s="207"/>
      <c r="AO106" s="207"/>
      <c r="AT106" s="207"/>
      <c r="AV106" s="207"/>
    </row>
    <row r="107" spans="1:48">
      <c r="A107" s="213"/>
      <c r="B107" s="212"/>
      <c r="C107" s="212"/>
      <c r="D107" s="212"/>
      <c r="E107" s="212"/>
      <c r="F107" s="212"/>
      <c r="G107" s="212"/>
      <c r="H107" s="212"/>
      <c r="I107" s="212"/>
      <c r="J107" s="212"/>
      <c r="K107" s="212"/>
      <c r="L107" s="212"/>
      <c r="M107" s="212"/>
      <c r="N107" s="212"/>
      <c r="O107" s="212"/>
      <c r="P107" s="212"/>
      <c r="Q107" s="212"/>
      <c r="R107" s="212"/>
      <c r="S107" s="212"/>
      <c r="T107" s="212"/>
      <c r="U107" s="212"/>
      <c r="V107" s="212"/>
      <c r="W107" s="212"/>
      <c r="X107" s="212"/>
      <c r="Y107" s="212"/>
      <c r="Z107" s="212"/>
      <c r="AA107" s="212"/>
      <c r="AH107" s="207"/>
      <c r="AI107" s="207"/>
      <c r="AJ107" s="207"/>
      <c r="AK107" s="207"/>
      <c r="AL107" s="207"/>
      <c r="AM107" s="207"/>
      <c r="AN107" s="207"/>
      <c r="AO107" s="207"/>
      <c r="AT107" s="207"/>
      <c r="AV107" s="207"/>
    </row>
    <row r="108" spans="1:48">
      <c r="A108" s="213"/>
      <c r="B108" s="212"/>
      <c r="C108" s="212"/>
      <c r="D108" s="212"/>
      <c r="E108" s="212"/>
      <c r="F108" s="212"/>
      <c r="G108" s="212"/>
      <c r="H108" s="212"/>
      <c r="I108" s="212"/>
      <c r="J108" s="212"/>
      <c r="K108" s="212"/>
      <c r="L108" s="212"/>
      <c r="M108" s="212"/>
      <c r="N108" s="212"/>
      <c r="O108" s="212"/>
      <c r="P108" s="212"/>
      <c r="Q108" s="212"/>
      <c r="R108" s="212"/>
      <c r="S108" s="212"/>
      <c r="T108" s="212"/>
      <c r="U108" s="212"/>
      <c r="V108" s="212"/>
      <c r="W108" s="212"/>
      <c r="X108" s="212"/>
      <c r="Y108" s="212"/>
      <c r="Z108" s="212"/>
      <c r="AA108" s="212"/>
      <c r="AH108" s="207"/>
      <c r="AI108" s="207"/>
      <c r="AJ108" s="207"/>
      <c r="AK108" s="207"/>
      <c r="AL108" s="207"/>
      <c r="AM108" s="207"/>
      <c r="AN108" s="207"/>
      <c r="AO108" s="207"/>
      <c r="AT108" s="207"/>
      <c r="AV108" s="207"/>
    </row>
    <row r="109" spans="1:48">
      <c r="A109" s="213"/>
      <c r="B109" s="212"/>
      <c r="C109" s="212"/>
      <c r="D109" s="212"/>
      <c r="E109" s="212"/>
      <c r="F109" s="212"/>
      <c r="G109" s="212"/>
      <c r="H109" s="212"/>
      <c r="I109" s="212"/>
      <c r="J109" s="212"/>
      <c r="K109" s="212"/>
      <c r="L109" s="212"/>
      <c r="M109" s="212"/>
      <c r="N109" s="212"/>
      <c r="O109" s="212"/>
      <c r="P109" s="212"/>
      <c r="Q109" s="212"/>
      <c r="R109" s="212"/>
      <c r="S109" s="212"/>
      <c r="T109" s="212"/>
      <c r="U109" s="212"/>
      <c r="V109" s="212"/>
      <c r="W109" s="212"/>
      <c r="X109" s="212"/>
      <c r="Y109" s="212"/>
      <c r="Z109" s="212"/>
      <c r="AA109" s="212"/>
      <c r="AH109" s="207"/>
      <c r="AI109" s="207"/>
      <c r="AJ109" s="207"/>
      <c r="AK109" s="207"/>
      <c r="AL109" s="207"/>
      <c r="AM109" s="207"/>
      <c r="AN109" s="207"/>
      <c r="AO109" s="207"/>
      <c r="AT109" s="207"/>
      <c r="AV109" s="207"/>
    </row>
    <row r="110" spans="1:48">
      <c r="A110" s="213"/>
      <c r="B110" s="212"/>
      <c r="C110" s="212"/>
      <c r="D110" s="212"/>
      <c r="E110" s="212"/>
      <c r="F110" s="212"/>
      <c r="G110" s="212"/>
      <c r="H110" s="212"/>
      <c r="I110" s="212"/>
      <c r="J110" s="212"/>
      <c r="K110" s="212"/>
      <c r="L110" s="212"/>
      <c r="M110" s="212"/>
      <c r="N110" s="212"/>
      <c r="O110" s="212"/>
      <c r="P110" s="212"/>
      <c r="Q110" s="212"/>
      <c r="R110" s="212"/>
      <c r="S110" s="212"/>
      <c r="T110" s="212"/>
      <c r="U110" s="212"/>
      <c r="V110" s="212"/>
      <c r="W110" s="212"/>
      <c r="X110" s="212"/>
      <c r="Y110" s="212"/>
      <c r="Z110" s="212"/>
      <c r="AA110" s="212"/>
      <c r="AH110" s="207"/>
      <c r="AI110" s="207"/>
      <c r="AJ110" s="207"/>
      <c r="AK110" s="207"/>
      <c r="AL110" s="207"/>
      <c r="AM110" s="207"/>
      <c r="AN110" s="207"/>
      <c r="AO110" s="207"/>
      <c r="AT110" s="207"/>
      <c r="AV110" s="207"/>
    </row>
    <row r="111" spans="1:48">
      <c r="A111" s="213"/>
      <c r="B111" s="212"/>
      <c r="C111" s="212"/>
      <c r="D111" s="212"/>
      <c r="E111" s="212"/>
      <c r="F111" s="212"/>
      <c r="G111" s="212"/>
      <c r="H111" s="212"/>
      <c r="I111" s="212"/>
      <c r="J111" s="212"/>
      <c r="K111" s="212"/>
      <c r="L111" s="212"/>
      <c r="M111" s="212"/>
      <c r="N111" s="212"/>
      <c r="O111" s="212"/>
      <c r="P111" s="212"/>
      <c r="Q111" s="212"/>
      <c r="R111" s="212"/>
      <c r="S111" s="212"/>
      <c r="T111" s="212"/>
      <c r="U111" s="212"/>
      <c r="V111" s="212"/>
      <c r="W111" s="212"/>
      <c r="X111" s="212"/>
      <c r="Y111" s="212"/>
      <c r="Z111" s="212"/>
      <c r="AA111" s="212"/>
      <c r="AH111" s="207"/>
      <c r="AI111" s="207"/>
      <c r="AJ111" s="207"/>
      <c r="AK111" s="207"/>
      <c r="AL111" s="207"/>
      <c r="AM111" s="207"/>
      <c r="AN111" s="207"/>
      <c r="AO111" s="207"/>
      <c r="AT111" s="207"/>
      <c r="AV111" s="207"/>
    </row>
    <row r="112" spans="1:48">
      <c r="A112" s="213"/>
      <c r="B112" s="212"/>
      <c r="C112" s="212"/>
      <c r="D112" s="212"/>
      <c r="E112" s="212"/>
      <c r="F112" s="212"/>
      <c r="G112" s="212"/>
      <c r="H112" s="212"/>
      <c r="I112" s="212"/>
      <c r="J112" s="212"/>
      <c r="K112" s="212"/>
      <c r="L112" s="212"/>
      <c r="M112" s="212"/>
      <c r="N112" s="212"/>
      <c r="O112" s="212"/>
      <c r="P112" s="212"/>
      <c r="Q112" s="212"/>
      <c r="R112" s="212"/>
      <c r="S112" s="212"/>
      <c r="T112" s="212"/>
      <c r="U112" s="212"/>
      <c r="V112" s="212"/>
      <c r="W112" s="212"/>
      <c r="X112" s="212"/>
      <c r="Y112" s="212"/>
      <c r="Z112" s="212"/>
      <c r="AA112" s="212"/>
      <c r="AH112" s="207"/>
      <c r="AI112" s="207"/>
      <c r="AJ112" s="207"/>
      <c r="AK112" s="207"/>
      <c r="AL112" s="207"/>
      <c r="AM112" s="207"/>
      <c r="AN112" s="207"/>
      <c r="AO112" s="207"/>
      <c r="AT112" s="207"/>
      <c r="AV112" s="207"/>
    </row>
    <row r="113" spans="1:48">
      <c r="A113" s="213"/>
      <c r="B113" s="212"/>
      <c r="C113" s="212"/>
      <c r="D113" s="212"/>
      <c r="E113" s="212"/>
      <c r="F113" s="212"/>
      <c r="G113" s="212"/>
      <c r="H113" s="212"/>
      <c r="I113" s="212"/>
      <c r="J113" s="212"/>
      <c r="K113" s="212"/>
      <c r="L113" s="212"/>
      <c r="M113" s="212"/>
      <c r="N113" s="212"/>
      <c r="O113" s="212"/>
      <c r="P113" s="212"/>
      <c r="Q113" s="212"/>
      <c r="R113" s="212"/>
      <c r="S113" s="212"/>
      <c r="T113" s="212"/>
      <c r="U113" s="212"/>
      <c r="V113" s="212"/>
      <c r="W113" s="212"/>
      <c r="X113" s="212"/>
      <c r="Y113" s="212"/>
      <c r="Z113" s="212"/>
      <c r="AA113" s="212"/>
      <c r="AH113" s="207"/>
      <c r="AI113" s="207"/>
      <c r="AJ113" s="207"/>
      <c r="AK113" s="207"/>
      <c r="AL113" s="207"/>
      <c r="AM113" s="207"/>
      <c r="AN113" s="207"/>
      <c r="AO113" s="207"/>
      <c r="AT113" s="207"/>
      <c r="AV113" s="207"/>
    </row>
    <row r="114" spans="1:48">
      <c r="A114" s="213"/>
      <c r="B114" s="212"/>
      <c r="C114" s="212"/>
      <c r="D114" s="212"/>
      <c r="E114" s="212"/>
      <c r="F114" s="212"/>
      <c r="G114" s="212"/>
      <c r="H114" s="212"/>
      <c r="I114" s="212"/>
      <c r="J114" s="212"/>
      <c r="K114" s="212"/>
      <c r="L114" s="212"/>
      <c r="M114" s="212"/>
      <c r="N114" s="212"/>
      <c r="O114" s="212"/>
      <c r="P114" s="212"/>
      <c r="Q114" s="212"/>
      <c r="R114" s="212"/>
      <c r="S114" s="212"/>
      <c r="T114" s="212"/>
      <c r="U114" s="212"/>
      <c r="V114" s="212"/>
      <c r="W114" s="212"/>
      <c r="X114" s="212"/>
      <c r="Y114" s="212"/>
      <c r="Z114" s="212"/>
      <c r="AA114" s="212"/>
      <c r="AH114" s="207"/>
      <c r="AI114" s="207"/>
      <c r="AJ114" s="207"/>
      <c r="AK114" s="207"/>
      <c r="AL114" s="207"/>
      <c r="AM114" s="207"/>
      <c r="AN114" s="207"/>
      <c r="AO114" s="207"/>
      <c r="AT114" s="207"/>
      <c r="AV114" s="207"/>
    </row>
    <row r="115" spans="1:48">
      <c r="A115" s="213"/>
      <c r="B115" s="212"/>
      <c r="C115" s="212"/>
      <c r="D115" s="212"/>
      <c r="E115" s="212"/>
      <c r="F115" s="212"/>
      <c r="G115" s="212"/>
      <c r="H115" s="212"/>
      <c r="I115" s="212"/>
      <c r="J115" s="212"/>
      <c r="K115" s="212"/>
      <c r="L115" s="212"/>
      <c r="M115" s="212"/>
      <c r="N115" s="212"/>
      <c r="O115" s="212"/>
      <c r="P115" s="212"/>
      <c r="Q115" s="212"/>
      <c r="R115" s="212"/>
      <c r="S115" s="212"/>
      <c r="T115" s="212"/>
      <c r="U115" s="212"/>
      <c r="V115" s="212"/>
      <c r="W115" s="212"/>
      <c r="X115" s="212"/>
      <c r="Y115" s="212"/>
      <c r="Z115" s="212"/>
      <c r="AA115" s="212"/>
      <c r="AH115" s="207"/>
      <c r="AI115" s="207"/>
      <c r="AJ115" s="207"/>
      <c r="AK115" s="207"/>
      <c r="AL115" s="207"/>
      <c r="AM115" s="207"/>
      <c r="AN115" s="207"/>
      <c r="AO115" s="207"/>
      <c r="AT115" s="207"/>
      <c r="AV115" s="207"/>
    </row>
    <row r="116" spans="1:48">
      <c r="A116" s="213"/>
      <c r="B116" s="212"/>
      <c r="C116" s="212"/>
      <c r="D116" s="212"/>
      <c r="E116" s="212"/>
      <c r="F116" s="212"/>
      <c r="G116" s="212"/>
      <c r="H116" s="212"/>
      <c r="I116" s="212"/>
      <c r="J116" s="212"/>
      <c r="K116" s="212"/>
      <c r="L116" s="212"/>
      <c r="M116" s="212"/>
      <c r="N116" s="212"/>
      <c r="O116" s="212"/>
      <c r="P116" s="212"/>
      <c r="Q116" s="212"/>
      <c r="R116" s="212"/>
      <c r="S116" s="212"/>
      <c r="T116" s="212"/>
      <c r="U116" s="212"/>
      <c r="V116" s="212"/>
      <c r="W116" s="212"/>
      <c r="X116" s="212"/>
      <c r="Y116" s="212"/>
      <c r="Z116" s="212"/>
      <c r="AA116" s="212"/>
      <c r="AH116" s="207"/>
      <c r="AI116" s="207"/>
      <c r="AJ116" s="207"/>
      <c r="AK116" s="207"/>
      <c r="AL116" s="207"/>
      <c r="AM116" s="207"/>
      <c r="AN116" s="207"/>
      <c r="AO116" s="207"/>
      <c r="AT116" s="207"/>
      <c r="AV116" s="207"/>
    </row>
    <row r="117" spans="1:48">
      <c r="A117" s="213"/>
      <c r="B117" s="212"/>
      <c r="C117" s="212"/>
      <c r="D117" s="212"/>
      <c r="E117" s="212"/>
      <c r="F117" s="212"/>
      <c r="G117" s="212"/>
      <c r="H117" s="212"/>
      <c r="I117" s="212"/>
      <c r="J117" s="212"/>
      <c r="K117" s="212"/>
      <c r="L117" s="212"/>
      <c r="M117" s="212"/>
      <c r="N117" s="212"/>
      <c r="O117" s="212"/>
      <c r="P117" s="212"/>
      <c r="Q117" s="212"/>
      <c r="R117" s="212"/>
      <c r="S117" s="212"/>
      <c r="T117" s="212"/>
      <c r="U117" s="212"/>
      <c r="V117" s="212"/>
      <c r="W117" s="212"/>
      <c r="X117" s="212"/>
      <c r="Y117" s="212"/>
      <c r="Z117" s="212"/>
      <c r="AA117" s="212"/>
      <c r="AH117" s="207"/>
      <c r="AI117" s="207"/>
      <c r="AJ117" s="207"/>
      <c r="AK117" s="207"/>
      <c r="AL117" s="207"/>
      <c r="AM117" s="207"/>
      <c r="AN117" s="207"/>
      <c r="AO117" s="207"/>
      <c r="AT117" s="207"/>
      <c r="AV117" s="207"/>
    </row>
    <row r="118" spans="1:48">
      <c r="A118" s="213"/>
      <c r="B118" s="212"/>
      <c r="C118" s="212"/>
      <c r="D118" s="212"/>
      <c r="E118" s="212"/>
      <c r="F118" s="212"/>
      <c r="G118" s="212"/>
      <c r="H118" s="212"/>
      <c r="I118" s="212"/>
      <c r="J118" s="212"/>
      <c r="K118" s="212"/>
      <c r="L118" s="212"/>
      <c r="M118" s="212"/>
      <c r="N118" s="212"/>
      <c r="O118" s="212"/>
      <c r="P118" s="212"/>
      <c r="Q118" s="212"/>
      <c r="R118" s="212"/>
      <c r="S118" s="212"/>
      <c r="T118" s="212"/>
      <c r="U118" s="212"/>
      <c r="V118" s="212"/>
      <c r="W118" s="212"/>
      <c r="X118" s="212"/>
      <c r="Y118" s="212"/>
      <c r="Z118" s="212"/>
      <c r="AA118" s="212"/>
      <c r="AH118" s="207"/>
      <c r="AI118" s="207"/>
      <c r="AJ118" s="207"/>
      <c r="AK118" s="207"/>
      <c r="AL118" s="207"/>
      <c r="AM118" s="207"/>
      <c r="AN118" s="207"/>
      <c r="AO118" s="207"/>
      <c r="AT118" s="207"/>
      <c r="AV118" s="207"/>
    </row>
    <row r="119" spans="1:48">
      <c r="A119" s="213"/>
      <c r="B119" s="212"/>
      <c r="C119" s="212"/>
      <c r="D119" s="212"/>
      <c r="E119" s="212"/>
      <c r="F119" s="212"/>
      <c r="G119" s="212"/>
      <c r="H119" s="212"/>
      <c r="I119" s="212"/>
      <c r="J119" s="212"/>
      <c r="K119" s="212"/>
      <c r="L119" s="212"/>
      <c r="M119" s="212"/>
      <c r="N119" s="212"/>
      <c r="O119" s="212"/>
      <c r="P119" s="212"/>
      <c r="Q119" s="212"/>
      <c r="R119" s="212"/>
      <c r="S119" s="212"/>
      <c r="T119" s="212"/>
      <c r="U119" s="212"/>
      <c r="V119" s="212"/>
      <c r="W119" s="212"/>
      <c r="X119" s="212"/>
      <c r="Y119" s="212"/>
      <c r="Z119" s="212"/>
      <c r="AA119" s="212"/>
      <c r="AH119" s="207"/>
      <c r="AI119" s="207"/>
      <c r="AJ119" s="207"/>
      <c r="AK119" s="207"/>
      <c r="AL119" s="207"/>
      <c r="AM119" s="207"/>
      <c r="AN119" s="207"/>
      <c r="AO119" s="207"/>
      <c r="AT119" s="207"/>
      <c r="AV119" s="207"/>
    </row>
    <row r="120" spans="1:48">
      <c r="A120" s="213"/>
      <c r="B120" s="212"/>
      <c r="C120" s="212"/>
      <c r="D120" s="212"/>
      <c r="E120" s="212"/>
      <c r="F120" s="212"/>
      <c r="G120" s="212"/>
      <c r="H120" s="212"/>
      <c r="I120" s="212"/>
      <c r="J120" s="212"/>
      <c r="K120" s="212"/>
      <c r="L120" s="212"/>
      <c r="M120" s="212"/>
      <c r="N120" s="212"/>
      <c r="O120" s="212"/>
      <c r="P120" s="212"/>
      <c r="Q120" s="212"/>
      <c r="R120" s="212"/>
      <c r="S120" s="212"/>
      <c r="T120" s="212"/>
      <c r="U120" s="212"/>
      <c r="V120" s="212"/>
      <c r="W120" s="212"/>
      <c r="X120" s="212"/>
      <c r="Y120" s="212"/>
      <c r="Z120" s="212"/>
      <c r="AA120" s="212"/>
      <c r="AH120" s="207"/>
      <c r="AI120" s="207"/>
      <c r="AJ120" s="207"/>
      <c r="AK120" s="207"/>
      <c r="AL120" s="207"/>
      <c r="AM120" s="207"/>
      <c r="AN120" s="207"/>
      <c r="AO120" s="207"/>
      <c r="AT120" s="207"/>
      <c r="AV120" s="207"/>
    </row>
    <row r="121" spans="1:48">
      <c r="A121" s="213"/>
      <c r="B121" s="212"/>
      <c r="C121" s="212"/>
      <c r="D121" s="212"/>
      <c r="E121" s="212"/>
      <c r="F121" s="212"/>
      <c r="G121" s="212"/>
      <c r="H121" s="212"/>
      <c r="I121" s="212"/>
      <c r="J121" s="212"/>
      <c r="K121" s="212"/>
      <c r="L121" s="212"/>
      <c r="M121" s="212"/>
      <c r="N121" s="212"/>
      <c r="O121" s="212"/>
      <c r="P121" s="212"/>
      <c r="Q121" s="212"/>
      <c r="R121" s="212"/>
      <c r="S121" s="212"/>
      <c r="T121" s="212"/>
      <c r="U121" s="212"/>
      <c r="V121" s="212"/>
      <c r="W121" s="212"/>
      <c r="X121" s="212"/>
      <c r="Y121" s="212"/>
      <c r="Z121" s="212"/>
      <c r="AA121" s="212"/>
      <c r="AH121" s="207"/>
      <c r="AI121" s="207"/>
      <c r="AJ121" s="207"/>
      <c r="AK121" s="207"/>
      <c r="AL121" s="207"/>
      <c r="AM121" s="207"/>
      <c r="AN121" s="207"/>
      <c r="AO121" s="207"/>
      <c r="AT121" s="207"/>
      <c r="AV121" s="207"/>
    </row>
    <row r="122" spans="1:48">
      <c r="A122" s="213"/>
      <c r="B122" s="212"/>
      <c r="C122" s="212"/>
      <c r="D122" s="212"/>
      <c r="E122" s="212"/>
      <c r="F122" s="212"/>
      <c r="G122" s="212"/>
      <c r="H122" s="212"/>
      <c r="I122" s="212"/>
      <c r="J122" s="212"/>
      <c r="K122" s="212"/>
      <c r="L122" s="212"/>
      <c r="M122" s="212"/>
      <c r="N122" s="212"/>
      <c r="O122" s="212"/>
      <c r="P122" s="212"/>
      <c r="Q122" s="212"/>
      <c r="R122" s="212"/>
      <c r="S122" s="212"/>
      <c r="T122" s="212"/>
      <c r="U122" s="212"/>
      <c r="V122" s="212"/>
      <c r="W122" s="212"/>
      <c r="X122" s="212"/>
      <c r="Y122" s="212"/>
      <c r="Z122" s="212"/>
      <c r="AA122" s="212"/>
      <c r="AH122" s="207"/>
      <c r="AI122" s="207"/>
      <c r="AJ122" s="207"/>
      <c r="AK122" s="207"/>
      <c r="AL122" s="207"/>
      <c r="AM122" s="207"/>
      <c r="AN122" s="207"/>
      <c r="AO122" s="207"/>
      <c r="AT122" s="207"/>
      <c r="AV122" s="207"/>
    </row>
    <row r="123" spans="1:48">
      <c r="A123" s="213"/>
      <c r="B123" s="212"/>
      <c r="C123" s="212"/>
      <c r="D123" s="212"/>
      <c r="E123" s="212"/>
      <c r="F123" s="212"/>
      <c r="G123" s="212"/>
      <c r="H123" s="212"/>
      <c r="I123" s="212"/>
      <c r="J123" s="212"/>
      <c r="K123" s="212"/>
      <c r="L123" s="212"/>
      <c r="M123" s="212"/>
      <c r="N123" s="212"/>
      <c r="O123" s="212"/>
      <c r="P123" s="212"/>
      <c r="Q123" s="212"/>
      <c r="R123" s="212"/>
      <c r="S123" s="212"/>
      <c r="T123" s="212"/>
      <c r="U123" s="212"/>
      <c r="V123" s="212"/>
      <c r="W123" s="212"/>
      <c r="X123" s="212"/>
      <c r="Y123" s="212"/>
      <c r="Z123" s="212"/>
      <c r="AA123" s="212"/>
      <c r="AH123" s="207"/>
      <c r="AI123" s="207"/>
      <c r="AJ123" s="207"/>
      <c r="AK123" s="207"/>
      <c r="AL123" s="207"/>
      <c r="AM123" s="207"/>
      <c r="AN123" s="207"/>
      <c r="AO123" s="207"/>
      <c r="AT123" s="207"/>
      <c r="AV123" s="207"/>
    </row>
    <row r="124" spans="1:48">
      <c r="A124" s="213"/>
      <c r="B124" s="212"/>
      <c r="C124" s="212"/>
      <c r="D124" s="212"/>
      <c r="E124" s="212"/>
      <c r="F124" s="212"/>
      <c r="G124" s="212"/>
      <c r="H124" s="212"/>
      <c r="I124" s="212"/>
      <c r="J124" s="212"/>
      <c r="K124" s="212"/>
      <c r="L124" s="212"/>
      <c r="M124" s="212"/>
      <c r="N124" s="212"/>
      <c r="O124" s="212"/>
      <c r="P124" s="212"/>
      <c r="Q124" s="212"/>
      <c r="R124" s="212"/>
      <c r="S124" s="212"/>
      <c r="T124" s="212"/>
      <c r="U124" s="212"/>
      <c r="V124" s="212"/>
      <c r="W124" s="212"/>
      <c r="X124" s="212"/>
      <c r="Y124" s="212"/>
      <c r="Z124" s="212"/>
      <c r="AA124" s="212"/>
      <c r="AH124" s="207"/>
      <c r="AI124" s="207"/>
      <c r="AJ124" s="207"/>
      <c r="AK124" s="207"/>
      <c r="AL124" s="207"/>
      <c r="AM124" s="207"/>
      <c r="AN124" s="207"/>
      <c r="AO124" s="207"/>
      <c r="AT124" s="207"/>
      <c r="AV124" s="207"/>
    </row>
    <row r="125" spans="1:48">
      <c r="A125" s="213"/>
      <c r="B125" s="212"/>
      <c r="C125" s="212"/>
      <c r="D125" s="212"/>
      <c r="E125" s="212"/>
      <c r="F125" s="212"/>
      <c r="G125" s="212"/>
      <c r="H125" s="212"/>
      <c r="I125" s="212"/>
      <c r="J125" s="212"/>
      <c r="K125" s="212"/>
      <c r="L125" s="212"/>
      <c r="M125" s="212"/>
      <c r="N125" s="212"/>
      <c r="O125" s="212"/>
      <c r="P125" s="212"/>
      <c r="Q125" s="212"/>
      <c r="R125" s="212"/>
      <c r="S125" s="212"/>
      <c r="T125" s="212"/>
      <c r="U125" s="212"/>
      <c r="V125" s="212"/>
      <c r="W125" s="212"/>
      <c r="X125" s="212"/>
      <c r="Y125" s="212"/>
      <c r="Z125" s="212"/>
      <c r="AA125" s="212"/>
      <c r="AH125" s="207"/>
      <c r="AI125" s="207"/>
      <c r="AJ125" s="207"/>
      <c r="AK125" s="207"/>
      <c r="AL125" s="207"/>
      <c r="AM125" s="207"/>
      <c r="AN125" s="207"/>
      <c r="AO125" s="207"/>
      <c r="AT125" s="207"/>
      <c r="AV125" s="207"/>
    </row>
    <row r="126" spans="1:48">
      <c r="A126" s="213"/>
      <c r="B126" s="212"/>
      <c r="C126" s="212"/>
      <c r="D126" s="212"/>
      <c r="E126" s="212"/>
      <c r="F126" s="212"/>
      <c r="G126" s="212"/>
      <c r="H126" s="212"/>
      <c r="I126" s="212"/>
      <c r="J126" s="212"/>
      <c r="K126" s="212"/>
      <c r="L126" s="212"/>
      <c r="M126" s="212"/>
      <c r="N126" s="212"/>
      <c r="O126" s="212"/>
      <c r="P126" s="212"/>
      <c r="Q126" s="212"/>
      <c r="R126" s="212"/>
      <c r="S126" s="212"/>
      <c r="T126" s="212"/>
      <c r="U126" s="212"/>
      <c r="V126" s="212"/>
      <c r="W126" s="212"/>
      <c r="X126" s="212"/>
      <c r="Y126" s="212"/>
      <c r="Z126" s="212"/>
      <c r="AA126" s="212"/>
      <c r="AH126" s="207"/>
      <c r="AI126" s="207"/>
      <c r="AJ126" s="207"/>
      <c r="AK126" s="207"/>
      <c r="AL126" s="207"/>
      <c r="AM126" s="207"/>
      <c r="AN126" s="207"/>
      <c r="AO126" s="207"/>
      <c r="AT126" s="207"/>
      <c r="AV126" s="207"/>
    </row>
    <row r="127" spans="1:48">
      <c r="A127" s="213"/>
      <c r="B127" s="212"/>
      <c r="C127" s="212"/>
      <c r="D127" s="212"/>
      <c r="E127" s="212"/>
      <c r="F127" s="212"/>
      <c r="G127" s="212"/>
      <c r="H127" s="212"/>
      <c r="I127" s="212"/>
      <c r="J127" s="212"/>
      <c r="K127" s="212"/>
      <c r="L127" s="212"/>
      <c r="M127" s="212"/>
      <c r="N127" s="212"/>
      <c r="O127" s="212"/>
      <c r="P127" s="212"/>
      <c r="Q127" s="212"/>
      <c r="R127" s="212"/>
      <c r="S127" s="212"/>
      <c r="T127" s="212"/>
      <c r="U127" s="212"/>
      <c r="V127" s="212"/>
      <c r="W127" s="212"/>
      <c r="X127" s="212"/>
      <c r="Y127" s="212"/>
      <c r="Z127" s="212"/>
      <c r="AA127" s="212"/>
      <c r="AH127" s="207"/>
      <c r="AI127" s="207"/>
      <c r="AJ127" s="207"/>
      <c r="AK127" s="207"/>
      <c r="AL127" s="207"/>
      <c r="AM127" s="207"/>
      <c r="AN127" s="207"/>
      <c r="AO127" s="207"/>
      <c r="AT127" s="207"/>
      <c r="AV127" s="207"/>
    </row>
    <row r="128" spans="1:48">
      <c r="A128" s="213"/>
      <c r="B128" s="212"/>
      <c r="C128" s="212"/>
      <c r="D128" s="212"/>
      <c r="E128" s="212"/>
      <c r="F128" s="212"/>
      <c r="G128" s="212"/>
      <c r="H128" s="212"/>
      <c r="I128" s="212"/>
      <c r="J128" s="212"/>
      <c r="K128" s="212"/>
      <c r="L128" s="212"/>
      <c r="M128" s="212"/>
      <c r="N128" s="212"/>
      <c r="O128" s="212"/>
      <c r="P128" s="212"/>
      <c r="Q128" s="212"/>
      <c r="R128" s="212"/>
      <c r="S128" s="212"/>
      <c r="T128" s="212"/>
      <c r="U128" s="212"/>
      <c r="V128" s="212"/>
      <c r="W128" s="212"/>
      <c r="X128" s="212"/>
      <c r="Y128" s="212"/>
      <c r="Z128" s="212"/>
      <c r="AA128" s="212"/>
      <c r="AH128" s="207"/>
      <c r="AI128" s="207"/>
      <c r="AJ128" s="207"/>
      <c r="AK128" s="207"/>
      <c r="AL128" s="207"/>
      <c r="AM128" s="207"/>
      <c r="AN128" s="207"/>
      <c r="AO128" s="207"/>
      <c r="AT128" s="207"/>
      <c r="AV128" s="207"/>
    </row>
    <row r="129" spans="1:48">
      <c r="A129" s="213"/>
      <c r="B129" s="212"/>
      <c r="C129" s="212"/>
      <c r="D129" s="212"/>
      <c r="E129" s="212"/>
      <c r="F129" s="212"/>
      <c r="G129" s="212"/>
      <c r="H129" s="212"/>
      <c r="I129" s="212"/>
      <c r="J129" s="212"/>
      <c r="K129" s="212"/>
      <c r="L129" s="212"/>
      <c r="M129" s="212"/>
      <c r="N129" s="212"/>
      <c r="O129" s="212"/>
      <c r="P129" s="212"/>
      <c r="Q129" s="212"/>
      <c r="R129" s="212"/>
      <c r="S129" s="212"/>
      <c r="T129" s="212"/>
      <c r="U129" s="212"/>
      <c r="V129" s="212"/>
      <c r="W129" s="212"/>
      <c r="X129" s="212"/>
      <c r="Y129" s="212"/>
      <c r="Z129" s="212"/>
      <c r="AA129" s="212"/>
      <c r="AH129" s="207"/>
      <c r="AI129" s="207"/>
      <c r="AJ129" s="207"/>
      <c r="AK129" s="207"/>
      <c r="AL129" s="207"/>
      <c r="AM129" s="207"/>
      <c r="AN129" s="207"/>
      <c r="AO129" s="207"/>
      <c r="AT129" s="207"/>
      <c r="AV129" s="207"/>
    </row>
    <row r="130" spans="1:48">
      <c r="A130" s="213"/>
      <c r="B130" s="212"/>
      <c r="C130" s="212"/>
      <c r="D130" s="212"/>
      <c r="E130" s="212"/>
      <c r="F130" s="212"/>
      <c r="G130" s="212"/>
      <c r="H130" s="212"/>
      <c r="I130" s="212"/>
      <c r="J130" s="212"/>
      <c r="K130" s="212"/>
      <c r="L130" s="212"/>
      <c r="M130" s="212"/>
      <c r="N130" s="212"/>
      <c r="O130" s="212"/>
      <c r="P130" s="212"/>
      <c r="Q130" s="212"/>
      <c r="R130" s="212"/>
      <c r="S130" s="212"/>
      <c r="T130" s="212"/>
      <c r="U130" s="212"/>
      <c r="V130" s="212"/>
      <c r="W130" s="212"/>
      <c r="X130" s="212"/>
      <c r="Y130" s="212"/>
      <c r="Z130" s="212"/>
      <c r="AA130" s="212"/>
      <c r="AH130" s="207"/>
      <c r="AI130" s="207"/>
      <c r="AJ130" s="207"/>
      <c r="AK130" s="207"/>
      <c r="AL130" s="207"/>
      <c r="AM130" s="207"/>
      <c r="AN130" s="207"/>
      <c r="AO130" s="207"/>
      <c r="AT130" s="207"/>
      <c r="AV130" s="207"/>
    </row>
    <row r="131" spans="1:48">
      <c r="A131" s="213"/>
      <c r="B131" s="212"/>
      <c r="C131" s="212"/>
      <c r="D131" s="212"/>
      <c r="E131" s="212"/>
      <c r="F131" s="212"/>
      <c r="G131" s="212"/>
      <c r="H131" s="212"/>
      <c r="I131" s="212"/>
      <c r="J131" s="212"/>
      <c r="K131" s="212"/>
      <c r="L131" s="212"/>
      <c r="M131" s="212"/>
      <c r="N131" s="212"/>
      <c r="O131" s="212"/>
      <c r="P131" s="212"/>
      <c r="Q131" s="212"/>
      <c r="R131" s="212"/>
      <c r="S131" s="212"/>
      <c r="T131" s="212"/>
      <c r="U131" s="212"/>
      <c r="V131" s="212"/>
      <c r="W131" s="212"/>
      <c r="X131" s="212"/>
      <c r="Y131" s="212"/>
      <c r="Z131" s="212"/>
      <c r="AA131" s="212"/>
      <c r="AH131" s="207"/>
      <c r="AI131" s="207"/>
      <c r="AJ131" s="207"/>
      <c r="AK131" s="207"/>
      <c r="AL131" s="207"/>
      <c r="AM131" s="207"/>
      <c r="AN131" s="207"/>
      <c r="AO131" s="207"/>
      <c r="AT131" s="207"/>
      <c r="AV131" s="207"/>
    </row>
    <row r="132" spans="1:48">
      <c r="A132" s="213"/>
      <c r="B132" s="212"/>
      <c r="C132" s="212"/>
      <c r="D132" s="212"/>
      <c r="E132" s="212"/>
      <c r="F132" s="212"/>
      <c r="G132" s="212"/>
      <c r="H132" s="212"/>
      <c r="I132" s="212"/>
      <c r="J132" s="212"/>
      <c r="K132" s="212"/>
      <c r="L132" s="212"/>
      <c r="M132" s="212"/>
      <c r="N132" s="212"/>
      <c r="O132" s="212"/>
      <c r="P132" s="212"/>
      <c r="Q132" s="212"/>
      <c r="R132" s="212"/>
      <c r="S132" s="212"/>
      <c r="T132" s="212"/>
      <c r="U132" s="212"/>
      <c r="V132" s="212"/>
      <c r="W132" s="212"/>
      <c r="X132" s="212"/>
      <c r="Y132" s="212"/>
      <c r="Z132" s="212"/>
      <c r="AA132" s="212"/>
      <c r="AH132" s="207"/>
      <c r="AI132" s="207"/>
      <c r="AJ132" s="207"/>
      <c r="AK132" s="207"/>
      <c r="AL132" s="207"/>
      <c r="AM132" s="207"/>
      <c r="AN132" s="207"/>
      <c r="AO132" s="207"/>
      <c r="AT132" s="207"/>
      <c r="AV132" s="207"/>
    </row>
    <row r="133" spans="1:48">
      <c r="A133" s="213"/>
      <c r="B133" s="212"/>
      <c r="C133" s="212"/>
      <c r="D133" s="212"/>
      <c r="E133" s="212"/>
      <c r="F133" s="212"/>
      <c r="G133" s="212"/>
      <c r="H133" s="212"/>
      <c r="I133" s="212"/>
      <c r="J133" s="212"/>
      <c r="K133" s="212"/>
      <c r="L133" s="212"/>
      <c r="M133" s="212"/>
      <c r="N133" s="212"/>
      <c r="O133" s="212"/>
      <c r="P133" s="212"/>
      <c r="Q133" s="212"/>
      <c r="R133" s="212"/>
      <c r="S133" s="212"/>
      <c r="T133" s="212"/>
      <c r="U133" s="212"/>
      <c r="V133" s="212"/>
      <c r="W133" s="212"/>
      <c r="X133" s="212"/>
      <c r="Y133" s="212"/>
      <c r="Z133" s="212"/>
      <c r="AA133" s="212"/>
      <c r="AH133" s="207"/>
      <c r="AI133" s="207"/>
      <c r="AJ133" s="207"/>
      <c r="AK133" s="207"/>
      <c r="AL133" s="207"/>
      <c r="AM133" s="207"/>
      <c r="AN133" s="207"/>
      <c r="AO133" s="207"/>
      <c r="AT133" s="207"/>
      <c r="AV133" s="207"/>
    </row>
    <row r="134" spans="1:48" s="132" customFormat="1">
      <c r="A134" s="213"/>
      <c r="B134" s="212"/>
      <c r="C134" s="212"/>
      <c r="D134" s="212"/>
      <c r="E134" s="212"/>
      <c r="F134" s="212"/>
      <c r="G134" s="212"/>
      <c r="H134" s="212"/>
      <c r="I134" s="212"/>
      <c r="J134" s="212"/>
      <c r="K134" s="212"/>
      <c r="L134" s="212"/>
      <c r="M134" s="212"/>
      <c r="N134" s="212"/>
      <c r="O134" s="212"/>
      <c r="P134" s="212"/>
      <c r="Q134" s="212"/>
      <c r="R134" s="212"/>
      <c r="S134" s="212"/>
      <c r="T134" s="212"/>
      <c r="U134" s="212"/>
      <c r="V134" s="212"/>
      <c r="W134" s="212"/>
      <c r="X134" s="212"/>
      <c r="Y134" s="212"/>
      <c r="Z134" s="212"/>
      <c r="AA134" s="212"/>
      <c r="AH134" s="218"/>
      <c r="AI134" s="218"/>
      <c r="AJ134" s="218"/>
      <c r="AK134" s="218"/>
      <c r="AL134" s="218"/>
      <c r="AM134" s="218"/>
      <c r="AN134" s="218"/>
      <c r="AO134" s="218"/>
      <c r="AT134" s="218"/>
      <c r="AV134" s="218"/>
    </row>
    <row r="135" spans="1:48" s="132" customFormat="1">
      <c r="A135" s="213"/>
      <c r="B135" s="212"/>
      <c r="C135" s="212"/>
      <c r="D135" s="212"/>
      <c r="E135" s="212"/>
      <c r="F135" s="212"/>
      <c r="G135" s="212"/>
      <c r="H135" s="212"/>
      <c r="I135" s="212"/>
      <c r="J135" s="212"/>
      <c r="K135" s="212"/>
      <c r="L135" s="212"/>
      <c r="M135" s="212"/>
      <c r="N135" s="212"/>
      <c r="O135" s="212"/>
      <c r="P135" s="212"/>
      <c r="Q135" s="212"/>
      <c r="R135" s="212"/>
      <c r="S135" s="212"/>
      <c r="T135" s="212"/>
      <c r="U135" s="212"/>
      <c r="V135" s="212"/>
      <c r="W135" s="212"/>
      <c r="X135" s="212"/>
      <c r="Y135" s="212"/>
      <c r="Z135" s="212"/>
      <c r="AA135" s="212"/>
      <c r="AH135" s="218"/>
      <c r="AI135" s="218"/>
      <c r="AJ135" s="218"/>
      <c r="AK135" s="218"/>
      <c r="AL135" s="218"/>
      <c r="AM135" s="218"/>
      <c r="AN135" s="218"/>
      <c r="AO135" s="218"/>
      <c r="AT135" s="218"/>
      <c r="AV135" s="218"/>
    </row>
    <row r="136" spans="1:48" s="132" customFormat="1">
      <c r="A136" s="213"/>
      <c r="B136" s="212"/>
      <c r="C136" s="212"/>
      <c r="D136" s="212"/>
      <c r="E136" s="212"/>
      <c r="F136" s="212"/>
      <c r="G136" s="212"/>
      <c r="H136" s="212"/>
      <c r="I136" s="212"/>
      <c r="J136" s="212"/>
      <c r="K136" s="212"/>
      <c r="L136" s="212"/>
      <c r="M136" s="212"/>
      <c r="N136" s="212"/>
      <c r="O136" s="212"/>
      <c r="P136" s="212"/>
      <c r="Q136" s="212"/>
      <c r="R136" s="212"/>
      <c r="S136" s="212"/>
      <c r="T136" s="212"/>
      <c r="U136" s="212"/>
      <c r="V136" s="212"/>
      <c r="W136" s="212"/>
      <c r="X136" s="212"/>
      <c r="Y136" s="212"/>
      <c r="Z136" s="212"/>
      <c r="AA136" s="212"/>
      <c r="AH136" s="218"/>
      <c r="AI136" s="218"/>
      <c r="AJ136" s="218"/>
      <c r="AK136" s="218"/>
      <c r="AL136" s="218"/>
      <c r="AM136" s="218"/>
      <c r="AN136" s="218"/>
      <c r="AO136" s="218"/>
      <c r="AT136" s="218"/>
      <c r="AV136" s="218"/>
    </row>
    <row r="137" spans="1:48" s="132" customFormat="1">
      <c r="A137" s="213"/>
      <c r="B137" s="212"/>
      <c r="C137" s="212"/>
      <c r="D137" s="212"/>
      <c r="E137" s="212"/>
      <c r="F137" s="212"/>
      <c r="G137" s="212"/>
      <c r="H137" s="212"/>
      <c r="I137" s="212"/>
      <c r="J137" s="212"/>
      <c r="K137" s="212"/>
      <c r="L137" s="212"/>
      <c r="M137" s="212"/>
      <c r="N137" s="212"/>
      <c r="O137" s="212"/>
      <c r="P137" s="212"/>
      <c r="Q137" s="212"/>
      <c r="R137" s="212"/>
      <c r="S137" s="212"/>
      <c r="T137" s="212"/>
      <c r="U137" s="212"/>
      <c r="V137" s="212"/>
      <c r="W137" s="212"/>
      <c r="X137" s="212"/>
      <c r="Y137" s="212"/>
      <c r="Z137" s="212"/>
      <c r="AA137" s="212"/>
      <c r="AH137" s="218"/>
      <c r="AI137" s="218"/>
      <c r="AJ137" s="218"/>
      <c r="AK137" s="218"/>
      <c r="AL137" s="218"/>
      <c r="AM137" s="218"/>
      <c r="AN137" s="218"/>
      <c r="AO137" s="218"/>
      <c r="AT137" s="218"/>
      <c r="AV137" s="218"/>
    </row>
    <row r="138" spans="1:48" s="132" customFormat="1">
      <c r="A138" s="213"/>
      <c r="B138" s="212"/>
      <c r="C138" s="212"/>
      <c r="D138" s="212"/>
      <c r="E138" s="212"/>
      <c r="F138" s="212"/>
      <c r="G138" s="212"/>
      <c r="H138" s="212"/>
      <c r="I138" s="212"/>
      <c r="J138" s="212"/>
      <c r="K138" s="212"/>
      <c r="L138" s="212"/>
      <c r="M138" s="212"/>
      <c r="N138" s="212"/>
      <c r="O138" s="212"/>
      <c r="P138" s="212"/>
      <c r="Q138" s="212"/>
      <c r="R138" s="212"/>
      <c r="S138" s="212"/>
      <c r="T138" s="212"/>
      <c r="U138" s="212"/>
      <c r="V138" s="212"/>
      <c r="W138" s="212"/>
      <c r="X138" s="212"/>
      <c r="Y138" s="212"/>
      <c r="Z138" s="212"/>
      <c r="AA138" s="212"/>
      <c r="AH138" s="218"/>
      <c r="AI138" s="218"/>
      <c r="AJ138" s="218"/>
      <c r="AK138" s="218"/>
      <c r="AL138" s="218"/>
      <c r="AM138" s="218"/>
      <c r="AN138" s="218"/>
      <c r="AO138" s="218"/>
      <c r="AT138" s="218"/>
      <c r="AV138" s="218"/>
    </row>
    <row r="139" spans="1:48" s="132" customFormat="1">
      <c r="A139" s="213"/>
      <c r="B139" s="212"/>
      <c r="C139" s="212"/>
      <c r="D139" s="212"/>
      <c r="E139" s="212"/>
      <c r="F139" s="212"/>
      <c r="G139" s="212"/>
      <c r="H139" s="212"/>
      <c r="I139" s="212"/>
      <c r="J139" s="212"/>
      <c r="K139" s="212"/>
      <c r="L139" s="212"/>
      <c r="M139" s="212"/>
      <c r="N139" s="212"/>
      <c r="O139" s="212"/>
      <c r="P139" s="212"/>
      <c r="Q139" s="212"/>
      <c r="R139" s="212"/>
      <c r="S139" s="212"/>
      <c r="T139" s="212"/>
      <c r="U139" s="212"/>
      <c r="V139" s="212"/>
      <c r="W139" s="212"/>
      <c r="X139" s="212"/>
      <c r="Y139" s="212"/>
      <c r="Z139" s="212"/>
      <c r="AA139" s="212"/>
      <c r="AH139" s="218"/>
      <c r="AI139" s="218"/>
      <c r="AJ139" s="218"/>
      <c r="AK139" s="218"/>
      <c r="AL139" s="218"/>
      <c r="AM139" s="218"/>
      <c r="AN139" s="218"/>
      <c r="AO139" s="218"/>
      <c r="AT139" s="218"/>
      <c r="AV139" s="218"/>
    </row>
    <row r="140" spans="1:48" s="132" customFormat="1" ht="33.75" customHeight="1">
      <c r="A140" s="213"/>
      <c r="B140" s="212"/>
      <c r="C140" s="212"/>
      <c r="D140" s="212"/>
      <c r="E140" s="212"/>
      <c r="F140" s="212"/>
      <c r="G140" s="212"/>
      <c r="H140" s="212"/>
      <c r="I140" s="212"/>
      <c r="J140" s="212"/>
      <c r="K140" s="212"/>
      <c r="L140" s="212"/>
      <c r="M140" s="212"/>
      <c r="N140" s="212"/>
      <c r="O140" s="212"/>
      <c r="P140" s="212"/>
      <c r="Q140" s="212"/>
      <c r="R140" s="212"/>
      <c r="S140" s="212"/>
      <c r="T140" s="212"/>
      <c r="U140" s="212"/>
      <c r="V140" s="212"/>
      <c r="W140" s="212"/>
      <c r="X140" s="212"/>
      <c r="Y140" s="212"/>
      <c r="Z140" s="212"/>
      <c r="AA140" s="212"/>
      <c r="AH140" s="218"/>
      <c r="AI140" s="218"/>
      <c r="AJ140" s="218"/>
      <c r="AK140" s="218"/>
      <c r="AL140" s="218"/>
      <c r="AM140" s="218"/>
      <c r="AN140" s="218"/>
      <c r="AO140" s="218"/>
      <c r="AT140" s="218"/>
      <c r="AV140" s="218"/>
    </row>
    <row r="141" spans="1:48" s="132" customFormat="1">
      <c r="A141" s="218"/>
      <c r="AH141" s="218"/>
      <c r="AI141" s="218"/>
      <c r="AJ141" s="218"/>
      <c r="AK141" s="218"/>
      <c r="AL141" s="218"/>
      <c r="AM141" s="218"/>
      <c r="AN141" s="218"/>
      <c r="AO141" s="218"/>
      <c r="AT141" s="218"/>
      <c r="AV141" s="218"/>
    </row>
    <row r="142" spans="1:48" s="132" customFormat="1">
      <c r="A142" s="218"/>
      <c r="AH142" s="218"/>
      <c r="AI142" s="218"/>
      <c r="AJ142" s="218"/>
      <c r="AK142" s="218"/>
      <c r="AL142" s="218"/>
      <c r="AM142" s="218"/>
      <c r="AN142" s="218"/>
      <c r="AO142" s="218"/>
      <c r="AT142" s="218"/>
      <c r="AV142" s="218"/>
    </row>
    <row r="143" spans="1:48">
      <c r="A143" s="213"/>
      <c r="B143" s="212"/>
      <c r="C143" s="212"/>
      <c r="D143" s="212"/>
      <c r="E143" s="212"/>
      <c r="F143" s="212"/>
      <c r="G143" s="212"/>
      <c r="H143" s="212"/>
      <c r="I143" s="212"/>
      <c r="J143" s="212"/>
      <c r="K143" s="212"/>
      <c r="L143" s="212"/>
      <c r="M143" s="212"/>
      <c r="N143" s="212"/>
      <c r="O143" s="212"/>
      <c r="P143" s="212"/>
      <c r="Q143" s="212"/>
      <c r="R143" s="212"/>
      <c r="S143" s="212"/>
      <c r="T143" s="212"/>
      <c r="U143" s="212"/>
      <c r="V143" s="212"/>
      <c r="W143" s="212"/>
      <c r="X143" s="212"/>
      <c r="Y143" s="212"/>
      <c r="Z143" s="212"/>
      <c r="AA143" s="212"/>
      <c r="AH143" s="207"/>
      <c r="AI143" s="207"/>
      <c r="AJ143" s="207"/>
      <c r="AK143" s="207"/>
      <c r="AL143" s="207"/>
      <c r="AM143" s="207"/>
      <c r="AN143" s="207"/>
      <c r="AO143" s="207"/>
      <c r="AT143" s="207"/>
      <c r="AV143" s="207"/>
    </row>
    <row r="144" spans="1:48">
      <c r="A144" s="213"/>
      <c r="B144" s="212"/>
      <c r="C144" s="212"/>
      <c r="D144" s="212"/>
      <c r="E144" s="212"/>
      <c r="F144" s="212"/>
      <c r="G144" s="212"/>
      <c r="H144" s="212"/>
      <c r="I144" s="212"/>
      <c r="J144" s="212"/>
      <c r="K144" s="212"/>
      <c r="L144" s="212"/>
      <c r="M144" s="212"/>
      <c r="N144" s="212"/>
      <c r="O144" s="212"/>
      <c r="P144" s="212"/>
      <c r="Q144" s="212"/>
      <c r="R144" s="212"/>
      <c r="S144" s="212"/>
      <c r="T144" s="212"/>
      <c r="U144" s="212"/>
      <c r="V144" s="212"/>
      <c r="W144" s="212"/>
      <c r="X144" s="212"/>
      <c r="Y144" s="212"/>
      <c r="Z144" s="212"/>
      <c r="AA144" s="212"/>
      <c r="AH144" s="207"/>
      <c r="AI144" s="207"/>
      <c r="AJ144" s="207"/>
      <c r="AK144" s="207"/>
      <c r="AL144" s="207"/>
      <c r="AM144" s="207"/>
      <c r="AN144" s="207"/>
      <c r="AO144" s="207"/>
      <c r="AT144" s="207"/>
      <c r="AV144" s="207"/>
    </row>
    <row r="145" spans="1:48">
      <c r="A145" s="213"/>
      <c r="B145" s="212"/>
      <c r="C145" s="212"/>
      <c r="D145" s="212"/>
      <c r="E145" s="212"/>
      <c r="F145" s="212"/>
      <c r="G145" s="212"/>
      <c r="H145" s="212"/>
      <c r="I145" s="212"/>
      <c r="J145" s="212"/>
      <c r="K145" s="212"/>
      <c r="L145" s="212"/>
      <c r="M145" s="212"/>
      <c r="N145" s="212"/>
      <c r="O145" s="212"/>
      <c r="P145" s="212"/>
      <c r="Q145" s="212"/>
      <c r="R145" s="212"/>
      <c r="S145" s="212"/>
      <c r="T145" s="212"/>
      <c r="U145" s="212"/>
      <c r="V145" s="212"/>
      <c r="W145" s="212"/>
      <c r="X145" s="212"/>
      <c r="Y145" s="212"/>
      <c r="Z145" s="212"/>
      <c r="AA145" s="212"/>
      <c r="AH145" s="207"/>
      <c r="AI145" s="207"/>
      <c r="AJ145" s="207"/>
      <c r="AK145" s="207"/>
      <c r="AL145" s="207"/>
      <c r="AM145" s="207"/>
      <c r="AN145" s="207"/>
      <c r="AO145" s="207"/>
      <c r="AT145" s="207"/>
      <c r="AV145" s="207"/>
    </row>
    <row r="146" spans="1:48">
      <c r="A146" s="213"/>
      <c r="B146" s="212"/>
      <c r="C146" s="212"/>
      <c r="D146" s="212"/>
      <c r="E146" s="212"/>
      <c r="F146" s="212"/>
      <c r="G146" s="212"/>
      <c r="H146" s="212"/>
      <c r="I146" s="212"/>
      <c r="J146" s="212"/>
      <c r="K146" s="212"/>
      <c r="L146" s="212"/>
      <c r="M146" s="212"/>
      <c r="N146" s="212"/>
      <c r="O146" s="212"/>
      <c r="P146" s="212"/>
      <c r="Q146" s="212"/>
      <c r="R146" s="212"/>
      <c r="S146" s="212"/>
      <c r="T146" s="212"/>
      <c r="U146" s="212"/>
      <c r="V146" s="212"/>
      <c r="W146" s="212"/>
      <c r="X146" s="212"/>
      <c r="Y146" s="212"/>
      <c r="Z146" s="212"/>
      <c r="AA146" s="212"/>
      <c r="AH146" s="207"/>
      <c r="AI146" s="207"/>
      <c r="AJ146" s="207"/>
      <c r="AK146" s="207"/>
      <c r="AL146" s="207"/>
      <c r="AM146" s="207"/>
      <c r="AN146" s="207"/>
      <c r="AO146" s="207"/>
      <c r="AT146" s="207"/>
      <c r="AV146" s="207"/>
    </row>
    <row r="147" spans="1:48">
      <c r="A147" s="213"/>
      <c r="B147" s="212"/>
      <c r="C147" s="212"/>
      <c r="D147" s="212"/>
      <c r="E147" s="212"/>
      <c r="F147" s="212"/>
      <c r="G147" s="212"/>
      <c r="H147" s="212"/>
      <c r="I147" s="212"/>
      <c r="J147" s="212"/>
      <c r="K147" s="212"/>
      <c r="L147" s="212"/>
      <c r="M147" s="212"/>
      <c r="N147" s="212"/>
      <c r="O147" s="212"/>
      <c r="P147" s="212"/>
      <c r="Q147" s="212"/>
      <c r="R147" s="212"/>
      <c r="S147" s="212"/>
      <c r="T147" s="212"/>
      <c r="U147" s="212"/>
      <c r="V147" s="212"/>
      <c r="W147" s="212"/>
      <c r="X147" s="212"/>
      <c r="Y147" s="212"/>
      <c r="Z147" s="212"/>
      <c r="AA147" s="212"/>
      <c r="AH147" s="207"/>
      <c r="AI147" s="207"/>
      <c r="AJ147" s="207"/>
      <c r="AK147" s="207"/>
      <c r="AL147" s="207"/>
      <c r="AM147" s="207"/>
      <c r="AN147" s="207"/>
      <c r="AO147" s="207"/>
      <c r="AT147" s="207"/>
      <c r="AV147" s="207"/>
    </row>
    <row r="148" spans="1:48" ht="30">
      <c r="A148" s="213"/>
      <c r="B148" s="212"/>
      <c r="C148" s="217" t="s">
        <v>2151</v>
      </c>
      <c r="D148" s="212"/>
      <c r="E148" s="212"/>
      <c r="F148" s="212"/>
      <c r="G148" s="212"/>
      <c r="H148" s="212"/>
      <c r="I148" s="212"/>
      <c r="J148" s="212"/>
      <c r="K148" s="212"/>
      <c r="L148" s="212"/>
      <c r="M148" s="212"/>
      <c r="N148" s="212"/>
      <c r="O148" s="212"/>
      <c r="P148" s="212"/>
      <c r="Q148" s="212"/>
      <c r="R148" s="212"/>
      <c r="S148" s="212"/>
      <c r="T148" s="212"/>
      <c r="U148" s="212"/>
      <c r="V148" s="212"/>
      <c r="W148" s="212"/>
      <c r="X148" s="212"/>
      <c r="Y148" s="212"/>
      <c r="Z148" s="212"/>
      <c r="AA148" s="212"/>
      <c r="AH148" s="207"/>
      <c r="AI148" s="207"/>
      <c r="AJ148" s="207"/>
      <c r="AK148" s="207"/>
      <c r="AL148" s="207"/>
      <c r="AM148" s="207"/>
      <c r="AN148" s="207"/>
      <c r="AO148" s="207"/>
      <c r="AT148" s="207"/>
      <c r="AV148" s="207"/>
    </row>
    <row r="149" spans="1:48">
      <c r="A149" s="213"/>
      <c r="B149" s="212"/>
      <c r="C149" s="212"/>
      <c r="D149" s="212"/>
      <c r="E149" s="212"/>
      <c r="F149" s="212"/>
      <c r="G149" s="212"/>
      <c r="H149" s="212"/>
      <c r="I149" s="212"/>
      <c r="J149" s="212"/>
      <c r="K149" s="212"/>
      <c r="L149" s="212"/>
      <c r="M149" s="212"/>
      <c r="N149" s="212"/>
      <c r="O149" s="212"/>
      <c r="P149" s="212"/>
      <c r="Q149" s="212"/>
      <c r="R149" s="212"/>
      <c r="S149" s="212"/>
      <c r="T149" s="212"/>
      <c r="U149" s="212"/>
      <c r="V149" s="212"/>
      <c r="W149" s="212"/>
      <c r="X149" s="212"/>
      <c r="Y149" s="212"/>
      <c r="Z149" s="212"/>
      <c r="AA149" s="212"/>
      <c r="AH149" s="207"/>
      <c r="AI149" s="207"/>
      <c r="AJ149" s="207"/>
      <c r="AK149" s="207"/>
      <c r="AL149" s="207"/>
      <c r="AM149" s="207"/>
      <c r="AN149" s="207"/>
      <c r="AO149" s="207"/>
      <c r="AT149" s="207"/>
      <c r="AV149" s="207"/>
    </row>
    <row r="150" spans="1:48">
      <c r="A150" s="213"/>
      <c r="B150" s="212"/>
      <c r="C150" s="212"/>
      <c r="D150" s="212"/>
      <c r="E150" s="212"/>
      <c r="F150" s="212"/>
      <c r="G150" s="212"/>
      <c r="H150" s="212"/>
      <c r="I150" s="212"/>
      <c r="J150" s="212"/>
      <c r="K150" s="212"/>
      <c r="L150" s="212"/>
      <c r="M150" s="212"/>
      <c r="N150" s="212"/>
      <c r="O150" s="212"/>
      <c r="P150" s="212"/>
      <c r="Q150" s="212"/>
      <c r="R150" s="212"/>
      <c r="S150" s="212"/>
      <c r="T150" s="212"/>
      <c r="U150" s="212"/>
      <c r="V150" s="212"/>
      <c r="W150" s="212"/>
      <c r="X150" s="212"/>
      <c r="Y150" s="212"/>
      <c r="Z150" s="212"/>
      <c r="AA150" s="212"/>
      <c r="AH150" s="207"/>
      <c r="AI150" s="207"/>
      <c r="AJ150" s="207"/>
      <c r="AK150" s="207"/>
      <c r="AL150" s="207"/>
      <c r="AM150" s="207"/>
      <c r="AN150" s="207"/>
      <c r="AO150" s="207"/>
      <c r="AT150" s="207"/>
      <c r="AV150" s="207"/>
    </row>
    <row r="151" spans="1:48">
      <c r="A151" s="213"/>
      <c r="B151" s="212"/>
      <c r="C151" s="212"/>
      <c r="D151" s="212"/>
      <c r="E151" s="212"/>
      <c r="F151" s="212"/>
      <c r="G151" s="212"/>
      <c r="H151" s="212"/>
      <c r="I151" s="212"/>
      <c r="J151" s="212"/>
      <c r="K151" s="212"/>
      <c r="L151" s="213"/>
      <c r="M151" s="212"/>
      <c r="N151" s="212"/>
      <c r="O151" s="212"/>
      <c r="P151" s="212"/>
      <c r="Q151" s="212"/>
      <c r="R151" s="212"/>
      <c r="S151" s="212"/>
      <c r="T151" s="212"/>
      <c r="U151" s="212"/>
      <c r="V151" s="212"/>
      <c r="W151" s="212"/>
      <c r="X151" s="212"/>
      <c r="Y151" s="212"/>
      <c r="Z151" s="212"/>
      <c r="AA151" s="212"/>
      <c r="AH151" s="207"/>
      <c r="AI151" s="207"/>
      <c r="AJ151" s="207"/>
      <c r="AK151" s="207"/>
      <c r="AL151" s="207"/>
      <c r="AM151" s="207"/>
      <c r="AN151" s="207"/>
      <c r="AO151" s="207"/>
      <c r="AT151" s="207"/>
      <c r="AV151" s="207"/>
    </row>
    <row r="152" spans="1:48">
      <c r="A152" s="213"/>
      <c r="B152" s="212"/>
      <c r="C152" s="212"/>
      <c r="D152" s="212"/>
      <c r="E152" s="212"/>
      <c r="F152" s="212"/>
      <c r="G152" s="212"/>
      <c r="H152" s="212"/>
      <c r="I152" s="212"/>
      <c r="J152" s="212"/>
      <c r="K152" s="212"/>
      <c r="L152" s="213"/>
      <c r="M152" s="212"/>
      <c r="N152" s="212"/>
      <c r="O152" s="212"/>
      <c r="P152" s="212"/>
      <c r="Q152" s="212"/>
      <c r="R152" s="212"/>
      <c r="S152" s="212"/>
      <c r="T152" s="212"/>
      <c r="U152" s="212"/>
      <c r="V152" s="212"/>
      <c r="W152" s="212"/>
      <c r="X152" s="212"/>
      <c r="Y152" s="212"/>
      <c r="Z152" s="212"/>
      <c r="AA152" s="212"/>
      <c r="AH152" s="207"/>
      <c r="AI152" s="207"/>
      <c r="AJ152" s="207"/>
      <c r="AK152" s="207"/>
      <c r="AL152" s="207"/>
      <c r="AM152" s="207"/>
      <c r="AN152" s="207"/>
      <c r="AO152" s="207"/>
      <c r="AT152" s="207"/>
      <c r="AV152" s="207"/>
    </row>
    <row r="153" spans="1:48">
      <c r="A153" s="213"/>
      <c r="B153" s="212"/>
      <c r="C153" s="212"/>
      <c r="D153" s="212"/>
      <c r="E153" s="212"/>
      <c r="F153" s="212"/>
      <c r="G153" s="212"/>
      <c r="H153" s="212"/>
      <c r="I153" s="212"/>
      <c r="J153" s="212"/>
      <c r="K153" s="212"/>
      <c r="L153" s="213"/>
      <c r="M153" s="212"/>
      <c r="N153" s="212"/>
      <c r="O153" s="212"/>
      <c r="P153" s="212"/>
      <c r="Q153" s="212"/>
      <c r="R153" s="212"/>
      <c r="S153" s="212"/>
      <c r="T153" s="212"/>
      <c r="U153" s="212"/>
      <c r="V153" s="212"/>
      <c r="W153" s="212"/>
      <c r="X153" s="212"/>
      <c r="Y153" s="212"/>
      <c r="Z153" s="212"/>
      <c r="AA153" s="212"/>
      <c r="AH153" s="207"/>
      <c r="AI153" s="207"/>
      <c r="AJ153" s="207"/>
      <c r="AK153" s="207"/>
      <c r="AL153" s="207"/>
      <c r="AM153" s="207"/>
      <c r="AN153" s="207"/>
      <c r="AO153" s="207"/>
      <c r="AT153" s="207"/>
      <c r="AV153" s="207"/>
    </row>
    <row r="154" spans="1:48">
      <c r="A154" s="213"/>
      <c r="B154" s="212"/>
      <c r="C154" s="212"/>
      <c r="D154" s="212"/>
      <c r="E154" s="212"/>
      <c r="F154" s="212"/>
      <c r="G154" s="212"/>
      <c r="H154" s="212"/>
      <c r="I154" s="212"/>
      <c r="J154" s="212"/>
      <c r="K154" s="212"/>
      <c r="L154" s="212"/>
      <c r="M154" s="212"/>
      <c r="N154" s="212"/>
      <c r="O154" s="212"/>
      <c r="P154" s="212"/>
      <c r="Q154" s="212"/>
      <c r="R154" s="212"/>
      <c r="S154" s="212"/>
      <c r="T154" s="212"/>
      <c r="U154" s="212"/>
      <c r="V154" s="212"/>
      <c r="W154" s="212"/>
      <c r="X154" s="212"/>
      <c r="Y154" s="212"/>
      <c r="Z154" s="212"/>
      <c r="AA154" s="212"/>
      <c r="AH154" s="207"/>
      <c r="AI154" s="207"/>
      <c r="AJ154" s="207"/>
      <c r="AK154" s="207"/>
      <c r="AL154" s="207"/>
      <c r="AM154" s="207"/>
      <c r="AN154" s="207"/>
      <c r="AO154" s="207"/>
      <c r="AT154" s="207"/>
      <c r="AV154" s="207"/>
    </row>
    <row r="155" spans="1:48">
      <c r="A155" s="213"/>
      <c r="B155" s="212"/>
      <c r="C155" s="212"/>
      <c r="D155" s="212"/>
      <c r="E155" s="212"/>
      <c r="F155" s="212"/>
      <c r="G155" s="212"/>
      <c r="H155" s="212"/>
      <c r="I155" s="212"/>
      <c r="J155" s="212"/>
      <c r="K155" s="212"/>
      <c r="L155" s="212"/>
      <c r="M155" s="212"/>
      <c r="N155" s="212"/>
      <c r="O155" s="212"/>
      <c r="P155" s="212"/>
      <c r="Q155" s="212"/>
      <c r="R155" s="212"/>
      <c r="S155" s="212"/>
      <c r="T155" s="212"/>
      <c r="U155" s="212"/>
      <c r="V155" s="212"/>
      <c r="W155" s="212"/>
      <c r="X155" s="212"/>
      <c r="Y155" s="212"/>
      <c r="Z155" s="212"/>
      <c r="AA155" s="212"/>
      <c r="AH155" s="207"/>
      <c r="AI155" s="207"/>
      <c r="AJ155" s="207"/>
      <c r="AK155" s="207"/>
      <c r="AL155" s="207"/>
      <c r="AM155" s="207"/>
      <c r="AN155" s="207"/>
      <c r="AO155" s="207"/>
      <c r="AT155" s="207"/>
      <c r="AV155" s="207"/>
    </row>
    <row r="156" spans="1:48">
      <c r="A156" s="213"/>
      <c r="B156" s="212"/>
      <c r="C156" s="212"/>
      <c r="D156" s="212"/>
      <c r="E156" s="212"/>
      <c r="F156" s="212"/>
      <c r="G156" s="212"/>
      <c r="H156" s="212"/>
      <c r="I156" s="212"/>
      <c r="J156" s="212"/>
      <c r="K156" s="212"/>
      <c r="L156" s="212"/>
      <c r="M156" s="212"/>
      <c r="N156" s="212"/>
      <c r="O156" s="212"/>
      <c r="P156" s="212"/>
      <c r="Q156" s="212"/>
      <c r="R156" s="212"/>
      <c r="S156" s="212"/>
      <c r="T156" s="212"/>
      <c r="U156" s="212"/>
      <c r="V156" s="212"/>
      <c r="W156" s="212"/>
      <c r="X156" s="212"/>
      <c r="Y156" s="212"/>
      <c r="Z156" s="212"/>
      <c r="AA156" s="212"/>
      <c r="AH156" s="207"/>
      <c r="AI156" s="207"/>
      <c r="AJ156" s="207"/>
      <c r="AK156" s="207"/>
      <c r="AL156" s="207"/>
      <c r="AM156" s="207"/>
      <c r="AN156" s="207"/>
      <c r="AO156" s="207"/>
      <c r="AT156" s="207"/>
      <c r="AV156" s="207"/>
    </row>
    <row r="157" spans="1:48">
      <c r="A157" s="213"/>
      <c r="B157" s="212"/>
      <c r="C157" s="212"/>
      <c r="D157" s="212"/>
      <c r="E157" s="212"/>
      <c r="F157" s="212"/>
      <c r="G157" s="212"/>
      <c r="H157" s="212"/>
      <c r="I157" s="212"/>
      <c r="J157" s="212"/>
      <c r="K157" s="212"/>
      <c r="L157" s="212"/>
      <c r="M157" s="212"/>
      <c r="N157" s="212"/>
      <c r="O157" s="212"/>
      <c r="P157" s="212"/>
      <c r="Q157" s="212"/>
      <c r="R157" s="212"/>
      <c r="S157" s="212"/>
      <c r="T157" s="212"/>
      <c r="U157" s="212"/>
      <c r="V157" s="212"/>
      <c r="W157" s="212"/>
      <c r="X157" s="212"/>
      <c r="Y157" s="212"/>
      <c r="Z157" s="212"/>
      <c r="AA157" s="212"/>
      <c r="AH157" s="207"/>
      <c r="AI157" s="207"/>
      <c r="AJ157" s="207"/>
      <c r="AK157" s="207"/>
      <c r="AL157" s="207"/>
      <c r="AM157" s="207"/>
      <c r="AN157" s="207"/>
      <c r="AO157" s="207"/>
      <c r="AT157" s="207"/>
      <c r="AV157" s="207"/>
    </row>
    <row r="158" spans="1:48">
      <c r="A158" s="213"/>
      <c r="B158" s="212"/>
      <c r="C158" s="212"/>
      <c r="D158" s="212"/>
      <c r="E158" s="212"/>
      <c r="F158" s="212"/>
      <c r="G158" s="212"/>
      <c r="H158" s="212"/>
      <c r="I158" s="212"/>
      <c r="J158" s="212"/>
      <c r="K158" s="212"/>
      <c r="L158" s="212"/>
      <c r="M158" s="212"/>
      <c r="N158" s="212"/>
      <c r="O158" s="212"/>
      <c r="P158" s="212"/>
      <c r="Q158" s="212"/>
      <c r="R158" s="212"/>
      <c r="S158" s="212"/>
      <c r="T158" s="212"/>
      <c r="U158" s="212"/>
      <c r="V158" s="212"/>
      <c r="W158" s="212"/>
      <c r="X158" s="212"/>
      <c r="Y158" s="212"/>
      <c r="Z158" s="212"/>
      <c r="AA158" s="212"/>
      <c r="AH158" s="207"/>
      <c r="AI158" s="207"/>
      <c r="AJ158" s="207"/>
      <c r="AK158" s="207"/>
      <c r="AL158" s="207"/>
      <c r="AM158" s="207"/>
      <c r="AN158" s="207"/>
      <c r="AO158" s="207"/>
      <c r="AT158" s="207"/>
      <c r="AV158" s="207"/>
    </row>
    <row r="159" spans="1:48">
      <c r="A159" s="213"/>
      <c r="B159" s="212"/>
      <c r="C159" s="212"/>
      <c r="D159" s="212"/>
      <c r="E159" s="212"/>
      <c r="F159" s="212"/>
      <c r="G159" s="212"/>
      <c r="H159" s="212"/>
      <c r="I159" s="212"/>
      <c r="J159" s="212"/>
      <c r="K159" s="212"/>
      <c r="L159" s="212"/>
      <c r="M159" s="212"/>
      <c r="N159" s="212"/>
      <c r="O159" s="212"/>
      <c r="P159" s="212"/>
      <c r="Q159" s="212"/>
      <c r="R159" s="212"/>
      <c r="S159" s="212"/>
      <c r="T159" s="212"/>
      <c r="U159" s="212"/>
      <c r="V159" s="212"/>
      <c r="W159" s="212"/>
      <c r="X159" s="212"/>
      <c r="Y159" s="212"/>
      <c r="Z159" s="212"/>
      <c r="AA159" s="212"/>
      <c r="AH159" s="207"/>
      <c r="AI159" s="207"/>
      <c r="AJ159" s="207"/>
      <c r="AK159" s="207"/>
      <c r="AL159" s="207"/>
      <c r="AM159" s="207"/>
      <c r="AN159" s="207"/>
      <c r="AO159" s="207"/>
      <c r="AT159" s="207"/>
      <c r="AV159" s="207"/>
    </row>
    <row r="160" spans="1:48">
      <c r="A160" s="213"/>
      <c r="B160" s="212"/>
      <c r="C160" s="212"/>
      <c r="D160" s="212"/>
      <c r="E160" s="212"/>
      <c r="F160" s="212"/>
      <c r="G160" s="212"/>
      <c r="H160" s="212"/>
      <c r="I160" s="212"/>
      <c r="J160" s="212"/>
      <c r="K160" s="212"/>
      <c r="L160" s="212"/>
      <c r="M160" s="212"/>
      <c r="N160" s="212"/>
      <c r="O160" s="212"/>
      <c r="P160" s="212"/>
      <c r="Q160" s="212"/>
      <c r="R160" s="212"/>
      <c r="S160" s="212"/>
      <c r="T160" s="212"/>
      <c r="U160" s="212"/>
      <c r="V160" s="212"/>
      <c r="W160" s="212"/>
      <c r="X160" s="212"/>
      <c r="Y160" s="212"/>
      <c r="Z160" s="212"/>
      <c r="AA160" s="212"/>
      <c r="AH160" s="207"/>
      <c r="AI160" s="207"/>
      <c r="AJ160" s="207"/>
      <c r="AK160" s="207"/>
      <c r="AL160" s="207"/>
      <c r="AM160" s="207"/>
      <c r="AN160" s="207"/>
      <c r="AO160" s="207"/>
      <c r="AT160" s="207"/>
      <c r="AV160" s="207"/>
    </row>
    <row r="161" spans="1:48">
      <c r="A161" s="213"/>
      <c r="B161" s="212"/>
      <c r="C161" s="212"/>
      <c r="D161" s="212"/>
      <c r="E161" s="212"/>
      <c r="F161" s="212"/>
      <c r="G161" s="212"/>
      <c r="H161" s="212"/>
      <c r="I161" s="212"/>
      <c r="J161" s="212"/>
      <c r="K161" s="212"/>
      <c r="L161" s="212"/>
      <c r="M161" s="212"/>
      <c r="N161" s="212"/>
      <c r="O161" s="212"/>
      <c r="P161" s="212"/>
      <c r="Q161" s="212"/>
      <c r="R161" s="212"/>
      <c r="S161" s="212"/>
      <c r="T161" s="212"/>
      <c r="U161" s="212"/>
      <c r="V161" s="212"/>
      <c r="W161" s="212"/>
      <c r="X161" s="212"/>
      <c r="Y161" s="212"/>
      <c r="Z161" s="212"/>
      <c r="AA161" s="212"/>
      <c r="AH161" s="207"/>
      <c r="AI161" s="207"/>
      <c r="AJ161" s="207"/>
      <c r="AK161" s="207"/>
      <c r="AL161" s="207"/>
      <c r="AM161" s="207"/>
      <c r="AN161" s="207"/>
      <c r="AO161" s="207"/>
      <c r="AT161" s="207"/>
      <c r="AV161" s="207"/>
    </row>
    <row r="162" spans="1:48">
      <c r="A162" s="213"/>
      <c r="B162" s="212"/>
      <c r="C162" s="212"/>
      <c r="D162" s="212"/>
      <c r="E162" s="212"/>
      <c r="F162" s="212"/>
      <c r="G162" s="212"/>
      <c r="H162" s="212"/>
      <c r="I162" s="212"/>
      <c r="J162" s="212"/>
      <c r="K162" s="212"/>
      <c r="L162" s="212"/>
      <c r="M162" s="212"/>
      <c r="N162" s="212"/>
      <c r="O162" s="212"/>
      <c r="P162" s="212"/>
      <c r="Q162" s="212"/>
      <c r="R162" s="212"/>
      <c r="S162" s="212"/>
      <c r="T162" s="212"/>
      <c r="U162" s="212"/>
      <c r="V162" s="212"/>
      <c r="W162" s="212"/>
      <c r="X162" s="212"/>
      <c r="Y162" s="212"/>
      <c r="Z162" s="212"/>
      <c r="AA162" s="212"/>
      <c r="AH162" s="207"/>
      <c r="AI162" s="207"/>
      <c r="AJ162" s="207"/>
      <c r="AK162" s="207"/>
      <c r="AL162" s="207"/>
      <c r="AM162" s="207"/>
      <c r="AN162" s="207"/>
      <c r="AO162" s="207"/>
      <c r="AT162" s="207"/>
      <c r="AV162" s="207"/>
    </row>
    <row r="163" spans="1:48">
      <c r="A163" s="213"/>
      <c r="B163" s="212"/>
      <c r="C163" s="212"/>
      <c r="D163" s="212"/>
      <c r="E163" s="212"/>
      <c r="F163" s="212"/>
      <c r="G163" s="212"/>
      <c r="H163" s="212"/>
      <c r="I163" s="212"/>
      <c r="J163" s="212"/>
      <c r="K163" s="212"/>
      <c r="L163" s="212"/>
      <c r="M163" s="212"/>
      <c r="N163" s="212"/>
      <c r="O163" s="212"/>
      <c r="P163" s="212"/>
      <c r="Q163" s="212"/>
      <c r="R163" s="212"/>
      <c r="S163" s="212"/>
      <c r="T163" s="212"/>
      <c r="U163" s="212"/>
      <c r="V163" s="212"/>
      <c r="W163" s="212"/>
      <c r="X163" s="212"/>
      <c r="Y163" s="212"/>
      <c r="Z163" s="212"/>
      <c r="AA163" s="212"/>
      <c r="AH163" s="207"/>
      <c r="AI163" s="207"/>
      <c r="AJ163" s="207"/>
      <c r="AK163" s="207"/>
      <c r="AL163" s="207"/>
      <c r="AM163" s="207"/>
      <c r="AN163" s="207"/>
      <c r="AO163" s="207"/>
      <c r="AT163" s="207"/>
      <c r="AV163" s="207"/>
    </row>
    <row r="164" spans="1:48">
      <c r="A164" s="213"/>
      <c r="B164" s="212"/>
      <c r="C164" s="212"/>
      <c r="D164" s="212"/>
      <c r="E164" s="212"/>
      <c r="F164" s="212"/>
      <c r="G164" s="212"/>
      <c r="H164" s="212"/>
      <c r="I164" s="212"/>
      <c r="J164" s="212"/>
      <c r="K164" s="212"/>
      <c r="L164" s="212"/>
      <c r="M164" s="212"/>
      <c r="N164" s="212"/>
      <c r="O164" s="212"/>
      <c r="P164" s="212"/>
      <c r="Q164" s="212"/>
      <c r="R164" s="212"/>
      <c r="S164" s="212"/>
      <c r="T164" s="212"/>
      <c r="U164" s="212"/>
      <c r="V164" s="212"/>
      <c r="W164" s="212"/>
      <c r="X164" s="212"/>
      <c r="Y164" s="212"/>
      <c r="Z164" s="212"/>
      <c r="AA164" s="212"/>
      <c r="AH164" s="207"/>
      <c r="AI164" s="207"/>
      <c r="AJ164" s="207"/>
      <c r="AK164" s="207"/>
      <c r="AL164" s="207"/>
      <c r="AM164" s="207"/>
      <c r="AN164" s="207"/>
      <c r="AO164" s="207"/>
      <c r="AT164" s="207"/>
      <c r="AV164" s="207"/>
    </row>
    <row r="165" spans="1:48">
      <c r="A165" s="213"/>
      <c r="B165" s="212"/>
      <c r="C165" s="212"/>
      <c r="D165" s="212"/>
      <c r="E165" s="212"/>
      <c r="F165" s="212"/>
      <c r="G165" s="212"/>
      <c r="H165" s="212"/>
      <c r="I165" s="212"/>
      <c r="J165" s="212"/>
      <c r="K165" s="212"/>
      <c r="L165" s="212"/>
      <c r="M165" s="212"/>
      <c r="N165" s="212"/>
      <c r="O165" s="212"/>
      <c r="P165" s="212"/>
      <c r="Q165" s="212"/>
      <c r="R165" s="212"/>
      <c r="S165" s="212"/>
      <c r="T165" s="212"/>
      <c r="U165" s="212"/>
      <c r="V165" s="212"/>
      <c r="W165" s="212"/>
      <c r="X165" s="212"/>
      <c r="Y165" s="212"/>
      <c r="Z165" s="212"/>
      <c r="AA165" s="212"/>
      <c r="AH165" s="207"/>
      <c r="AI165" s="207"/>
      <c r="AJ165" s="207"/>
      <c r="AK165" s="207"/>
      <c r="AL165" s="207"/>
      <c r="AM165" s="207"/>
      <c r="AN165" s="207"/>
      <c r="AO165" s="207"/>
      <c r="AT165" s="207"/>
      <c r="AV165" s="207"/>
    </row>
    <row r="166" spans="1:48">
      <c r="A166" s="213"/>
      <c r="B166" s="212"/>
      <c r="C166" s="212"/>
      <c r="D166" s="212"/>
      <c r="E166" s="212"/>
      <c r="F166" s="212"/>
      <c r="G166" s="212"/>
      <c r="H166" s="212"/>
      <c r="I166" s="212"/>
      <c r="J166" s="212"/>
      <c r="K166" s="212"/>
      <c r="L166" s="212"/>
      <c r="M166" s="212"/>
      <c r="N166" s="212"/>
      <c r="O166" s="212"/>
      <c r="P166" s="212"/>
      <c r="Q166" s="212"/>
      <c r="R166" s="212"/>
      <c r="S166" s="212"/>
      <c r="T166" s="212"/>
      <c r="U166" s="212"/>
      <c r="V166" s="212"/>
      <c r="W166" s="212"/>
      <c r="X166" s="212"/>
      <c r="Y166" s="212"/>
      <c r="Z166" s="212"/>
      <c r="AA166" s="212"/>
      <c r="AH166" s="207"/>
      <c r="AI166" s="207"/>
      <c r="AJ166" s="207"/>
      <c r="AK166" s="207"/>
      <c r="AL166" s="207"/>
      <c r="AM166" s="207"/>
      <c r="AN166" s="207"/>
      <c r="AO166" s="207"/>
      <c r="AT166" s="207"/>
      <c r="AV166" s="207"/>
    </row>
    <row r="167" spans="1:48">
      <c r="A167" s="213"/>
      <c r="B167" s="212"/>
      <c r="C167" s="212"/>
      <c r="D167" s="212"/>
      <c r="E167" s="212"/>
      <c r="F167" s="212"/>
      <c r="G167" s="212"/>
      <c r="H167" s="212"/>
      <c r="I167" s="212"/>
      <c r="J167" s="212"/>
      <c r="K167" s="212"/>
      <c r="L167" s="212"/>
      <c r="M167" s="212"/>
      <c r="N167" s="212"/>
      <c r="O167" s="212"/>
      <c r="P167" s="212"/>
      <c r="Q167" s="212"/>
      <c r="R167" s="212"/>
      <c r="S167" s="212"/>
      <c r="T167" s="212"/>
      <c r="U167" s="212"/>
      <c r="V167" s="212"/>
      <c r="W167" s="212"/>
      <c r="X167" s="212"/>
      <c r="Y167" s="212"/>
      <c r="Z167" s="212"/>
      <c r="AA167" s="212"/>
      <c r="AH167" s="207"/>
      <c r="AI167" s="207"/>
      <c r="AJ167" s="207"/>
      <c r="AK167" s="207"/>
      <c r="AL167" s="207"/>
      <c r="AM167" s="207"/>
      <c r="AN167" s="207"/>
      <c r="AO167" s="207"/>
      <c r="AT167" s="207"/>
      <c r="AV167" s="207"/>
    </row>
    <row r="168" spans="1:48">
      <c r="A168" s="213"/>
      <c r="B168" s="212"/>
      <c r="C168" s="212"/>
      <c r="D168" s="212"/>
      <c r="E168" s="212"/>
      <c r="F168" s="212"/>
      <c r="G168" s="212"/>
      <c r="H168" s="212"/>
      <c r="I168" s="212"/>
      <c r="J168" s="212"/>
      <c r="K168" s="212"/>
      <c r="L168" s="212"/>
      <c r="M168" s="212"/>
      <c r="N168" s="212"/>
      <c r="O168" s="212"/>
      <c r="P168" s="212"/>
      <c r="Q168" s="212"/>
      <c r="R168" s="212"/>
      <c r="S168" s="212"/>
      <c r="T168" s="212"/>
      <c r="U168" s="212"/>
      <c r="V168" s="212"/>
      <c r="W168" s="212"/>
      <c r="X168" s="212"/>
      <c r="Y168" s="212"/>
      <c r="Z168" s="212"/>
      <c r="AA168" s="212"/>
      <c r="AH168" s="207"/>
      <c r="AI168" s="207"/>
      <c r="AJ168" s="207"/>
      <c r="AK168" s="207"/>
      <c r="AL168" s="207"/>
      <c r="AM168" s="207"/>
      <c r="AN168" s="207"/>
      <c r="AO168" s="207"/>
      <c r="AT168" s="207"/>
      <c r="AV168" s="207"/>
    </row>
    <row r="169" spans="1:48">
      <c r="A169" s="213"/>
      <c r="B169" s="212"/>
      <c r="C169" s="212"/>
      <c r="D169" s="212"/>
      <c r="E169" s="212"/>
      <c r="F169" s="212"/>
      <c r="G169" s="212"/>
      <c r="H169" s="212"/>
      <c r="I169" s="212"/>
      <c r="J169" s="212"/>
      <c r="K169" s="212"/>
      <c r="L169" s="212"/>
      <c r="M169" s="212"/>
      <c r="N169" s="212"/>
      <c r="O169" s="212"/>
      <c r="P169" s="212"/>
      <c r="Q169" s="212"/>
      <c r="R169" s="212"/>
      <c r="S169" s="212"/>
      <c r="T169" s="212"/>
      <c r="U169" s="212"/>
      <c r="V169" s="212"/>
      <c r="W169" s="212"/>
      <c r="X169" s="212"/>
      <c r="Y169" s="212"/>
      <c r="Z169" s="212"/>
      <c r="AA169" s="212"/>
      <c r="AH169" s="207"/>
      <c r="AI169" s="207"/>
      <c r="AJ169" s="207"/>
      <c r="AK169" s="207"/>
      <c r="AL169" s="207"/>
      <c r="AM169" s="207"/>
      <c r="AN169" s="207"/>
      <c r="AO169" s="207"/>
      <c r="AT169" s="207"/>
      <c r="AV169" s="207"/>
    </row>
    <row r="170" spans="1:48">
      <c r="A170" s="213"/>
      <c r="B170" s="212"/>
      <c r="C170" s="212"/>
      <c r="D170" s="212"/>
      <c r="E170" s="212"/>
      <c r="F170" s="212"/>
      <c r="G170" s="212"/>
      <c r="H170" s="212"/>
      <c r="I170" s="212"/>
      <c r="J170" s="212"/>
      <c r="K170" s="212"/>
      <c r="L170" s="212"/>
      <c r="M170" s="212"/>
      <c r="N170" s="212"/>
      <c r="O170" s="212"/>
      <c r="P170" s="212"/>
      <c r="Q170" s="212"/>
      <c r="R170" s="212"/>
      <c r="S170" s="212"/>
      <c r="T170" s="212"/>
      <c r="U170" s="212"/>
      <c r="V170" s="212"/>
      <c r="W170" s="212"/>
      <c r="X170" s="212"/>
      <c r="Y170" s="212"/>
      <c r="Z170" s="212"/>
      <c r="AA170" s="212"/>
      <c r="AH170" s="207"/>
      <c r="AI170" s="207"/>
      <c r="AJ170" s="207"/>
      <c r="AK170" s="207"/>
      <c r="AL170" s="207"/>
      <c r="AM170" s="207"/>
      <c r="AN170" s="207"/>
      <c r="AO170" s="207"/>
      <c r="AT170" s="207"/>
      <c r="AV170" s="207"/>
    </row>
    <row r="171" spans="1:48">
      <c r="A171" s="213"/>
      <c r="B171" s="212"/>
      <c r="C171" s="212"/>
      <c r="D171" s="212"/>
      <c r="E171" s="212"/>
      <c r="F171" s="212"/>
      <c r="G171" s="212"/>
      <c r="H171" s="212"/>
      <c r="I171" s="212"/>
      <c r="J171" s="212"/>
      <c r="K171" s="212"/>
      <c r="L171" s="212"/>
      <c r="M171" s="212"/>
      <c r="N171" s="212"/>
      <c r="O171" s="212"/>
      <c r="P171" s="212"/>
      <c r="Q171" s="212"/>
      <c r="R171" s="212"/>
      <c r="S171" s="212"/>
      <c r="T171" s="212"/>
      <c r="U171" s="212"/>
      <c r="V171" s="212"/>
      <c r="W171" s="212"/>
      <c r="X171" s="212"/>
      <c r="Y171" s="212"/>
      <c r="Z171" s="212"/>
      <c r="AA171" s="212"/>
      <c r="AH171" s="207"/>
      <c r="AI171" s="207"/>
      <c r="AJ171" s="207"/>
      <c r="AK171" s="207"/>
      <c r="AL171" s="207"/>
      <c r="AM171" s="207"/>
      <c r="AN171" s="207"/>
      <c r="AO171" s="207"/>
      <c r="AT171" s="207"/>
      <c r="AV171" s="207"/>
    </row>
    <row r="172" spans="1:48">
      <c r="A172" s="213"/>
      <c r="B172" s="212"/>
      <c r="C172" s="212"/>
      <c r="D172" s="212"/>
      <c r="E172" s="212"/>
      <c r="F172" s="212"/>
      <c r="G172" s="212"/>
      <c r="H172" s="212"/>
      <c r="I172" s="212"/>
      <c r="J172" s="212"/>
      <c r="K172" s="212"/>
      <c r="L172" s="212"/>
      <c r="M172" s="212"/>
      <c r="N172" s="212"/>
      <c r="O172" s="212"/>
      <c r="P172" s="212"/>
      <c r="Q172" s="212"/>
      <c r="R172" s="212"/>
      <c r="S172" s="212"/>
      <c r="T172" s="212"/>
      <c r="U172" s="212"/>
      <c r="V172" s="212"/>
      <c r="W172" s="212"/>
      <c r="X172" s="212"/>
      <c r="Y172" s="212"/>
      <c r="Z172" s="212"/>
      <c r="AA172" s="212"/>
      <c r="AH172" s="207"/>
      <c r="AI172" s="207"/>
      <c r="AJ172" s="207"/>
      <c r="AK172" s="207"/>
      <c r="AL172" s="207"/>
      <c r="AM172" s="207"/>
      <c r="AN172" s="207"/>
      <c r="AO172" s="207"/>
      <c r="AT172" s="207"/>
      <c r="AV172" s="207"/>
    </row>
    <row r="173" spans="1:48">
      <c r="A173" s="213"/>
      <c r="B173" s="212"/>
      <c r="C173" s="212"/>
      <c r="D173" s="212"/>
      <c r="E173" s="212"/>
      <c r="F173" s="212"/>
      <c r="G173" s="212"/>
      <c r="H173" s="212"/>
      <c r="I173" s="212"/>
      <c r="J173" s="212"/>
      <c r="K173" s="212"/>
      <c r="L173" s="212"/>
      <c r="M173" s="212"/>
      <c r="N173" s="212"/>
      <c r="O173" s="212"/>
      <c r="P173" s="212"/>
      <c r="Q173" s="212"/>
      <c r="R173" s="212"/>
      <c r="S173" s="212"/>
      <c r="T173" s="212"/>
      <c r="U173" s="212"/>
      <c r="V173" s="212"/>
      <c r="W173" s="212"/>
      <c r="X173" s="212"/>
      <c r="Y173" s="212"/>
      <c r="Z173" s="212"/>
      <c r="AA173" s="212"/>
      <c r="AH173" s="207"/>
      <c r="AI173" s="207"/>
      <c r="AJ173" s="207"/>
      <c r="AK173" s="207"/>
      <c r="AL173" s="207"/>
      <c r="AM173" s="207"/>
      <c r="AN173" s="207"/>
      <c r="AO173" s="207"/>
      <c r="AT173" s="207"/>
      <c r="AV173" s="207"/>
    </row>
    <row r="174" spans="1:48">
      <c r="A174" s="213"/>
      <c r="B174" s="212"/>
      <c r="C174" s="212"/>
      <c r="D174" s="212"/>
      <c r="E174" s="212"/>
      <c r="F174" s="212"/>
      <c r="G174" s="212"/>
      <c r="H174" s="212"/>
      <c r="I174" s="212"/>
      <c r="J174" s="212"/>
      <c r="K174" s="212"/>
      <c r="L174" s="212"/>
      <c r="M174" s="212"/>
      <c r="N174" s="212"/>
      <c r="O174" s="212"/>
      <c r="P174" s="212"/>
      <c r="Q174" s="212"/>
      <c r="R174" s="212"/>
      <c r="S174" s="212"/>
      <c r="T174" s="212"/>
      <c r="U174" s="212"/>
      <c r="V174" s="212"/>
      <c r="W174" s="212"/>
      <c r="X174" s="212"/>
      <c r="Y174" s="212"/>
      <c r="Z174" s="212"/>
      <c r="AA174" s="212"/>
      <c r="AH174" s="207"/>
      <c r="AI174" s="207"/>
      <c r="AJ174" s="207"/>
      <c r="AK174" s="207"/>
      <c r="AL174" s="207"/>
      <c r="AM174" s="207"/>
      <c r="AN174" s="207"/>
      <c r="AO174" s="207"/>
      <c r="AT174" s="207"/>
      <c r="AV174" s="207"/>
    </row>
    <row r="175" spans="1:48">
      <c r="A175" s="213"/>
      <c r="B175" s="212"/>
      <c r="C175" s="212"/>
      <c r="D175" s="212"/>
      <c r="E175" s="212"/>
      <c r="F175" s="212"/>
      <c r="G175" s="212"/>
      <c r="H175" s="212"/>
      <c r="I175" s="212"/>
      <c r="J175" s="212"/>
      <c r="K175" s="212"/>
      <c r="L175" s="212"/>
      <c r="M175" s="212"/>
      <c r="N175" s="212"/>
      <c r="O175" s="212"/>
      <c r="P175" s="212"/>
      <c r="Q175" s="212"/>
      <c r="R175" s="212"/>
      <c r="S175" s="212"/>
      <c r="T175" s="212"/>
      <c r="U175" s="212"/>
      <c r="V175" s="212"/>
      <c r="W175" s="212"/>
      <c r="X175" s="212"/>
      <c r="Y175" s="212"/>
      <c r="Z175" s="212"/>
      <c r="AA175" s="212"/>
      <c r="AH175" s="207"/>
      <c r="AI175" s="207"/>
      <c r="AJ175" s="207"/>
      <c r="AK175" s="207"/>
      <c r="AL175" s="207"/>
      <c r="AM175" s="207"/>
      <c r="AN175" s="207"/>
      <c r="AO175" s="207"/>
      <c r="AT175" s="207"/>
      <c r="AV175" s="207"/>
    </row>
    <row r="176" spans="1:48">
      <c r="A176" s="213"/>
      <c r="B176" s="212"/>
      <c r="C176" s="212"/>
      <c r="D176" s="212"/>
      <c r="E176" s="212"/>
      <c r="F176" s="212"/>
      <c r="G176" s="212"/>
      <c r="H176" s="212"/>
      <c r="I176" s="212"/>
      <c r="J176" s="212"/>
      <c r="K176" s="212"/>
      <c r="L176" s="212"/>
      <c r="M176" s="212"/>
      <c r="N176" s="212"/>
      <c r="O176" s="212"/>
      <c r="P176" s="212"/>
      <c r="Q176" s="212"/>
      <c r="R176" s="212"/>
      <c r="S176" s="212"/>
      <c r="T176" s="212"/>
      <c r="U176" s="212"/>
      <c r="V176" s="212"/>
      <c r="W176" s="212"/>
      <c r="X176" s="212"/>
      <c r="Y176" s="212"/>
      <c r="Z176" s="212"/>
      <c r="AA176" s="212"/>
      <c r="AH176" s="207"/>
      <c r="AI176" s="207"/>
      <c r="AJ176" s="207"/>
      <c r="AK176" s="207"/>
      <c r="AL176" s="207"/>
      <c r="AM176" s="207"/>
      <c r="AN176" s="207"/>
      <c r="AO176" s="207"/>
      <c r="AT176" s="207"/>
      <c r="AV176" s="207"/>
    </row>
    <row r="177" spans="1:48">
      <c r="A177" s="213"/>
      <c r="B177" s="212"/>
      <c r="C177" s="212"/>
      <c r="D177" s="212"/>
      <c r="E177" s="212"/>
      <c r="F177" s="212"/>
      <c r="G177" s="212"/>
      <c r="H177" s="212"/>
      <c r="I177" s="212"/>
      <c r="J177" s="212"/>
      <c r="K177" s="212"/>
      <c r="L177" s="212"/>
      <c r="M177" s="212"/>
      <c r="N177" s="212"/>
      <c r="O177" s="212"/>
      <c r="P177" s="212"/>
      <c r="Q177" s="212"/>
      <c r="R177" s="212"/>
      <c r="S177" s="212"/>
      <c r="T177" s="212"/>
      <c r="U177" s="212"/>
      <c r="V177" s="212"/>
      <c r="W177" s="212"/>
      <c r="X177" s="212"/>
      <c r="Y177" s="212"/>
      <c r="Z177" s="212"/>
      <c r="AA177" s="212"/>
      <c r="AH177" s="207"/>
      <c r="AI177" s="207"/>
      <c r="AJ177" s="207"/>
      <c r="AK177" s="207"/>
      <c r="AL177" s="207"/>
      <c r="AM177" s="207"/>
      <c r="AN177" s="207"/>
      <c r="AO177" s="207"/>
      <c r="AT177" s="207"/>
      <c r="AV177" s="207"/>
    </row>
    <row r="178" spans="1:48">
      <c r="A178" s="213"/>
      <c r="B178" s="212"/>
      <c r="C178" s="212"/>
      <c r="D178" s="212"/>
      <c r="E178" s="212"/>
      <c r="F178" s="212"/>
      <c r="G178" s="212"/>
      <c r="H178" s="212"/>
      <c r="I178" s="212"/>
      <c r="J178" s="212"/>
      <c r="K178" s="212"/>
      <c r="L178" s="212"/>
      <c r="M178" s="212"/>
      <c r="N178" s="212"/>
      <c r="O178" s="212"/>
      <c r="P178" s="212"/>
      <c r="Q178" s="212"/>
      <c r="R178" s="212"/>
      <c r="S178" s="212"/>
      <c r="T178" s="212"/>
      <c r="U178" s="212"/>
      <c r="V178" s="212"/>
      <c r="W178" s="212"/>
      <c r="X178" s="212"/>
      <c r="Y178" s="212"/>
      <c r="Z178" s="212"/>
      <c r="AA178" s="212"/>
      <c r="AH178" s="207"/>
      <c r="AI178" s="207"/>
      <c r="AJ178" s="207"/>
      <c r="AK178" s="207"/>
      <c r="AL178" s="207"/>
      <c r="AM178" s="207"/>
      <c r="AN178" s="207"/>
      <c r="AO178" s="207"/>
      <c r="AT178" s="207"/>
      <c r="AV178" s="207"/>
    </row>
    <row r="179" spans="1:48">
      <c r="A179" s="213"/>
      <c r="B179" s="212"/>
      <c r="C179" s="212"/>
      <c r="D179" s="212"/>
      <c r="E179" s="212"/>
      <c r="F179" s="212"/>
      <c r="G179" s="212"/>
      <c r="H179" s="212"/>
      <c r="I179" s="212"/>
      <c r="J179" s="212"/>
      <c r="K179" s="212"/>
      <c r="L179" s="212"/>
      <c r="M179" s="212"/>
      <c r="N179" s="212"/>
      <c r="O179" s="212"/>
      <c r="P179" s="212"/>
      <c r="Q179" s="212"/>
      <c r="R179" s="212"/>
      <c r="S179" s="212"/>
      <c r="T179" s="212"/>
      <c r="U179" s="212"/>
      <c r="V179" s="212"/>
      <c r="W179" s="212"/>
      <c r="X179" s="212"/>
      <c r="Y179" s="212"/>
      <c r="Z179" s="212"/>
      <c r="AA179" s="212"/>
      <c r="AH179" s="207"/>
      <c r="AI179" s="207"/>
      <c r="AJ179" s="207"/>
      <c r="AK179" s="207"/>
      <c r="AL179" s="207"/>
      <c r="AM179" s="207"/>
      <c r="AN179" s="207"/>
      <c r="AO179" s="207"/>
      <c r="AT179" s="207"/>
      <c r="AV179" s="207"/>
    </row>
    <row r="180" spans="1:48">
      <c r="A180" s="213"/>
      <c r="B180" s="212"/>
      <c r="C180" s="212"/>
      <c r="D180" s="212"/>
      <c r="E180" s="212"/>
      <c r="F180" s="212"/>
      <c r="G180" s="212"/>
      <c r="H180" s="212"/>
      <c r="I180" s="212"/>
      <c r="J180" s="212"/>
      <c r="K180" s="212"/>
      <c r="L180" s="212"/>
      <c r="M180" s="212"/>
      <c r="N180" s="212"/>
      <c r="O180" s="212"/>
      <c r="P180" s="212"/>
      <c r="Q180" s="212"/>
      <c r="R180" s="212"/>
      <c r="S180" s="212"/>
      <c r="T180" s="212"/>
      <c r="U180" s="212"/>
      <c r="V180" s="212"/>
      <c r="W180" s="212"/>
      <c r="X180" s="212"/>
      <c r="Y180" s="212"/>
      <c r="Z180" s="212"/>
      <c r="AA180" s="212"/>
      <c r="AH180" s="207"/>
      <c r="AI180" s="207"/>
      <c r="AJ180" s="207"/>
      <c r="AK180" s="207"/>
      <c r="AL180" s="207"/>
      <c r="AM180" s="207"/>
      <c r="AN180" s="207"/>
      <c r="AO180" s="207"/>
      <c r="AT180" s="207"/>
      <c r="AV180" s="207"/>
    </row>
    <row r="181" spans="1:48">
      <c r="A181" s="213"/>
      <c r="B181" s="212"/>
      <c r="C181" s="212"/>
      <c r="D181" s="212"/>
      <c r="E181" s="212"/>
      <c r="F181" s="212"/>
      <c r="G181" s="212"/>
      <c r="H181" s="212"/>
      <c r="I181" s="212"/>
      <c r="J181" s="212"/>
      <c r="K181" s="212"/>
      <c r="L181" s="212"/>
      <c r="M181" s="212"/>
      <c r="N181" s="212"/>
      <c r="O181" s="212"/>
      <c r="P181" s="212"/>
      <c r="Q181" s="212"/>
      <c r="R181" s="212"/>
      <c r="S181" s="212"/>
      <c r="T181" s="212"/>
      <c r="U181" s="212"/>
      <c r="V181" s="212"/>
      <c r="W181" s="212"/>
      <c r="X181" s="212"/>
      <c r="Y181" s="212"/>
      <c r="Z181" s="212"/>
      <c r="AA181" s="212"/>
      <c r="AH181" s="207"/>
      <c r="AI181" s="207"/>
      <c r="AJ181" s="207"/>
      <c r="AK181" s="207"/>
      <c r="AL181" s="207"/>
      <c r="AM181" s="207"/>
      <c r="AN181" s="207"/>
      <c r="AO181" s="207"/>
      <c r="AT181" s="207"/>
      <c r="AV181" s="207"/>
    </row>
    <row r="182" spans="1:48">
      <c r="A182" s="213"/>
      <c r="B182" s="212"/>
      <c r="C182" s="212"/>
      <c r="D182" s="212"/>
      <c r="E182" s="212"/>
      <c r="F182" s="212"/>
      <c r="G182" s="212"/>
      <c r="H182" s="212"/>
      <c r="I182" s="212"/>
      <c r="J182" s="212"/>
      <c r="K182" s="212"/>
      <c r="L182" s="212"/>
      <c r="M182" s="212"/>
      <c r="N182" s="212"/>
      <c r="O182" s="212"/>
      <c r="P182" s="212"/>
      <c r="Q182" s="212"/>
      <c r="R182" s="212"/>
      <c r="S182" s="212"/>
      <c r="T182" s="212"/>
      <c r="U182" s="212"/>
      <c r="V182" s="212"/>
      <c r="W182" s="212"/>
      <c r="X182" s="212"/>
      <c r="Y182" s="212"/>
      <c r="Z182" s="212"/>
      <c r="AA182" s="212"/>
      <c r="AH182" s="207"/>
      <c r="AI182" s="207"/>
      <c r="AJ182" s="207"/>
      <c r="AK182" s="207"/>
      <c r="AL182" s="207"/>
      <c r="AM182" s="207"/>
      <c r="AN182" s="207"/>
      <c r="AO182" s="207"/>
      <c r="AT182" s="207"/>
      <c r="AV182" s="207"/>
    </row>
    <row r="183" spans="1:48">
      <c r="A183" s="213"/>
      <c r="B183" s="212"/>
      <c r="C183" s="212"/>
      <c r="D183" s="212"/>
      <c r="E183" s="212"/>
      <c r="F183" s="212"/>
      <c r="G183" s="212"/>
      <c r="H183" s="212"/>
      <c r="I183" s="212"/>
      <c r="J183" s="212"/>
      <c r="K183" s="212"/>
      <c r="L183" s="212"/>
      <c r="M183" s="212"/>
      <c r="N183" s="212"/>
      <c r="O183" s="212"/>
      <c r="P183" s="212"/>
      <c r="Q183" s="212"/>
      <c r="R183" s="212"/>
      <c r="S183" s="212"/>
      <c r="T183" s="212"/>
      <c r="U183" s="212"/>
      <c r="V183" s="212"/>
      <c r="W183" s="212"/>
      <c r="X183" s="212"/>
      <c r="Y183" s="212"/>
      <c r="Z183" s="212"/>
      <c r="AA183" s="212"/>
      <c r="AH183" s="207"/>
      <c r="AI183" s="207"/>
      <c r="AJ183" s="207"/>
      <c r="AK183" s="207"/>
      <c r="AL183" s="207"/>
      <c r="AM183" s="207"/>
      <c r="AN183" s="207"/>
      <c r="AO183" s="207"/>
      <c r="AT183" s="207"/>
      <c r="AV183" s="207"/>
    </row>
    <row r="184" spans="1:48">
      <c r="A184" s="213"/>
      <c r="B184" s="212"/>
      <c r="C184" s="212"/>
      <c r="D184" s="212"/>
      <c r="E184" s="212"/>
      <c r="F184" s="212"/>
      <c r="G184" s="212"/>
      <c r="H184" s="212"/>
      <c r="I184" s="212"/>
      <c r="J184" s="212"/>
      <c r="K184" s="212"/>
      <c r="L184" s="212"/>
      <c r="M184" s="212"/>
      <c r="N184" s="212"/>
      <c r="O184" s="212"/>
      <c r="P184" s="212"/>
      <c r="Q184" s="212"/>
      <c r="R184" s="212"/>
      <c r="S184" s="212"/>
      <c r="T184" s="212"/>
      <c r="U184" s="212"/>
      <c r="V184" s="212"/>
      <c r="W184" s="212"/>
      <c r="X184" s="212"/>
      <c r="Y184" s="212"/>
      <c r="Z184" s="212"/>
      <c r="AA184" s="212"/>
      <c r="AH184" s="207"/>
      <c r="AI184" s="207"/>
      <c r="AJ184" s="207"/>
      <c r="AK184" s="207"/>
      <c r="AL184" s="207"/>
      <c r="AM184" s="207"/>
      <c r="AN184" s="207"/>
      <c r="AO184" s="207"/>
      <c r="AT184" s="207"/>
      <c r="AV184" s="207"/>
    </row>
    <row r="185" spans="1:48">
      <c r="A185" s="213"/>
      <c r="B185" s="212"/>
      <c r="C185" s="212"/>
      <c r="D185" s="212"/>
      <c r="E185" s="212"/>
      <c r="F185" s="212"/>
      <c r="G185" s="212"/>
      <c r="H185" s="212"/>
      <c r="I185" s="212"/>
      <c r="J185" s="212"/>
      <c r="K185" s="212"/>
      <c r="L185" s="212"/>
      <c r="M185" s="212"/>
      <c r="N185" s="212"/>
      <c r="O185" s="212"/>
      <c r="P185" s="212"/>
      <c r="Q185" s="212"/>
      <c r="R185" s="212"/>
      <c r="S185" s="212"/>
      <c r="T185" s="212"/>
      <c r="U185" s="212"/>
      <c r="V185" s="212"/>
      <c r="W185" s="212"/>
      <c r="X185" s="212"/>
      <c r="Y185" s="212"/>
      <c r="Z185" s="212"/>
      <c r="AA185" s="212"/>
      <c r="AH185" s="207"/>
      <c r="AI185" s="207"/>
      <c r="AJ185" s="207"/>
      <c r="AK185" s="207"/>
      <c r="AL185" s="207"/>
      <c r="AM185" s="207"/>
      <c r="AN185" s="207"/>
      <c r="AO185" s="207"/>
      <c r="AT185" s="207"/>
      <c r="AV185" s="207"/>
    </row>
    <row r="186" spans="1:48">
      <c r="A186" s="213"/>
      <c r="B186" s="212"/>
      <c r="C186" s="212"/>
      <c r="D186" s="212"/>
      <c r="E186" s="212"/>
      <c r="F186" s="212"/>
      <c r="G186" s="212"/>
      <c r="H186" s="212"/>
      <c r="I186" s="212"/>
      <c r="J186" s="212"/>
      <c r="K186" s="212"/>
      <c r="L186" s="212"/>
      <c r="M186" s="212"/>
      <c r="N186" s="212"/>
      <c r="O186" s="212"/>
      <c r="P186" s="212"/>
      <c r="Q186" s="212"/>
      <c r="R186" s="212"/>
      <c r="S186" s="212"/>
      <c r="T186" s="212"/>
      <c r="U186" s="212"/>
      <c r="V186" s="212"/>
      <c r="W186" s="212"/>
      <c r="X186" s="212"/>
      <c r="Y186" s="212"/>
      <c r="Z186" s="212"/>
      <c r="AA186" s="212"/>
      <c r="AH186" s="207"/>
      <c r="AI186" s="207"/>
      <c r="AJ186" s="207"/>
      <c r="AK186" s="207"/>
      <c r="AL186" s="207"/>
      <c r="AM186" s="207"/>
      <c r="AN186" s="207"/>
      <c r="AO186" s="207"/>
      <c r="AT186" s="207"/>
      <c r="AV186" s="207"/>
    </row>
    <row r="187" spans="1:48">
      <c r="A187" s="213"/>
      <c r="B187" s="212"/>
      <c r="C187" s="212"/>
      <c r="D187" s="212"/>
      <c r="E187" s="212"/>
      <c r="F187" s="212"/>
      <c r="G187" s="212"/>
      <c r="H187" s="212"/>
      <c r="I187" s="212"/>
      <c r="J187" s="212"/>
      <c r="K187" s="212"/>
      <c r="L187" s="212"/>
      <c r="M187" s="212"/>
      <c r="N187" s="212"/>
      <c r="O187" s="212"/>
      <c r="P187" s="212"/>
      <c r="Q187" s="212"/>
      <c r="R187" s="212"/>
      <c r="S187" s="212"/>
      <c r="T187" s="212"/>
      <c r="U187" s="212"/>
      <c r="V187" s="212"/>
      <c r="W187" s="212"/>
      <c r="X187" s="212"/>
      <c r="Y187" s="212"/>
      <c r="Z187" s="212"/>
      <c r="AA187" s="212"/>
      <c r="AH187" s="207"/>
      <c r="AI187" s="207"/>
      <c r="AJ187" s="207"/>
      <c r="AK187" s="207"/>
      <c r="AL187" s="207"/>
      <c r="AM187" s="207"/>
      <c r="AN187" s="207"/>
      <c r="AO187" s="207"/>
      <c r="AT187" s="207"/>
      <c r="AV187" s="207"/>
    </row>
    <row r="188" spans="1:48">
      <c r="A188" s="213"/>
      <c r="B188" s="212"/>
      <c r="C188" s="212"/>
      <c r="D188" s="212"/>
      <c r="E188" s="212"/>
      <c r="F188" s="212"/>
      <c r="G188" s="212"/>
      <c r="H188" s="212"/>
      <c r="I188" s="212"/>
      <c r="J188" s="212"/>
      <c r="K188" s="212"/>
      <c r="L188" s="212"/>
      <c r="M188" s="212"/>
      <c r="N188" s="212"/>
      <c r="O188" s="212"/>
      <c r="P188" s="212"/>
      <c r="Q188" s="212"/>
      <c r="R188" s="212"/>
      <c r="S188" s="212"/>
      <c r="T188" s="212"/>
      <c r="U188" s="212"/>
      <c r="V188" s="212"/>
      <c r="W188" s="212"/>
      <c r="X188" s="212"/>
      <c r="Y188" s="212"/>
      <c r="Z188" s="212"/>
      <c r="AA188" s="212"/>
      <c r="AH188" s="207"/>
      <c r="AI188" s="207"/>
      <c r="AJ188" s="207"/>
      <c r="AK188" s="207"/>
      <c r="AL188" s="207"/>
      <c r="AM188" s="207"/>
      <c r="AN188" s="207"/>
      <c r="AO188" s="207"/>
      <c r="AT188" s="207"/>
      <c r="AV188" s="207"/>
    </row>
    <row r="189" spans="1:48">
      <c r="A189" s="213"/>
      <c r="B189" s="212"/>
      <c r="C189" s="212"/>
      <c r="D189" s="212"/>
      <c r="E189" s="212"/>
      <c r="F189" s="212"/>
      <c r="G189" s="212"/>
      <c r="H189" s="212"/>
      <c r="I189" s="212"/>
      <c r="J189" s="212"/>
      <c r="K189" s="212"/>
      <c r="L189" s="212"/>
      <c r="M189" s="212"/>
      <c r="N189" s="212"/>
      <c r="O189" s="212"/>
      <c r="P189" s="212"/>
      <c r="Q189" s="212"/>
      <c r="R189" s="212"/>
      <c r="S189" s="212"/>
      <c r="T189" s="212"/>
      <c r="U189" s="212"/>
      <c r="V189" s="212"/>
      <c r="W189" s="212"/>
      <c r="X189" s="212"/>
      <c r="Y189" s="212"/>
      <c r="Z189" s="212"/>
      <c r="AA189" s="212"/>
      <c r="AH189" s="207"/>
      <c r="AI189" s="207"/>
      <c r="AJ189" s="207"/>
      <c r="AK189" s="207"/>
      <c r="AL189" s="207"/>
      <c r="AM189" s="207"/>
      <c r="AN189" s="207"/>
      <c r="AO189" s="207"/>
      <c r="AT189" s="207"/>
      <c r="AV189" s="207"/>
    </row>
    <row r="190" spans="1:48">
      <c r="A190" s="213"/>
      <c r="B190" s="212"/>
      <c r="C190" s="212"/>
      <c r="D190" s="212"/>
      <c r="E190" s="212"/>
      <c r="F190" s="212"/>
      <c r="G190" s="212"/>
      <c r="H190" s="212"/>
      <c r="I190" s="212"/>
      <c r="J190" s="212"/>
      <c r="K190" s="212"/>
      <c r="L190" s="212"/>
      <c r="M190" s="212"/>
      <c r="N190" s="212"/>
      <c r="O190" s="212"/>
      <c r="P190" s="212"/>
      <c r="Q190" s="212"/>
      <c r="R190" s="212"/>
      <c r="S190" s="212"/>
      <c r="T190" s="212"/>
      <c r="U190" s="212"/>
      <c r="V190" s="212"/>
      <c r="W190" s="212"/>
      <c r="X190" s="212"/>
      <c r="Y190" s="212"/>
      <c r="Z190" s="212"/>
      <c r="AA190" s="212"/>
      <c r="AH190" s="207"/>
      <c r="AI190" s="207"/>
      <c r="AJ190" s="207"/>
      <c r="AK190" s="207"/>
      <c r="AL190" s="207"/>
      <c r="AM190" s="207"/>
      <c r="AN190" s="207"/>
      <c r="AO190" s="207"/>
      <c r="AT190" s="207"/>
      <c r="AV190" s="207"/>
    </row>
    <row r="191" spans="1:48">
      <c r="A191" s="213"/>
      <c r="B191" s="212"/>
      <c r="C191" s="212"/>
      <c r="D191" s="212"/>
      <c r="E191" s="212"/>
      <c r="F191" s="212"/>
      <c r="G191" s="212"/>
      <c r="H191" s="212"/>
      <c r="I191" s="212"/>
      <c r="J191" s="212"/>
      <c r="K191" s="212"/>
      <c r="L191" s="212"/>
      <c r="M191" s="212"/>
      <c r="N191" s="212"/>
      <c r="O191" s="212"/>
      <c r="P191" s="212"/>
      <c r="Q191" s="212"/>
      <c r="R191" s="212"/>
      <c r="S191" s="212"/>
      <c r="T191" s="212"/>
      <c r="U191" s="212"/>
      <c r="V191" s="212"/>
      <c r="W191" s="212"/>
      <c r="X191" s="212"/>
      <c r="Y191" s="212"/>
      <c r="Z191" s="212"/>
      <c r="AA191" s="212"/>
      <c r="AH191" s="207"/>
      <c r="AI191" s="207"/>
      <c r="AJ191" s="207"/>
      <c r="AK191" s="207"/>
      <c r="AL191" s="207"/>
      <c r="AM191" s="207"/>
      <c r="AN191" s="207"/>
      <c r="AO191" s="207"/>
      <c r="AT191" s="207"/>
      <c r="AV191" s="207"/>
    </row>
    <row r="192" spans="1:48">
      <c r="A192" s="213"/>
      <c r="B192" s="212"/>
      <c r="C192" s="212"/>
      <c r="D192" s="212"/>
      <c r="E192" s="212"/>
      <c r="F192" s="212"/>
      <c r="G192" s="212"/>
      <c r="H192" s="212"/>
      <c r="I192" s="212"/>
      <c r="J192" s="212"/>
      <c r="K192" s="212"/>
      <c r="L192" s="212"/>
      <c r="M192" s="212"/>
      <c r="N192" s="212"/>
      <c r="O192" s="212"/>
      <c r="P192" s="212"/>
      <c r="Q192" s="212"/>
      <c r="R192" s="212"/>
      <c r="S192" s="212"/>
      <c r="T192" s="212"/>
      <c r="U192" s="212"/>
      <c r="V192" s="212"/>
      <c r="W192" s="212"/>
      <c r="X192" s="212"/>
      <c r="Y192" s="212"/>
      <c r="Z192" s="212"/>
      <c r="AA192" s="212"/>
      <c r="AH192" s="207"/>
      <c r="AI192" s="207"/>
      <c r="AJ192" s="207"/>
      <c r="AK192" s="207"/>
      <c r="AL192" s="207"/>
      <c r="AM192" s="207"/>
      <c r="AN192" s="207"/>
      <c r="AO192" s="207"/>
      <c r="AT192" s="207"/>
      <c r="AV192" s="207"/>
    </row>
    <row r="193" spans="1:48">
      <c r="A193" s="213"/>
      <c r="B193" s="212"/>
      <c r="C193" s="212"/>
      <c r="D193" s="212"/>
      <c r="E193" s="212"/>
      <c r="F193" s="212"/>
      <c r="G193" s="212"/>
      <c r="H193" s="212"/>
      <c r="I193" s="212"/>
      <c r="J193" s="212"/>
      <c r="K193" s="212"/>
      <c r="L193" s="212"/>
      <c r="M193" s="212"/>
      <c r="N193" s="212"/>
      <c r="O193" s="212"/>
      <c r="P193" s="212"/>
      <c r="Q193" s="212"/>
      <c r="R193" s="212"/>
      <c r="S193" s="212"/>
      <c r="T193" s="212"/>
      <c r="U193" s="212"/>
      <c r="V193" s="212"/>
      <c r="W193" s="212"/>
      <c r="X193" s="212"/>
      <c r="Y193" s="212"/>
      <c r="Z193" s="212"/>
      <c r="AA193" s="212"/>
      <c r="AH193" s="207"/>
      <c r="AI193" s="207"/>
      <c r="AJ193" s="207"/>
      <c r="AK193" s="207"/>
      <c r="AL193" s="207"/>
      <c r="AM193" s="207"/>
      <c r="AN193" s="207"/>
      <c r="AO193" s="207"/>
      <c r="AT193" s="207"/>
      <c r="AV193" s="207"/>
    </row>
    <row r="194" spans="1:48">
      <c r="A194" s="213"/>
      <c r="B194" s="212"/>
      <c r="C194" s="212"/>
      <c r="D194" s="212"/>
      <c r="E194" s="212"/>
      <c r="F194" s="212"/>
      <c r="G194" s="212"/>
      <c r="H194" s="212"/>
      <c r="I194" s="212"/>
      <c r="J194" s="212"/>
      <c r="K194" s="212"/>
      <c r="L194" s="212"/>
      <c r="M194" s="212"/>
      <c r="N194" s="212"/>
      <c r="O194" s="212"/>
      <c r="P194" s="212"/>
      <c r="Q194" s="212"/>
      <c r="R194" s="212"/>
      <c r="S194" s="212"/>
      <c r="T194" s="212"/>
      <c r="U194" s="212"/>
      <c r="V194" s="212"/>
      <c r="W194" s="212"/>
      <c r="X194" s="212"/>
      <c r="Y194" s="212"/>
      <c r="Z194" s="212"/>
      <c r="AA194" s="212"/>
      <c r="AH194" s="207"/>
      <c r="AI194" s="207"/>
      <c r="AJ194" s="207"/>
      <c r="AK194" s="207"/>
      <c r="AL194" s="207"/>
      <c r="AM194" s="207"/>
      <c r="AN194" s="207"/>
      <c r="AO194" s="207"/>
      <c r="AT194" s="207"/>
      <c r="AV194" s="207"/>
    </row>
    <row r="195" spans="1:48">
      <c r="A195" s="213"/>
      <c r="B195" s="212"/>
      <c r="C195" s="212"/>
      <c r="D195" s="212"/>
      <c r="E195" s="212"/>
      <c r="F195" s="212"/>
      <c r="G195" s="212"/>
      <c r="H195" s="212"/>
      <c r="I195" s="212"/>
      <c r="J195" s="212"/>
      <c r="K195" s="212"/>
      <c r="L195" s="212"/>
      <c r="M195" s="212"/>
      <c r="N195" s="212"/>
      <c r="O195" s="212"/>
      <c r="P195" s="212"/>
      <c r="Q195" s="212"/>
      <c r="R195" s="212"/>
      <c r="S195" s="212"/>
      <c r="T195" s="212"/>
      <c r="U195" s="212"/>
      <c r="V195" s="212"/>
      <c r="W195" s="212"/>
      <c r="X195" s="212"/>
      <c r="Y195" s="212"/>
      <c r="Z195" s="212"/>
      <c r="AA195" s="212"/>
      <c r="AH195" s="207"/>
      <c r="AI195" s="207"/>
      <c r="AJ195" s="207"/>
      <c r="AK195" s="207"/>
      <c r="AL195" s="207"/>
      <c r="AM195" s="207"/>
      <c r="AN195" s="207"/>
      <c r="AO195" s="207"/>
      <c r="AT195" s="207"/>
      <c r="AV195" s="207"/>
    </row>
    <row r="196" spans="1:48">
      <c r="A196" s="213"/>
      <c r="B196" s="212"/>
      <c r="C196" s="212"/>
      <c r="D196" s="212"/>
      <c r="E196" s="212"/>
      <c r="F196" s="212"/>
      <c r="G196" s="212"/>
      <c r="H196" s="212"/>
      <c r="I196" s="212"/>
      <c r="J196" s="212"/>
      <c r="K196" s="212"/>
      <c r="L196" s="212"/>
      <c r="M196" s="212"/>
      <c r="N196" s="212"/>
      <c r="O196" s="212"/>
      <c r="P196" s="212"/>
      <c r="Q196" s="212"/>
      <c r="R196" s="212"/>
      <c r="S196" s="212"/>
      <c r="T196" s="212"/>
      <c r="U196" s="212"/>
      <c r="V196" s="212"/>
      <c r="W196" s="212"/>
      <c r="X196" s="212"/>
      <c r="Y196" s="212"/>
      <c r="Z196" s="212"/>
      <c r="AA196" s="212"/>
      <c r="AH196" s="207"/>
      <c r="AI196" s="207"/>
      <c r="AJ196" s="207"/>
      <c r="AK196" s="207"/>
      <c r="AL196" s="207"/>
      <c r="AM196" s="207"/>
      <c r="AN196" s="207"/>
      <c r="AO196" s="207"/>
      <c r="AT196" s="207"/>
      <c r="AV196" s="207"/>
    </row>
    <row r="197" spans="1:48">
      <c r="A197" s="213"/>
      <c r="B197" s="212"/>
      <c r="C197" s="212"/>
      <c r="D197" s="212"/>
      <c r="E197" s="212"/>
      <c r="F197" s="212"/>
      <c r="G197" s="212"/>
      <c r="H197" s="212"/>
      <c r="I197" s="212"/>
      <c r="J197" s="212"/>
      <c r="K197" s="212"/>
      <c r="L197" s="212"/>
      <c r="M197" s="212"/>
      <c r="N197" s="212"/>
      <c r="O197" s="212"/>
      <c r="P197" s="212"/>
      <c r="Q197" s="212"/>
      <c r="R197" s="212"/>
      <c r="S197" s="212"/>
      <c r="T197" s="212"/>
      <c r="U197" s="212"/>
      <c r="V197" s="212"/>
      <c r="W197" s="212"/>
      <c r="X197" s="212"/>
      <c r="Y197" s="212"/>
      <c r="Z197" s="212"/>
      <c r="AA197" s="212"/>
      <c r="AH197" s="207"/>
      <c r="AI197" s="207"/>
      <c r="AJ197" s="207"/>
      <c r="AK197" s="207"/>
      <c r="AL197" s="207"/>
      <c r="AM197" s="207"/>
      <c r="AN197" s="207"/>
      <c r="AO197" s="207"/>
      <c r="AT197" s="207"/>
      <c r="AV197" s="207"/>
    </row>
    <row r="198" spans="1:48">
      <c r="A198" s="213"/>
      <c r="B198" s="212"/>
      <c r="C198" s="212"/>
      <c r="D198" s="212"/>
      <c r="E198" s="212"/>
      <c r="F198" s="212"/>
      <c r="G198" s="212"/>
      <c r="H198" s="212"/>
      <c r="I198" s="212"/>
      <c r="J198" s="212"/>
      <c r="K198" s="212"/>
      <c r="L198" s="212"/>
      <c r="M198" s="212"/>
      <c r="N198" s="212"/>
      <c r="O198" s="212"/>
      <c r="P198" s="212"/>
      <c r="Q198" s="212"/>
      <c r="R198" s="212"/>
      <c r="S198" s="212"/>
      <c r="T198" s="212"/>
      <c r="U198" s="212"/>
      <c r="V198" s="212"/>
      <c r="W198" s="212"/>
      <c r="X198" s="212"/>
      <c r="Y198" s="212"/>
      <c r="Z198" s="212"/>
      <c r="AA198" s="212"/>
      <c r="AH198" s="207"/>
      <c r="AI198" s="207"/>
      <c r="AJ198" s="207"/>
      <c r="AK198" s="207"/>
      <c r="AL198" s="207"/>
      <c r="AM198" s="207"/>
      <c r="AN198" s="207"/>
      <c r="AO198" s="207"/>
      <c r="AT198" s="207"/>
      <c r="AV198" s="207"/>
    </row>
    <row r="199" spans="1:48">
      <c r="A199" s="213"/>
      <c r="B199" s="212"/>
      <c r="C199" s="212"/>
      <c r="D199" s="212"/>
      <c r="E199" s="212"/>
      <c r="F199" s="212"/>
      <c r="G199" s="212"/>
      <c r="H199" s="212"/>
      <c r="I199" s="212"/>
      <c r="J199" s="212"/>
      <c r="K199" s="212"/>
      <c r="L199" s="212"/>
      <c r="M199" s="212"/>
      <c r="N199" s="212"/>
      <c r="O199" s="212"/>
      <c r="P199" s="212"/>
      <c r="Q199" s="212"/>
      <c r="R199" s="212"/>
      <c r="S199" s="212"/>
      <c r="T199" s="212"/>
      <c r="U199" s="212"/>
      <c r="V199" s="212"/>
      <c r="W199" s="212"/>
      <c r="X199" s="212"/>
      <c r="Y199" s="212"/>
      <c r="Z199" s="212"/>
      <c r="AA199" s="212"/>
      <c r="AH199" s="207"/>
      <c r="AI199" s="207"/>
      <c r="AJ199" s="207"/>
      <c r="AK199" s="207"/>
      <c r="AL199" s="207"/>
      <c r="AM199" s="207"/>
      <c r="AN199" s="207"/>
      <c r="AO199" s="207"/>
      <c r="AT199" s="207"/>
      <c r="AV199" s="207"/>
    </row>
    <row r="200" spans="1:48">
      <c r="A200" s="213"/>
      <c r="B200" s="212"/>
      <c r="C200" s="212"/>
      <c r="D200" s="212"/>
      <c r="E200" s="212"/>
      <c r="F200" s="212"/>
      <c r="G200" s="212"/>
      <c r="H200" s="212"/>
      <c r="I200" s="212"/>
      <c r="J200" s="212"/>
      <c r="K200" s="212"/>
      <c r="L200" s="212"/>
      <c r="M200" s="212"/>
      <c r="N200" s="212"/>
      <c r="O200" s="212"/>
      <c r="P200" s="212"/>
      <c r="Q200" s="212"/>
      <c r="R200" s="212"/>
      <c r="S200" s="212"/>
      <c r="T200" s="212"/>
      <c r="U200" s="212"/>
      <c r="V200" s="212"/>
      <c r="W200" s="212"/>
      <c r="X200" s="212"/>
      <c r="Y200" s="212"/>
      <c r="Z200" s="212"/>
      <c r="AA200" s="212"/>
      <c r="AH200" s="207"/>
      <c r="AI200" s="207"/>
      <c r="AJ200" s="207"/>
      <c r="AK200" s="207"/>
      <c r="AL200" s="207"/>
      <c r="AM200" s="207"/>
      <c r="AN200" s="207"/>
      <c r="AO200" s="207"/>
      <c r="AT200" s="207"/>
      <c r="AV200" s="207"/>
    </row>
    <row r="201" spans="1:48">
      <c r="A201" s="213"/>
      <c r="B201" s="212"/>
      <c r="C201" s="212"/>
      <c r="D201" s="212"/>
      <c r="E201" s="212"/>
      <c r="F201" s="212"/>
      <c r="G201" s="212"/>
      <c r="H201" s="212"/>
      <c r="I201" s="212"/>
      <c r="J201" s="212"/>
      <c r="K201" s="212"/>
      <c r="L201" s="212"/>
      <c r="M201" s="212"/>
      <c r="N201" s="212"/>
      <c r="O201" s="212"/>
      <c r="P201" s="212"/>
      <c r="Q201" s="212"/>
      <c r="R201" s="212"/>
      <c r="S201" s="212"/>
      <c r="T201" s="212"/>
      <c r="U201" s="212"/>
      <c r="V201" s="212"/>
      <c r="W201" s="212"/>
      <c r="X201" s="212"/>
      <c r="Y201" s="212"/>
      <c r="Z201" s="212"/>
      <c r="AA201" s="212"/>
      <c r="AH201" s="207"/>
      <c r="AI201" s="207"/>
      <c r="AJ201" s="207"/>
      <c r="AK201" s="207"/>
      <c r="AL201" s="207"/>
      <c r="AM201" s="207"/>
      <c r="AN201" s="207"/>
      <c r="AO201" s="207"/>
      <c r="AT201" s="207"/>
      <c r="AV201" s="207"/>
    </row>
    <row r="202" spans="1:48">
      <c r="A202" s="213"/>
      <c r="B202" s="212"/>
      <c r="C202" s="212"/>
      <c r="D202" s="212"/>
      <c r="E202" s="212"/>
      <c r="F202" s="212"/>
      <c r="G202" s="212"/>
      <c r="H202" s="212"/>
      <c r="I202" s="212"/>
      <c r="J202" s="212"/>
      <c r="K202" s="212"/>
      <c r="L202" s="212"/>
      <c r="M202" s="212"/>
      <c r="N202" s="212"/>
      <c r="O202" s="212"/>
      <c r="P202" s="212"/>
      <c r="Q202" s="212"/>
      <c r="R202" s="212"/>
      <c r="S202" s="212"/>
      <c r="T202" s="212"/>
      <c r="U202" s="212"/>
      <c r="V202" s="212"/>
      <c r="W202" s="212"/>
      <c r="X202" s="212"/>
      <c r="Y202" s="212"/>
      <c r="Z202" s="212"/>
      <c r="AA202" s="212"/>
      <c r="AH202" s="207"/>
      <c r="AI202" s="207"/>
      <c r="AJ202" s="207"/>
      <c r="AK202" s="207"/>
      <c r="AL202" s="207"/>
      <c r="AM202" s="207"/>
      <c r="AN202" s="207"/>
      <c r="AO202" s="207"/>
      <c r="AT202" s="207"/>
      <c r="AV202" s="207"/>
    </row>
    <row r="203" spans="1:48">
      <c r="A203" s="213"/>
      <c r="B203" s="212"/>
      <c r="C203" s="212"/>
      <c r="D203" s="212"/>
      <c r="E203" s="212"/>
      <c r="F203" s="212"/>
      <c r="G203" s="212"/>
      <c r="H203" s="212"/>
      <c r="I203" s="212"/>
      <c r="J203" s="212"/>
      <c r="K203" s="212"/>
      <c r="L203" s="212"/>
      <c r="M203" s="212"/>
      <c r="N203" s="212"/>
      <c r="O203" s="212"/>
      <c r="P203" s="212"/>
      <c r="Q203" s="212"/>
      <c r="R203" s="212"/>
      <c r="S203" s="212"/>
      <c r="T203" s="212"/>
      <c r="U203" s="212"/>
      <c r="V203" s="212"/>
      <c r="W203" s="212"/>
      <c r="X203" s="212"/>
      <c r="Y203" s="212"/>
      <c r="Z203" s="212"/>
      <c r="AA203" s="212"/>
      <c r="AH203" s="207"/>
      <c r="AI203" s="207"/>
      <c r="AJ203" s="207"/>
      <c r="AK203" s="207"/>
      <c r="AL203" s="207"/>
      <c r="AM203" s="207"/>
      <c r="AN203" s="207"/>
      <c r="AO203" s="207"/>
      <c r="AT203" s="207"/>
      <c r="AV203" s="207"/>
    </row>
    <row r="204" spans="1:48">
      <c r="A204" s="213"/>
      <c r="B204" s="212"/>
      <c r="C204" s="212"/>
      <c r="D204" s="212"/>
      <c r="E204" s="212"/>
      <c r="F204" s="212"/>
      <c r="G204" s="212"/>
      <c r="H204" s="212"/>
      <c r="I204" s="212"/>
      <c r="J204" s="212"/>
      <c r="K204" s="212"/>
      <c r="L204" s="212"/>
      <c r="M204" s="212"/>
      <c r="N204" s="212"/>
      <c r="O204" s="212"/>
      <c r="P204" s="212"/>
      <c r="Q204" s="212"/>
      <c r="R204" s="212"/>
      <c r="S204" s="212"/>
      <c r="T204" s="212"/>
      <c r="U204" s="212"/>
      <c r="V204" s="212"/>
      <c r="W204" s="212"/>
      <c r="X204" s="212"/>
      <c r="Y204" s="212"/>
      <c r="Z204" s="212"/>
      <c r="AA204" s="212"/>
      <c r="AH204" s="207"/>
      <c r="AI204" s="207"/>
      <c r="AJ204" s="207"/>
      <c r="AK204" s="207"/>
      <c r="AL204" s="207"/>
      <c r="AM204" s="207"/>
      <c r="AN204" s="207"/>
      <c r="AO204" s="207"/>
      <c r="AT204" s="207"/>
      <c r="AV204" s="207"/>
    </row>
    <row r="205" spans="1:48">
      <c r="A205" s="213"/>
      <c r="B205" s="212"/>
      <c r="C205" s="212"/>
      <c r="D205" s="212"/>
      <c r="E205" s="212"/>
      <c r="F205" s="212"/>
      <c r="G205" s="212"/>
      <c r="H205" s="212"/>
      <c r="I205" s="212"/>
      <c r="J205" s="212"/>
      <c r="K205" s="212"/>
      <c r="L205" s="212"/>
      <c r="M205" s="212"/>
      <c r="N205" s="212"/>
      <c r="O205" s="212"/>
      <c r="P205" s="212"/>
      <c r="Q205" s="212"/>
      <c r="R205" s="212"/>
      <c r="S205" s="212"/>
      <c r="T205" s="212"/>
      <c r="U205" s="212"/>
      <c r="V205" s="212"/>
      <c r="W205" s="212"/>
      <c r="X205" s="212"/>
      <c r="Y205" s="212"/>
      <c r="Z205" s="212"/>
      <c r="AA205" s="212"/>
      <c r="AH205" s="207"/>
      <c r="AI205" s="207"/>
      <c r="AJ205" s="207"/>
      <c r="AK205" s="207"/>
      <c r="AL205" s="207"/>
      <c r="AM205" s="207"/>
      <c r="AN205" s="207"/>
      <c r="AO205" s="207"/>
      <c r="AT205" s="207"/>
      <c r="AV205" s="207"/>
    </row>
    <row r="206" spans="1:48">
      <c r="A206" s="207"/>
      <c r="C206"/>
      <c r="X206"/>
      <c r="AH206" s="207"/>
      <c r="AI206" s="207"/>
      <c r="AJ206" s="207"/>
      <c r="AK206" s="207"/>
      <c r="AL206" s="207"/>
      <c r="AM206" s="207"/>
      <c r="AN206" s="207"/>
      <c r="AO206" s="207"/>
      <c r="AT206" s="207"/>
      <c r="AV206" s="207"/>
    </row>
    <row r="207" spans="1:48">
      <c r="A207" s="207"/>
      <c r="C207"/>
      <c r="X207"/>
      <c r="AH207" s="207"/>
      <c r="AI207" s="207"/>
      <c r="AJ207" s="207"/>
      <c r="AK207" s="207"/>
      <c r="AL207" s="207"/>
      <c r="AM207" s="207"/>
      <c r="AN207" s="207"/>
      <c r="AO207" s="207"/>
      <c r="AT207" s="207"/>
      <c r="AV207" s="207"/>
    </row>
    <row r="208" spans="1:48" ht="37.5" customHeight="1">
      <c r="A208" s="213"/>
      <c r="B208" s="212"/>
      <c r="C208" s="212"/>
      <c r="D208" s="212"/>
      <c r="E208" s="212"/>
      <c r="F208" s="212"/>
      <c r="G208" s="212"/>
      <c r="H208" s="212"/>
      <c r="I208" s="212"/>
      <c r="J208" s="212"/>
      <c r="K208" s="212"/>
      <c r="L208" s="212"/>
      <c r="M208" s="212"/>
      <c r="N208" s="212"/>
      <c r="O208" s="212"/>
      <c r="P208" s="212"/>
      <c r="Q208" s="212"/>
      <c r="R208" s="212"/>
      <c r="S208" s="212"/>
      <c r="T208" s="212"/>
      <c r="U208" s="212"/>
      <c r="V208" s="212"/>
      <c r="W208" s="212"/>
      <c r="X208" s="212"/>
      <c r="Y208" s="212"/>
      <c r="Z208" s="212"/>
      <c r="AA208" s="212"/>
      <c r="AH208" s="207"/>
      <c r="AI208" s="207"/>
      <c r="AJ208" s="207"/>
      <c r="AK208" s="207"/>
      <c r="AL208" s="207"/>
      <c r="AM208" s="207"/>
      <c r="AN208" s="207"/>
      <c r="AO208" s="207"/>
      <c r="AT208" s="207"/>
      <c r="AV208" s="207"/>
    </row>
    <row r="209" spans="1:48">
      <c r="A209" s="213"/>
      <c r="B209" s="212"/>
      <c r="C209" s="212"/>
      <c r="D209" s="212"/>
      <c r="E209" s="212"/>
      <c r="F209" s="212"/>
      <c r="G209" s="212"/>
      <c r="H209" s="212"/>
      <c r="I209" s="212"/>
      <c r="J209" s="212"/>
      <c r="K209" s="212"/>
      <c r="L209" s="212"/>
      <c r="M209" s="212"/>
      <c r="N209" s="212"/>
      <c r="O209" s="212"/>
      <c r="P209" s="212"/>
      <c r="Q209" s="212"/>
      <c r="R209" s="212"/>
      <c r="S209" s="212"/>
      <c r="T209" s="212"/>
      <c r="U209" s="212"/>
      <c r="V209" s="212"/>
      <c r="W209" s="212"/>
      <c r="X209" s="212"/>
      <c r="Y209" s="212"/>
      <c r="Z209" s="212"/>
      <c r="AA209" s="212"/>
      <c r="AH209" s="207"/>
      <c r="AI209" s="207"/>
      <c r="AJ209" s="207"/>
      <c r="AK209" s="207"/>
      <c r="AL209" s="207"/>
      <c r="AM209" s="207"/>
      <c r="AN209" s="207"/>
      <c r="AO209" s="207"/>
      <c r="AT209" s="207"/>
      <c r="AV209" s="207"/>
    </row>
    <row r="210" spans="1:48">
      <c r="A210" s="213"/>
      <c r="B210" s="212"/>
      <c r="C210" s="212"/>
      <c r="D210" s="212"/>
      <c r="E210" s="212"/>
      <c r="F210" s="212"/>
      <c r="G210" s="212"/>
      <c r="H210" s="212"/>
      <c r="I210" s="212"/>
      <c r="J210" s="212"/>
      <c r="K210" s="212"/>
      <c r="L210" s="212"/>
      <c r="M210" s="212"/>
      <c r="N210" s="212"/>
      <c r="O210" s="212"/>
      <c r="P210" s="212"/>
      <c r="Q210" s="212"/>
      <c r="R210" s="212"/>
      <c r="S210" s="212"/>
      <c r="T210" s="212"/>
      <c r="U210" s="212"/>
      <c r="V210" s="212"/>
      <c r="W210" s="212"/>
      <c r="X210" s="212"/>
      <c r="Y210" s="212"/>
      <c r="Z210" s="212"/>
      <c r="AA210" s="212"/>
      <c r="AH210" s="207"/>
      <c r="AI210" s="207"/>
      <c r="AJ210" s="207"/>
      <c r="AK210" s="207"/>
      <c r="AL210" s="207"/>
      <c r="AM210" s="207"/>
      <c r="AN210" s="207"/>
      <c r="AO210" s="207"/>
      <c r="AT210" s="207"/>
      <c r="AV210" s="207"/>
    </row>
    <row r="211" spans="1:48">
      <c r="A211" s="213"/>
      <c r="B211" s="212"/>
      <c r="C211" s="212"/>
      <c r="D211" s="212"/>
      <c r="E211" s="212"/>
      <c r="F211" s="212"/>
      <c r="G211" s="212"/>
      <c r="H211" s="212"/>
      <c r="I211" s="212"/>
      <c r="J211" s="212"/>
      <c r="K211" s="212"/>
      <c r="L211" s="212"/>
      <c r="M211" s="212"/>
      <c r="N211" s="212"/>
      <c r="O211" s="212"/>
      <c r="P211" s="212"/>
      <c r="Q211" s="212"/>
      <c r="R211" s="212"/>
      <c r="S211" s="212"/>
      <c r="T211" s="212"/>
      <c r="U211" s="212"/>
      <c r="V211" s="212"/>
      <c r="W211" s="212"/>
      <c r="X211" s="212"/>
      <c r="Y211" s="212"/>
      <c r="Z211" s="212"/>
      <c r="AA211" s="212"/>
      <c r="AB211" s="207"/>
      <c r="AC211" s="207"/>
      <c r="AD211" s="207"/>
      <c r="AE211" s="207"/>
      <c r="AF211" s="207"/>
      <c r="AG211" s="207"/>
      <c r="AH211" s="207"/>
      <c r="AI211" s="207"/>
      <c r="AJ211" s="207"/>
      <c r="AK211" s="207"/>
      <c r="AL211" s="207"/>
      <c r="AM211" s="207"/>
      <c r="AN211" s="207"/>
      <c r="AO211" s="207"/>
      <c r="AT211" s="207"/>
      <c r="AV211" s="207"/>
    </row>
    <row r="212" spans="1:48">
      <c r="A212" s="213"/>
      <c r="B212" s="212"/>
      <c r="C212" s="212"/>
      <c r="D212" s="212"/>
      <c r="E212" s="212"/>
      <c r="F212" s="212"/>
      <c r="G212" s="212"/>
      <c r="H212" s="212"/>
      <c r="I212" s="212"/>
      <c r="J212" s="212"/>
      <c r="K212" s="212"/>
      <c r="L212" s="212"/>
      <c r="M212" s="212"/>
      <c r="N212" s="212"/>
      <c r="O212" s="212"/>
      <c r="P212" s="212"/>
      <c r="Q212" s="212"/>
      <c r="R212" s="212"/>
      <c r="S212" s="212"/>
      <c r="T212" s="212"/>
      <c r="U212" s="212"/>
      <c r="V212" s="212"/>
      <c r="W212" s="212"/>
      <c r="X212" s="212"/>
      <c r="Y212" s="212"/>
      <c r="Z212" s="212"/>
      <c r="AA212" s="212"/>
      <c r="AB212" s="207"/>
      <c r="AC212" s="207"/>
      <c r="AD212" s="207"/>
      <c r="AE212" s="207"/>
      <c r="AF212" s="207"/>
      <c r="AG212" s="207"/>
      <c r="AH212" s="207"/>
      <c r="AI212" s="207"/>
      <c r="AJ212" s="207"/>
      <c r="AK212" s="207"/>
      <c r="AL212" s="207"/>
      <c r="AM212" s="207"/>
      <c r="AN212" s="207"/>
      <c r="AO212" s="207"/>
      <c r="AT212" s="207"/>
      <c r="AV212" s="207"/>
    </row>
    <row r="213" spans="1:48" ht="30">
      <c r="A213" s="213"/>
      <c r="B213" s="212"/>
      <c r="C213" s="217" t="s">
        <v>2151</v>
      </c>
      <c r="D213" s="212"/>
      <c r="E213" s="212"/>
      <c r="F213" s="212"/>
      <c r="G213" s="212"/>
      <c r="H213" s="212"/>
      <c r="I213" s="212"/>
      <c r="J213" s="212"/>
      <c r="K213" s="212"/>
      <c r="L213" s="212"/>
      <c r="M213" s="212"/>
      <c r="N213" s="212"/>
      <c r="O213" s="212"/>
      <c r="P213" s="212"/>
      <c r="Q213" s="212"/>
      <c r="R213" s="212"/>
      <c r="S213" s="212"/>
      <c r="T213" s="212"/>
      <c r="U213" s="212"/>
      <c r="V213" s="212"/>
      <c r="W213" s="212"/>
      <c r="X213" s="212"/>
      <c r="Y213" s="212"/>
      <c r="Z213" s="212"/>
      <c r="AA213" s="212"/>
      <c r="AB213" s="207"/>
      <c r="AC213" s="207"/>
      <c r="AD213" s="207"/>
      <c r="AE213" s="207"/>
      <c r="AF213" s="207"/>
      <c r="AG213" s="207"/>
      <c r="AH213" s="207"/>
      <c r="AI213" s="207"/>
      <c r="AJ213" s="207"/>
      <c r="AK213" s="207"/>
      <c r="AL213" s="207"/>
      <c r="AM213" s="207"/>
      <c r="AN213" s="207"/>
      <c r="AO213" s="207"/>
      <c r="AT213" s="207"/>
      <c r="AV213" s="207"/>
    </row>
    <row r="214" spans="1:48">
      <c r="A214" s="213"/>
      <c r="B214" s="212"/>
      <c r="C214" s="212"/>
      <c r="D214" s="212"/>
      <c r="E214" s="212"/>
      <c r="F214" s="212"/>
      <c r="G214" s="212"/>
      <c r="H214" s="212"/>
      <c r="I214" s="212"/>
      <c r="J214" s="212"/>
      <c r="K214" s="212"/>
      <c r="L214" s="212"/>
      <c r="M214" s="212"/>
      <c r="N214" s="212"/>
      <c r="O214" s="212"/>
      <c r="P214" s="212"/>
      <c r="Q214" s="212"/>
      <c r="R214" s="212"/>
      <c r="S214" s="212"/>
      <c r="T214" s="212"/>
      <c r="U214" s="212"/>
      <c r="V214" s="212"/>
      <c r="W214" s="212"/>
      <c r="X214" s="212"/>
      <c r="Y214" s="212"/>
      <c r="Z214" s="212"/>
      <c r="AA214" s="212"/>
      <c r="AB214" s="207"/>
      <c r="AC214" s="207"/>
      <c r="AD214" s="207"/>
      <c r="AE214" s="207"/>
      <c r="AF214" s="207"/>
      <c r="AG214" s="207"/>
      <c r="AH214" s="207"/>
      <c r="AI214" s="207"/>
      <c r="AJ214" s="207"/>
      <c r="AK214" s="207"/>
      <c r="AL214" s="207"/>
      <c r="AM214" s="207"/>
      <c r="AN214" s="207"/>
      <c r="AO214" s="207"/>
      <c r="AT214" s="207"/>
      <c r="AV214" s="207"/>
    </row>
    <row r="215" spans="1:48">
      <c r="A215" s="213"/>
      <c r="B215" s="212"/>
      <c r="C215" s="212"/>
      <c r="D215" s="212"/>
      <c r="E215" s="212"/>
      <c r="F215" s="212"/>
      <c r="G215" s="212"/>
      <c r="H215" s="212"/>
      <c r="I215" s="212"/>
      <c r="J215" s="212"/>
      <c r="K215" s="212"/>
      <c r="L215" s="212"/>
      <c r="M215" s="212"/>
      <c r="N215" s="212"/>
      <c r="O215" s="212"/>
      <c r="P215" s="212"/>
      <c r="Q215" s="212"/>
      <c r="R215" s="212"/>
      <c r="S215" s="212"/>
      <c r="T215" s="212"/>
      <c r="U215" s="212"/>
      <c r="V215" s="212"/>
      <c r="W215" s="212"/>
      <c r="X215" s="212"/>
      <c r="Y215" s="212"/>
      <c r="Z215" s="212"/>
      <c r="AA215" s="212"/>
      <c r="AB215" s="207"/>
      <c r="AC215" s="207"/>
      <c r="AD215" s="207"/>
      <c r="AE215" s="207"/>
      <c r="AF215" s="207"/>
      <c r="AG215" s="207"/>
      <c r="AH215" s="207"/>
      <c r="AI215" s="207"/>
      <c r="AJ215" s="207"/>
      <c r="AK215" s="207"/>
      <c r="AL215" s="207"/>
      <c r="AM215" s="207"/>
      <c r="AN215" s="207"/>
      <c r="AO215" s="207"/>
      <c r="AT215" s="207"/>
      <c r="AV215" s="207"/>
    </row>
    <row r="216" spans="1:48">
      <c r="A216" s="213"/>
      <c r="B216" s="212"/>
      <c r="C216" s="212"/>
      <c r="D216" s="212"/>
      <c r="E216" s="212"/>
      <c r="F216" s="212"/>
      <c r="G216" s="212"/>
      <c r="H216" s="212"/>
      <c r="I216" s="212"/>
      <c r="J216" s="212"/>
      <c r="K216" s="212"/>
      <c r="L216" s="213"/>
      <c r="M216" s="212"/>
      <c r="N216" s="212"/>
      <c r="O216" s="212"/>
      <c r="P216" s="212"/>
      <c r="Q216" s="212"/>
      <c r="R216" s="212"/>
      <c r="S216" s="212"/>
      <c r="T216" s="212"/>
      <c r="U216" s="212"/>
      <c r="V216" s="212"/>
      <c r="W216" s="212"/>
      <c r="X216" s="212"/>
      <c r="Y216" s="212"/>
      <c r="Z216" s="212"/>
      <c r="AA216" s="212"/>
      <c r="AB216" s="207"/>
      <c r="AC216" s="207"/>
      <c r="AD216" s="207"/>
      <c r="AE216" s="207"/>
      <c r="AF216" s="207"/>
      <c r="AG216" s="207"/>
      <c r="AH216" s="207"/>
      <c r="AI216" s="207"/>
      <c r="AJ216" s="207"/>
      <c r="AK216" s="207"/>
      <c r="AL216" s="207"/>
      <c r="AM216" s="207"/>
      <c r="AN216" s="207"/>
      <c r="AO216" s="207"/>
      <c r="AT216" s="207"/>
      <c r="AV216" s="207"/>
    </row>
    <row r="217" spans="1:48">
      <c r="A217" s="213"/>
      <c r="B217" s="212"/>
      <c r="C217" s="212"/>
      <c r="D217" s="212"/>
      <c r="E217" s="212"/>
      <c r="F217" s="212"/>
      <c r="G217" s="212"/>
      <c r="H217" s="212"/>
      <c r="I217" s="212"/>
      <c r="J217" s="212"/>
      <c r="K217" s="212"/>
      <c r="L217" s="213"/>
      <c r="M217" s="212"/>
      <c r="N217" s="212"/>
      <c r="O217" s="212"/>
      <c r="P217" s="212"/>
      <c r="Q217" s="212"/>
      <c r="R217" s="212"/>
      <c r="S217" s="212"/>
      <c r="T217" s="212"/>
      <c r="U217" s="212"/>
      <c r="V217" s="212"/>
      <c r="W217" s="212"/>
      <c r="X217" s="212"/>
      <c r="Y217" s="212"/>
      <c r="Z217" s="212"/>
      <c r="AA217" s="212"/>
      <c r="AB217" s="207"/>
      <c r="AC217" s="207"/>
      <c r="AD217" s="207"/>
      <c r="AE217" s="207"/>
      <c r="AF217" s="207"/>
      <c r="AG217" s="207"/>
      <c r="AH217" s="207"/>
      <c r="AI217" s="207"/>
      <c r="AJ217" s="207"/>
      <c r="AK217" s="207"/>
      <c r="AL217" s="207"/>
      <c r="AM217" s="207"/>
      <c r="AN217" s="207"/>
      <c r="AO217" s="207"/>
      <c r="AT217" s="207"/>
      <c r="AV217" s="207"/>
    </row>
    <row r="218" spans="1:48">
      <c r="A218" s="213"/>
      <c r="B218" s="212"/>
      <c r="C218" s="212"/>
      <c r="D218" s="212"/>
      <c r="E218" s="212"/>
      <c r="F218" s="212"/>
      <c r="G218" s="212"/>
      <c r="H218" s="212"/>
      <c r="I218" s="212"/>
      <c r="J218" s="212"/>
      <c r="K218" s="212"/>
      <c r="L218" s="213"/>
      <c r="M218" s="212"/>
      <c r="N218" s="212"/>
      <c r="O218" s="212"/>
      <c r="P218" s="212"/>
      <c r="Q218" s="212"/>
      <c r="R218" s="212"/>
      <c r="S218" s="212"/>
      <c r="T218" s="212"/>
      <c r="U218" s="212"/>
      <c r="V218" s="212"/>
      <c r="W218" s="212"/>
      <c r="X218" s="212"/>
      <c r="Y218" s="212"/>
      <c r="Z218" s="212"/>
      <c r="AA218" s="212"/>
      <c r="AB218" s="207"/>
      <c r="AC218" s="207"/>
      <c r="AD218" s="207"/>
      <c r="AE218" s="207"/>
      <c r="AF218" s="207"/>
      <c r="AG218" s="207"/>
      <c r="AH218" s="207"/>
      <c r="AI218" s="207"/>
      <c r="AJ218" s="207"/>
      <c r="AK218" s="207"/>
      <c r="AL218" s="207"/>
      <c r="AM218" s="207"/>
      <c r="AN218" s="207"/>
      <c r="AO218" s="207"/>
      <c r="AT218" s="207"/>
      <c r="AV218" s="207"/>
    </row>
    <row r="219" spans="1:48">
      <c r="A219" s="213"/>
      <c r="B219" s="212"/>
      <c r="C219" s="212"/>
      <c r="D219" s="212"/>
      <c r="E219" s="212"/>
      <c r="F219" s="212"/>
      <c r="G219" s="212"/>
      <c r="H219" s="212"/>
      <c r="I219" s="212"/>
      <c r="J219" s="212"/>
      <c r="K219" s="212"/>
      <c r="L219" s="212"/>
      <c r="M219" s="212"/>
      <c r="N219" s="212"/>
      <c r="O219" s="212"/>
      <c r="P219" s="212"/>
      <c r="Q219" s="212"/>
      <c r="R219" s="212"/>
      <c r="S219" s="212"/>
      <c r="T219" s="212"/>
      <c r="U219" s="212"/>
      <c r="V219" s="212"/>
      <c r="W219" s="212"/>
      <c r="X219" s="212"/>
      <c r="Y219" s="212"/>
      <c r="Z219" s="212"/>
      <c r="AA219" s="212"/>
      <c r="AB219" s="207"/>
      <c r="AC219" s="207"/>
      <c r="AD219" s="207"/>
      <c r="AE219" s="207"/>
      <c r="AF219" s="207"/>
      <c r="AG219" s="207"/>
      <c r="AH219" s="207"/>
      <c r="AI219" s="207"/>
      <c r="AJ219" s="207"/>
      <c r="AK219" s="207"/>
      <c r="AL219" s="207"/>
      <c r="AM219" s="207"/>
      <c r="AN219" s="207"/>
      <c r="AO219" s="207"/>
      <c r="AT219" s="207"/>
      <c r="AV219" s="207"/>
    </row>
    <row r="220" spans="1:48">
      <c r="A220" s="213"/>
      <c r="B220" s="212"/>
      <c r="C220" s="212"/>
      <c r="D220" s="212"/>
      <c r="E220" s="212"/>
      <c r="F220" s="212"/>
      <c r="G220" s="212"/>
      <c r="H220" s="212"/>
      <c r="I220" s="212"/>
      <c r="J220" s="212"/>
      <c r="K220" s="212"/>
      <c r="L220" s="212"/>
      <c r="M220" s="212"/>
      <c r="N220" s="212"/>
      <c r="O220" s="212"/>
      <c r="P220" s="212"/>
      <c r="Q220" s="212"/>
      <c r="R220" s="212"/>
      <c r="S220" s="212"/>
      <c r="T220" s="212"/>
      <c r="U220" s="212"/>
      <c r="V220" s="212"/>
      <c r="W220" s="212"/>
      <c r="X220" s="212"/>
      <c r="Y220" s="212"/>
      <c r="Z220" s="212"/>
      <c r="AA220" s="212"/>
      <c r="AB220" s="207"/>
      <c r="AC220" s="207"/>
      <c r="AD220" s="207"/>
      <c r="AE220" s="207"/>
      <c r="AF220" s="207"/>
      <c r="AG220" s="207"/>
      <c r="AH220" s="207"/>
      <c r="AI220" s="207"/>
      <c r="AJ220" s="207"/>
      <c r="AK220" s="207"/>
      <c r="AL220" s="207"/>
      <c r="AM220" s="207"/>
      <c r="AN220" s="207"/>
      <c r="AO220" s="207"/>
      <c r="AT220" s="207"/>
      <c r="AV220" s="207"/>
    </row>
    <row r="221" spans="1:48">
      <c r="A221" s="213"/>
      <c r="B221" s="212"/>
      <c r="C221" s="212"/>
      <c r="D221" s="212"/>
      <c r="E221" s="212"/>
      <c r="F221" s="212"/>
      <c r="G221" s="212"/>
      <c r="H221" s="212"/>
      <c r="I221" s="212"/>
      <c r="J221" s="212"/>
      <c r="K221" s="212"/>
      <c r="L221" s="212"/>
      <c r="M221" s="212"/>
      <c r="N221" s="212"/>
      <c r="O221" s="212"/>
      <c r="P221" s="212"/>
      <c r="Q221" s="212"/>
      <c r="R221" s="212"/>
      <c r="S221" s="212"/>
      <c r="T221" s="212"/>
      <c r="U221" s="212"/>
      <c r="V221" s="212"/>
      <c r="W221" s="212"/>
      <c r="X221" s="212"/>
      <c r="Y221" s="212"/>
      <c r="Z221" s="212"/>
      <c r="AA221" s="212"/>
      <c r="AB221" s="207"/>
      <c r="AC221" s="207"/>
      <c r="AD221" s="207"/>
      <c r="AE221" s="207"/>
      <c r="AF221" s="207"/>
      <c r="AG221" s="207"/>
      <c r="AH221" s="207"/>
      <c r="AI221" s="207"/>
      <c r="AJ221" s="207"/>
      <c r="AK221" s="207"/>
      <c r="AL221" s="207"/>
      <c r="AM221" s="207"/>
      <c r="AN221" s="207"/>
      <c r="AO221" s="207"/>
      <c r="AT221" s="207"/>
      <c r="AV221" s="207"/>
    </row>
    <row r="222" spans="1:48">
      <c r="A222" s="213"/>
      <c r="B222" s="212"/>
      <c r="C222" s="212"/>
      <c r="D222" s="212"/>
      <c r="E222" s="212"/>
      <c r="F222" s="212"/>
      <c r="G222" s="212"/>
      <c r="H222" s="212"/>
      <c r="I222" s="212"/>
      <c r="J222" s="212"/>
      <c r="K222" s="212"/>
      <c r="L222" s="212"/>
      <c r="M222" s="212"/>
      <c r="N222" s="212"/>
      <c r="O222" s="212"/>
      <c r="P222" s="212"/>
      <c r="Q222" s="212"/>
      <c r="R222" s="212"/>
      <c r="S222" s="212"/>
      <c r="T222" s="212"/>
      <c r="U222" s="212"/>
      <c r="V222" s="212"/>
      <c r="W222" s="212"/>
      <c r="X222" s="212"/>
      <c r="Y222" s="212"/>
      <c r="Z222" s="212"/>
      <c r="AA222" s="212"/>
      <c r="AB222" s="207"/>
      <c r="AC222" s="207"/>
      <c r="AD222" s="207"/>
      <c r="AE222" s="207"/>
      <c r="AF222" s="207"/>
      <c r="AG222" s="207"/>
      <c r="AH222" s="207"/>
      <c r="AI222" s="207"/>
      <c r="AJ222" s="207"/>
      <c r="AK222" s="207"/>
      <c r="AL222" s="207"/>
      <c r="AM222" s="207"/>
      <c r="AN222" s="207"/>
      <c r="AO222" s="207"/>
      <c r="AT222" s="207"/>
      <c r="AV222" s="207"/>
    </row>
    <row r="223" spans="1:48">
      <c r="A223" s="213"/>
      <c r="B223" s="212"/>
      <c r="C223" s="212"/>
      <c r="D223" s="212"/>
      <c r="E223" s="212"/>
      <c r="F223" s="212"/>
      <c r="G223" s="212"/>
      <c r="H223" s="212"/>
      <c r="I223" s="212"/>
      <c r="J223" s="212"/>
      <c r="K223" s="212"/>
      <c r="L223" s="212"/>
      <c r="M223" s="212"/>
      <c r="N223" s="212"/>
      <c r="O223" s="212"/>
      <c r="P223" s="212"/>
      <c r="Q223" s="212"/>
      <c r="R223" s="212"/>
      <c r="S223" s="212"/>
      <c r="T223" s="212"/>
      <c r="U223" s="212"/>
      <c r="V223" s="212"/>
      <c r="W223" s="212"/>
      <c r="X223" s="212"/>
      <c r="Y223" s="212"/>
      <c r="Z223" s="212"/>
      <c r="AA223" s="212"/>
      <c r="AB223" s="207"/>
      <c r="AC223" s="207"/>
      <c r="AD223" s="207"/>
      <c r="AE223" s="207"/>
      <c r="AF223" s="207"/>
      <c r="AG223" s="207"/>
      <c r="AH223" s="207"/>
      <c r="AI223" s="207"/>
      <c r="AJ223" s="207"/>
      <c r="AK223" s="207"/>
      <c r="AL223" s="207"/>
      <c r="AM223" s="207"/>
      <c r="AN223" s="207"/>
      <c r="AO223" s="207"/>
      <c r="AT223" s="207"/>
      <c r="AV223" s="207"/>
    </row>
    <row r="224" spans="1:48">
      <c r="A224" s="213"/>
      <c r="B224" s="212"/>
      <c r="C224" s="212"/>
      <c r="D224" s="212"/>
      <c r="E224" s="212"/>
      <c r="F224" s="212"/>
      <c r="G224" s="212"/>
      <c r="H224" s="212"/>
      <c r="I224" s="212"/>
      <c r="J224" s="212"/>
      <c r="K224" s="212"/>
      <c r="L224" s="212"/>
      <c r="M224" s="212"/>
      <c r="N224" s="212"/>
      <c r="O224" s="212"/>
      <c r="P224" s="212"/>
      <c r="Q224" s="212"/>
      <c r="R224" s="212"/>
      <c r="S224" s="212"/>
      <c r="T224" s="212"/>
      <c r="U224" s="212"/>
      <c r="V224" s="212"/>
      <c r="W224" s="212"/>
      <c r="X224" s="212"/>
      <c r="Y224" s="212"/>
      <c r="Z224" s="212"/>
      <c r="AA224" s="212"/>
      <c r="AB224" s="207"/>
      <c r="AC224" s="207"/>
      <c r="AD224" s="207"/>
      <c r="AE224" s="207"/>
      <c r="AF224" s="207"/>
      <c r="AG224" s="207"/>
      <c r="AH224" s="207"/>
      <c r="AI224" s="207"/>
      <c r="AJ224" s="207"/>
      <c r="AK224" s="207"/>
      <c r="AL224" s="207"/>
      <c r="AM224" s="207"/>
      <c r="AN224" s="207"/>
      <c r="AO224" s="207"/>
      <c r="AT224" s="207"/>
      <c r="AV224" s="207"/>
    </row>
    <row r="225" spans="1:48">
      <c r="A225" s="213"/>
      <c r="B225" s="212"/>
      <c r="C225" s="212"/>
      <c r="D225" s="212"/>
      <c r="E225" s="212"/>
      <c r="F225" s="212"/>
      <c r="G225" s="212"/>
      <c r="H225" s="212"/>
      <c r="I225" s="212"/>
      <c r="J225" s="212"/>
      <c r="K225" s="212"/>
      <c r="L225" s="212"/>
      <c r="M225" s="212"/>
      <c r="N225" s="212"/>
      <c r="O225" s="212"/>
      <c r="P225" s="212"/>
      <c r="Q225" s="212"/>
      <c r="R225" s="212"/>
      <c r="S225" s="212"/>
      <c r="T225" s="212"/>
      <c r="U225" s="212"/>
      <c r="V225" s="212"/>
      <c r="W225" s="212"/>
      <c r="X225" s="212"/>
      <c r="Y225" s="212"/>
      <c r="Z225" s="212"/>
      <c r="AA225" s="212"/>
      <c r="AB225" s="207"/>
      <c r="AC225" s="207"/>
      <c r="AD225" s="207"/>
      <c r="AE225" s="207"/>
      <c r="AF225" s="207"/>
      <c r="AG225" s="207"/>
      <c r="AH225" s="207"/>
      <c r="AI225" s="207"/>
      <c r="AJ225" s="207"/>
      <c r="AK225" s="207"/>
      <c r="AL225" s="207"/>
      <c r="AM225" s="207"/>
      <c r="AN225" s="207"/>
      <c r="AO225" s="207"/>
      <c r="AT225" s="207"/>
      <c r="AV225" s="207"/>
    </row>
    <row r="226" spans="1:48">
      <c r="A226" s="213"/>
      <c r="B226" s="212"/>
      <c r="C226" s="212"/>
      <c r="D226" s="212"/>
      <c r="E226" s="212"/>
      <c r="F226" s="212"/>
      <c r="G226" s="212"/>
      <c r="H226" s="212"/>
      <c r="I226" s="212"/>
      <c r="J226" s="212"/>
      <c r="K226" s="212"/>
      <c r="L226" s="212"/>
      <c r="M226" s="212"/>
      <c r="N226" s="212"/>
      <c r="O226" s="212"/>
      <c r="P226" s="212"/>
      <c r="Q226" s="212"/>
      <c r="R226" s="212"/>
      <c r="S226" s="212"/>
      <c r="T226" s="212"/>
      <c r="U226" s="212"/>
      <c r="V226" s="212"/>
      <c r="W226" s="212"/>
      <c r="X226" s="212"/>
      <c r="Y226" s="212"/>
      <c r="Z226" s="212"/>
      <c r="AA226" s="212"/>
      <c r="AB226" s="207"/>
      <c r="AC226" s="207"/>
      <c r="AD226" s="207"/>
      <c r="AE226" s="207"/>
      <c r="AF226" s="207"/>
      <c r="AG226" s="207"/>
      <c r="AH226" s="207"/>
      <c r="AI226" s="207"/>
      <c r="AJ226" s="207"/>
      <c r="AK226" s="207"/>
      <c r="AL226" s="207"/>
      <c r="AM226" s="207"/>
      <c r="AN226" s="207"/>
      <c r="AO226" s="207"/>
      <c r="AT226" s="207"/>
      <c r="AV226" s="207"/>
    </row>
    <row r="227" spans="1:48">
      <c r="A227" s="213"/>
      <c r="B227" s="212"/>
      <c r="C227" s="212"/>
      <c r="D227" s="212"/>
      <c r="E227" s="212"/>
      <c r="F227" s="212"/>
      <c r="G227" s="212"/>
      <c r="H227" s="212"/>
      <c r="I227" s="212"/>
      <c r="J227" s="212"/>
      <c r="K227" s="212"/>
      <c r="L227" s="212"/>
      <c r="M227" s="212"/>
      <c r="N227" s="212"/>
      <c r="O227" s="212"/>
      <c r="P227" s="212"/>
      <c r="Q227" s="212"/>
      <c r="R227" s="212"/>
      <c r="S227" s="212"/>
      <c r="T227" s="212"/>
      <c r="U227" s="212"/>
      <c r="V227" s="212"/>
      <c r="W227" s="212"/>
      <c r="X227" s="212"/>
      <c r="Y227" s="212"/>
      <c r="Z227" s="212"/>
      <c r="AA227" s="212"/>
      <c r="AB227" s="207"/>
      <c r="AC227" s="207"/>
      <c r="AD227" s="207"/>
      <c r="AE227" s="207"/>
      <c r="AF227" s="207"/>
      <c r="AG227" s="207"/>
      <c r="AH227" s="207"/>
      <c r="AI227" s="207"/>
      <c r="AJ227" s="207"/>
      <c r="AK227" s="207"/>
      <c r="AL227" s="207"/>
      <c r="AM227" s="207"/>
      <c r="AN227" s="207"/>
      <c r="AO227" s="207"/>
      <c r="AT227" s="207"/>
      <c r="AV227" s="207"/>
    </row>
    <row r="228" spans="1:48">
      <c r="A228" s="213"/>
      <c r="B228" s="212"/>
      <c r="C228" s="212"/>
      <c r="D228" s="212"/>
      <c r="E228" s="212"/>
      <c r="F228" s="212"/>
      <c r="G228" s="212"/>
      <c r="H228" s="212"/>
      <c r="I228" s="212"/>
      <c r="J228" s="212"/>
      <c r="K228" s="212"/>
      <c r="L228" s="212"/>
      <c r="M228" s="212"/>
      <c r="N228" s="212"/>
      <c r="O228" s="212"/>
      <c r="P228" s="212"/>
      <c r="Q228" s="212"/>
      <c r="R228" s="212"/>
      <c r="S228" s="212"/>
      <c r="T228" s="212"/>
      <c r="U228" s="212"/>
      <c r="V228" s="212"/>
      <c r="W228" s="212"/>
      <c r="X228" s="212"/>
      <c r="Y228" s="212"/>
      <c r="Z228" s="212"/>
      <c r="AA228" s="212"/>
      <c r="AB228" s="207"/>
      <c r="AC228" s="207"/>
      <c r="AD228" s="207"/>
      <c r="AE228" s="207"/>
      <c r="AF228" s="207"/>
      <c r="AG228" s="207"/>
      <c r="AH228" s="207"/>
      <c r="AI228" s="207"/>
      <c r="AJ228" s="207"/>
      <c r="AK228" s="207"/>
      <c r="AL228" s="207"/>
      <c r="AM228" s="207"/>
      <c r="AN228" s="207"/>
      <c r="AO228" s="207"/>
      <c r="AT228" s="207"/>
      <c r="AV228" s="207"/>
    </row>
    <row r="229" spans="1:48">
      <c r="A229" s="213"/>
      <c r="B229" s="212"/>
      <c r="C229" s="212"/>
      <c r="D229" s="212"/>
      <c r="E229" s="212"/>
      <c r="F229" s="212"/>
      <c r="G229" s="212"/>
      <c r="H229" s="212"/>
      <c r="I229" s="212"/>
      <c r="J229" s="212"/>
      <c r="K229" s="212"/>
      <c r="L229" s="212"/>
      <c r="M229" s="212"/>
      <c r="N229" s="212"/>
      <c r="O229" s="212"/>
      <c r="P229" s="212"/>
      <c r="Q229" s="212"/>
      <c r="R229" s="212"/>
      <c r="S229" s="212"/>
      <c r="T229" s="212"/>
      <c r="U229" s="212"/>
      <c r="V229" s="212"/>
      <c r="W229" s="212"/>
      <c r="X229" s="212"/>
      <c r="Y229" s="212"/>
      <c r="Z229" s="212"/>
      <c r="AA229" s="212"/>
      <c r="AB229" s="207"/>
      <c r="AC229" s="207"/>
      <c r="AD229" s="207"/>
      <c r="AE229" s="207"/>
      <c r="AF229" s="207"/>
      <c r="AG229" s="207"/>
      <c r="AH229" s="207"/>
      <c r="AI229" s="207"/>
      <c r="AJ229" s="207"/>
      <c r="AK229" s="207"/>
      <c r="AL229" s="207"/>
      <c r="AM229" s="207"/>
      <c r="AN229" s="207"/>
      <c r="AO229" s="207"/>
      <c r="AT229" s="207"/>
      <c r="AV229" s="207"/>
    </row>
    <row r="230" spans="1:48">
      <c r="A230" s="213"/>
      <c r="B230" s="212"/>
      <c r="C230" s="212"/>
      <c r="D230" s="212"/>
      <c r="E230" s="212"/>
      <c r="F230" s="212"/>
      <c r="G230" s="212"/>
      <c r="H230" s="212"/>
      <c r="I230" s="212"/>
      <c r="J230" s="212"/>
      <c r="K230" s="212"/>
      <c r="L230" s="212"/>
      <c r="M230" s="212"/>
      <c r="N230" s="212"/>
      <c r="O230" s="212"/>
      <c r="P230" s="212"/>
      <c r="Q230" s="212"/>
      <c r="R230" s="212"/>
      <c r="S230" s="212"/>
      <c r="T230" s="212"/>
      <c r="U230" s="212"/>
      <c r="V230" s="212"/>
      <c r="W230" s="212"/>
      <c r="X230" s="212"/>
      <c r="Y230" s="212"/>
      <c r="Z230" s="212"/>
      <c r="AA230" s="212"/>
      <c r="AB230" s="207"/>
      <c r="AC230" s="207"/>
      <c r="AD230" s="207"/>
      <c r="AE230" s="207"/>
      <c r="AF230" s="207"/>
      <c r="AG230" s="207"/>
      <c r="AH230" s="207"/>
      <c r="AI230" s="207"/>
      <c r="AJ230" s="207"/>
      <c r="AK230" s="207"/>
      <c r="AL230" s="207"/>
      <c r="AM230" s="207"/>
      <c r="AN230" s="207"/>
      <c r="AO230" s="207"/>
      <c r="AT230" s="207"/>
      <c r="AV230" s="207"/>
    </row>
    <row r="231" spans="1:48">
      <c r="A231" s="213"/>
      <c r="B231" s="212"/>
      <c r="C231" s="212"/>
      <c r="D231" s="212"/>
      <c r="E231" s="212"/>
      <c r="F231" s="212"/>
      <c r="G231" s="212"/>
      <c r="H231" s="212"/>
      <c r="I231" s="212"/>
      <c r="J231" s="212"/>
      <c r="K231" s="212"/>
      <c r="L231" s="212"/>
      <c r="M231" s="212"/>
      <c r="N231" s="212"/>
      <c r="O231" s="212"/>
      <c r="P231" s="212"/>
      <c r="Q231" s="212"/>
      <c r="R231" s="212"/>
      <c r="S231" s="212"/>
      <c r="T231" s="212"/>
      <c r="U231" s="212"/>
      <c r="V231" s="212"/>
      <c r="W231" s="212"/>
      <c r="X231" s="212"/>
      <c r="Y231" s="212"/>
      <c r="Z231" s="212"/>
      <c r="AA231" s="212"/>
      <c r="AB231" s="207"/>
      <c r="AC231" s="207"/>
      <c r="AD231" s="207"/>
      <c r="AE231" s="207"/>
      <c r="AF231" s="207"/>
      <c r="AG231" s="207"/>
      <c r="AH231" s="207"/>
      <c r="AI231" s="207"/>
      <c r="AJ231" s="207"/>
      <c r="AK231" s="207"/>
      <c r="AL231" s="207"/>
      <c r="AM231" s="207"/>
      <c r="AN231" s="207"/>
      <c r="AO231" s="207"/>
      <c r="AT231" s="207"/>
      <c r="AV231" s="207"/>
    </row>
    <row r="232" spans="1:48">
      <c r="A232" s="213"/>
      <c r="B232" s="212"/>
      <c r="C232" s="212"/>
      <c r="D232" s="212"/>
      <c r="E232" s="212"/>
      <c r="F232" s="212"/>
      <c r="G232" s="212"/>
      <c r="H232" s="212"/>
      <c r="I232" s="212"/>
      <c r="J232" s="212"/>
      <c r="K232" s="212"/>
      <c r="L232" s="212"/>
      <c r="M232" s="212"/>
      <c r="N232" s="212"/>
      <c r="O232" s="212"/>
      <c r="P232" s="212"/>
      <c r="Q232" s="212"/>
      <c r="R232" s="212"/>
      <c r="S232" s="212"/>
      <c r="T232" s="212"/>
      <c r="U232" s="212"/>
      <c r="V232" s="212"/>
      <c r="W232" s="212"/>
      <c r="X232" s="212"/>
      <c r="Y232" s="212"/>
      <c r="Z232" s="212"/>
      <c r="AA232" s="212"/>
      <c r="AB232" s="207"/>
      <c r="AC232" s="207"/>
      <c r="AD232" s="207"/>
      <c r="AE232" s="207"/>
      <c r="AF232" s="207"/>
      <c r="AG232" s="207"/>
      <c r="AH232" s="207"/>
      <c r="AI232" s="207"/>
      <c r="AJ232" s="207"/>
      <c r="AK232" s="207"/>
      <c r="AL232" s="207"/>
      <c r="AM232" s="207"/>
      <c r="AN232" s="207"/>
      <c r="AO232" s="207"/>
      <c r="AT232" s="207"/>
      <c r="AV232" s="207"/>
    </row>
    <row r="233" spans="1:48">
      <c r="A233" s="213"/>
      <c r="B233" s="212"/>
      <c r="C233" s="212"/>
      <c r="D233" s="212"/>
      <c r="E233" s="212"/>
      <c r="F233" s="212"/>
      <c r="G233" s="212"/>
      <c r="H233" s="212"/>
      <c r="I233" s="212"/>
      <c r="J233" s="212"/>
      <c r="K233" s="212"/>
      <c r="L233" s="212"/>
      <c r="M233" s="212"/>
      <c r="N233" s="212"/>
      <c r="O233" s="212"/>
      <c r="P233" s="212"/>
      <c r="Q233" s="212"/>
      <c r="R233" s="212"/>
      <c r="S233" s="212"/>
      <c r="T233" s="212"/>
      <c r="U233" s="212"/>
      <c r="V233" s="212"/>
      <c r="W233" s="212"/>
      <c r="X233" s="212"/>
      <c r="Y233" s="212"/>
      <c r="Z233" s="212"/>
      <c r="AA233" s="212"/>
      <c r="AB233" s="207"/>
      <c r="AC233" s="207"/>
      <c r="AD233" s="207"/>
      <c r="AE233" s="207"/>
      <c r="AF233" s="207"/>
      <c r="AG233" s="207"/>
      <c r="AH233" s="207"/>
      <c r="AI233" s="207"/>
      <c r="AJ233" s="207"/>
      <c r="AK233" s="207"/>
      <c r="AL233" s="207"/>
      <c r="AM233" s="207"/>
      <c r="AN233" s="207"/>
      <c r="AO233" s="207"/>
      <c r="AT233" s="207"/>
      <c r="AV233" s="207"/>
    </row>
    <row r="234" spans="1:48">
      <c r="A234" s="213"/>
      <c r="B234" s="212"/>
      <c r="C234" s="212"/>
      <c r="D234" s="212"/>
      <c r="E234" s="212"/>
      <c r="F234" s="212"/>
      <c r="G234" s="212"/>
      <c r="H234" s="212"/>
      <c r="I234" s="212"/>
      <c r="J234" s="212"/>
      <c r="K234" s="212"/>
      <c r="L234" s="212"/>
      <c r="M234" s="212"/>
      <c r="N234" s="212"/>
      <c r="O234" s="212"/>
      <c r="P234" s="212"/>
      <c r="Q234" s="212"/>
      <c r="R234" s="212"/>
      <c r="S234" s="212"/>
      <c r="T234" s="212"/>
      <c r="U234" s="212"/>
      <c r="V234" s="212"/>
      <c r="W234" s="212"/>
      <c r="X234" s="212"/>
      <c r="Y234" s="212"/>
      <c r="Z234" s="212"/>
      <c r="AA234" s="212"/>
      <c r="AB234" s="207"/>
      <c r="AC234" s="207"/>
      <c r="AD234" s="207"/>
      <c r="AE234" s="207"/>
      <c r="AF234" s="207"/>
      <c r="AG234" s="207"/>
      <c r="AH234" s="207"/>
      <c r="AI234" s="207"/>
      <c r="AJ234" s="207"/>
      <c r="AK234" s="207"/>
      <c r="AL234" s="207"/>
      <c r="AM234" s="207"/>
      <c r="AN234" s="207"/>
      <c r="AO234" s="207"/>
      <c r="AT234" s="207"/>
      <c r="AV234" s="207"/>
    </row>
    <row r="235" spans="1:48">
      <c r="A235" s="213"/>
      <c r="B235" s="212"/>
      <c r="C235" s="212"/>
      <c r="D235" s="212"/>
      <c r="E235" s="212"/>
      <c r="F235" s="212"/>
      <c r="G235" s="212"/>
      <c r="H235" s="212"/>
      <c r="I235" s="212"/>
      <c r="J235" s="212"/>
      <c r="K235" s="212"/>
      <c r="L235" s="212"/>
      <c r="M235" s="212"/>
      <c r="N235" s="212"/>
      <c r="O235" s="212"/>
      <c r="P235" s="212"/>
      <c r="Q235" s="212"/>
      <c r="R235" s="212"/>
      <c r="S235" s="212"/>
      <c r="T235" s="212"/>
      <c r="U235" s="212"/>
      <c r="V235" s="212"/>
      <c r="W235" s="212"/>
      <c r="X235" s="212"/>
      <c r="Y235" s="212"/>
      <c r="Z235" s="212"/>
      <c r="AA235" s="212"/>
      <c r="AB235" s="207"/>
      <c r="AC235" s="207"/>
      <c r="AD235" s="207"/>
      <c r="AE235" s="207"/>
      <c r="AF235" s="207"/>
      <c r="AG235" s="207"/>
      <c r="AH235" s="207"/>
      <c r="AI235" s="207"/>
      <c r="AJ235" s="207"/>
      <c r="AK235" s="207"/>
      <c r="AL235" s="207"/>
      <c r="AM235" s="207"/>
      <c r="AN235" s="207"/>
      <c r="AO235" s="207"/>
      <c r="AT235" s="207"/>
      <c r="AV235" s="207"/>
    </row>
    <row r="236" spans="1:48">
      <c r="A236" s="213"/>
      <c r="B236" s="212"/>
      <c r="C236" s="212"/>
      <c r="D236" s="212"/>
      <c r="E236" s="212"/>
      <c r="F236" s="212"/>
      <c r="G236" s="212"/>
      <c r="H236" s="212"/>
      <c r="I236" s="212"/>
      <c r="J236" s="212"/>
      <c r="K236" s="212"/>
      <c r="L236" s="212"/>
      <c r="M236" s="212"/>
      <c r="N236" s="212"/>
      <c r="O236" s="212"/>
      <c r="P236" s="212"/>
      <c r="Q236" s="212"/>
      <c r="R236" s="212"/>
      <c r="S236" s="212"/>
      <c r="T236" s="212"/>
      <c r="U236" s="212"/>
      <c r="V236" s="212"/>
      <c r="W236" s="212"/>
      <c r="X236" s="212"/>
      <c r="Y236" s="212"/>
      <c r="Z236" s="212"/>
      <c r="AA236" s="212"/>
      <c r="AB236" s="207"/>
      <c r="AC236" s="207"/>
      <c r="AD236" s="207"/>
      <c r="AE236" s="207"/>
      <c r="AF236" s="207"/>
      <c r="AG236" s="207"/>
      <c r="AH236" s="207"/>
      <c r="AI236" s="207"/>
      <c r="AJ236" s="207"/>
      <c r="AK236" s="207"/>
      <c r="AL236" s="207"/>
      <c r="AM236" s="207"/>
      <c r="AN236" s="207"/>
      <c r="AO236" s="207"/>
      <c r="AT236" s="207"/>
      <c r="AV236" s="207"/>
    </row>
    <row r="237" spans="1:48">
      <c r="A237" s="213"/>
      <c r="B237" s="212"/>
      <c r="C237" s="212"/>
      <c r="D237" s="212"/>
      <c r="E237" s="212"/>
      <c r="F237" s="212"/>
      <c r="G237" s="212"/>
      <c r="H237" s="212"/>
      <c r="I237" s="212"/>
      <c r="J237" s="212"/>
      <c r="K237" s="212"/>
      <c r="L237" s="212"/>
      <c r="M237" s="212"/>
      <c r="N237" s="212"/>
      <c r="O237" s="212"/>
      <c r="P237" s="212"/>
      <c r="Q237" s="212"/>
      <c r="R237" s="212"/>
      <c r="S237" s="212"/>
      <c r="T237" s="212"/>
      <c r="U237" s="212"/>
      <c r="V237" s="212"/>
      <c r="W237" s="212"/>
      <c r="X237" s="212"/>
      <c r="Y237" s="212"/>
      <c r="Z237" s="212"/>
      <c r="AA237" s="212"/>
      <c r="AB237" s="207"/>
      <c r="AC237" s="207"/>
      <c r="AD237" s="207"/>
      <c r="AE237" s="207"/>
      <c r="AF237" s="207"/>
      <c r="AG237" s="207"/>
      <c r="AH237" s="207"/>
      <c r="AI237" s="207"/>
      <c r="AJ237" s="207"/>
      <c r="AK237" s="207"/>
      <c r="AL237" s="207"/>
      <c r="AM237" s="207"/>
      <c r="AN237" s="207"/>
      <c r="AO237" s="207"/>
      <c r="AT237" s="207"/>
      <c r="AV237" s="207"/>
    </row>
    <row r="238" spans="1:48">
      <c r="A238" s="213"/>
      <c r="B238" s="212"/>
      <c r="C238" s="212"/>
      <c r="D238" s="212"/>
      <c r="E238" s="212"/>
      <c r="F238" s="212"/>
      <c r="G238" s="212"/>
      <c r="H238" s="212"/>
      <c r="I238" s="212"/>
      <c r="J238" s="212"/>
      <c r="K238" s="212"/>
      <c r="L238" s="212"/>
      <c r="M238" s="212"/>
      <c r="N238" s="212"/>
      <c r="O238" s="212"/>
      <c r="P238" s="212"/>
      <c r="Q238" s="212"/>
      <c r="R238" s="212"/>
      <c r="S238" s="212"/>
      <c r="T238" s="212"/>
      <c r="U238" s="212"/>
      <c r="V238" s="212"/>
      <c r="W238" s="212"/>
      <c r="X238" s="212"/>
      <c r="Y238" s="212"/>
      <c r="Z238" s="212"/>
      <c r="AA238" s="212"/>
      <c r="AB238" s="207"/>
      <c r="AC238" s="207"/>
      <c r="AD238" s="207"/>
      <c r="AE238" s="207"/>
      <c r="AF238" s="207"/>
      <c r="AG238" s="207"/>
      <c r="AH238" s="207"/>
      <c r="AI238" s="207"/>
      <c r="AJ238" s="207"/>
      <c r="AK238" s="207"/>
      <c r="AL238" s="207"/>
      <c r="AM238" s="207"/>
      <c r="AN238" s="207"/>
      <c r="AO238" s="207"/>
      <c r="AT238" s="207"/>
      <c r="AV238" s="207"/>
    </row>
    <row r="239" spans="1:48">
      <c r="A239" s="213"/>
      <c r="B239" s="212"/>
      <c r="C239" s="212"/>
      <c r="D239" s="212"/>
      <c r="E239" s="212"/>
      <c r="F239" s="212"/>
      <c r="G239" s="212"/>
      <c r="H239" s="212"/>
      <c r="I239" s="212"/>
      <c r="J239" s="212"/>
      <c r="K239" s="212"/>
      <c r="L239" s="212"/>
      <c r="M239" s="212"/>
      <c r="N239" s="212"/>
      <c r="O239" s="212"/>
      <c r="P239" s="212"/>
      <c r="Q239" s="212"/>
      <c r="R239" s="212"/>
      <c r="S239" s="212"/>
      <c r="T239" s="212"/>
      <c r="U239" s="212"/>
      <c r="V239" s="212"/>
      <c r="W239" s="212"/>
      <c r="X239" s="212"/>
      <c r="Y239" s="212"/>
      <c r="Z239" s="212"/>
      <c r="AA239" s="212"/>
      <c r="AB239" s="207"/>
      <c r="AC239" s="207"/>
      <c r="AD239" s="207"/>
      <c r="AE239" s="207"/>
      <c r="AF239" s="207"/>
      <c r="AG239" s="207"/>
      <c r="AH239" s="207"/>
      <c r="AI239" s="207"/>
      <c r="AJ239" s="207"/>
      <c r="AK239" s="207"/>
      <c r="AL239" s="207"/>
      <c r="AM239" s="207"/>
      <c r="AN239" s="207"/>
      <c r="AO239" s="207"/>
      <c r="AT239" s="207"/>
      <c r="AV239" s="207"/>
    </row>
    <row r="240" spans="1:48">
      <c r="A240" s="213"/>
      <c r="B240" s="212"/>
      <c r="C240" s="212"/>
      <c r="D240" s="212"/>
      <c r="E240" s="212"/>
      <c r="F240" s="212"/>
      <c r="G240" s="212"/>
      <c r="H240" s="212"/>
      <c r="I240" s="212"/>
      <c r="J240" s="212"/>
      <c r="K240" s="212"/>
      <c r="L240" s="212"/>
      <c r="M240" s="212"/>
      <c r="N240" s="212"/>
      <c r="O240" s="212"/>
      <c r="P240" s="212"/>
      <c r="Q240" s="212"/>
      <c r="R240" s="212"/>
      <c r="S240" s="212"/>
      <c r="T240" s="212"/>
      <c r="U240" s="212"/>
      <c r="V240" s="212"/>
      <c r="W240" s="212"/>
      <c r="X240" s="212"/>
      <c r="Y240" s="212"/>
      <c r="Z240" s="212"/>
      <c r="AA240" s="212"/>
      <c r="AB240" s="207"/>
      <c r="AC240" s="207"/>
      <c r="AD240" s="207"/>
      <c r="AE240" s="207"/>
      <c r="AF240" s="207"/>
      <c r="AG240" s="207"/>
      <c r="AH240" s="207"/>
      <c r="AI240" s="207"/>
      <c r="AJ240" s="207"/>
      <c r="AK240" s="207"/>
      <c r="AL240" s="207"/>
      <c r="AM240" s="207"/>
      <c r="AN240" s="207"/>
      <c r="AO240" s="207"/>
      <c r="AT240" s="207"/>
      <c r="AV240" s="207"/>
    </row>
    <row r="241" spans="1:48">
      <c r="A241" s="213"/>
      <c r="B241" s="212"/>
      <c r="C241" s="212"/>
      <c r="D241" s="212"/>
      <c r="E241" s="212"/>
      <c r="F241" s="212"/>
      <c r="G241" s="212"/>
      <c r="H241" s="212"/>
      <c r="I241" s="212"/>
      <c r="J241" s="212"/>
      <c r="K241" s="212"/>
      <c r="L241" s="212"/>
      <c r="M241" s="212"/>
      <c r="N241" s="212"/>
      <c r="O241" s="212"/>
      <c r="P241" s="212"/>
      <c r="Q241" s="212"/>
      <c r="R241" s="212"/>
      <c r="S241" s="212"/>
      <c r="T241" s="212"/>
      <c r="U241" s="212"/>
      <c r="V241" s="212"/>
      <c r="W241" s="212"/>
      <c r="X241" s="212"/>
      <c r="Y241" s="212"/>
      <c r="Z241" s="212"/>
      <c r="AA241" s="212"/>
      <c r="AB241" s="207"/>
      <c r="AC241" s="207"/>
      <c r="AD241" s="207"/>
      <c r="AE241" s="207"/>
      <c r="AF241" s="207"/>
      <c r="AG241" s="207"/>
      <c r="AH241" s="207"/>
      <c r="AI241" s="207"/>
      <c r="AJ241" s="207"/>
      <c r="AK241" s="207"/>
      <c r="AL241" s="207"/>
      <c r="AM241" s="207"/>
      <c r="AN241" s="207"/>
      <c r="AO241" s="207"/>
      <c r="AT241" s="207"/>
      <c r="AV241" s="207"/>
    </row>
    <row r="242" spans="1:48">
      <c r="A242" s="213"/>
      <c r="B242" s="212"/>
      <c r="C242" s="212"/>
      <c r="D242" s="212"/>
      <c r="E242" s="212"/>
      <c r="F242" s="212"/>
      <c r="G242" s="212"/>
      <c r="H242" s="212"/>
      <c r="I242" s="212"/>
      <c r="J242" s="212"/>
      <c r="K242" s="212"/>
      <c r="L242" s="212"/>
      <c r="M242" s="212"/>
      <c r="N242" s="212"/>
      <c r="O242" s="212"/>
      <c r="P242" s="212"/>
      <c r="Q242" s="212"/>
      <c r="R242" s="212"/>
      <c r="S242" s="212"/>
      <c r="T242" s="212"/>
      <c r="U242" s="212"/>
      <c r="V242" s="212"/>
      <c r="W242" s="212"/>
      <c r="X242" s="212"/>
      <c r="Y242" s="212"/>
      <c r="Z242" s="212"/>
      <c r="AA242" s="212"/>
      <c r="AB242" s="207"/>
      <c r="AC242" s="207"/>
      <c r="AD242" s="207"/>
      <c r="AE242" s="207"/>
      <c r="AF242" s="207"/>
      <c r="AG242" s="207"/>
      <c r="AH242" s="207"/>
      <c r="AI242" s="207"/>
      <c r="AJ242" s="207"/>
      <c r="AK242" s="207"/>
      <c r="AL242" s="207"/>
      <c r="AM242" s="207"/>
      <c r="AN242" s="207"/>
      <c r="AO242" s="207"/>
      <c r="AT242" s="207"/>
      <c r="AV242" s="207"/>
    </row>
    <row r="243" spans="1:48">
      <c r="A243" s="213"/>
      <c r="B243" s="212"/>
      <c r="C243" s="212"/>
      <c r="D243" s="212"/>
      <c r="E243" s="212"/>
      <c r="F243" s="212"/>
      <c r="G243" s="212"/>
      <c r="H243" s="212"/>
      <c r="I243" s="212"/>
      <c r="J243" s="212"/>
      <c r="K243" s="212"/>
      <c r="L243" s="212"/>
      <c r="M243" s="212"/>
      <c r="N243" s="212"/>
      <c r="O243" s="212"/>
      <c r="P243" s="212"/>
      <c r="Q243" s="212"/>
      <c r="R243" s="212"/>
      <c r="S243" s="212"/>
      <c r="T243" s="212"/>
      <c r="U243" s="212"/>
      <c r="V243" s="212"/>
      <c r="W243" s="212"/>
      <c r="X243" s="212"/>
      <c r="Y243" s="212"/>
      <c r="Z243" s="212"/>
      <c r="AA243" s="212"/>
      <c r="AB243" s="207"/>
      <c r="AC243" s="207"/>
      <c r="AD243" s="207"/>
      <c r="AE243" s="207"/>
      <c r="AF243" s="207"/>
      <c r="AG243" s="207"/>
      <c r="AH243" s="207"/>
      <c r="AI243" s="207"/>
      <c r="AJ243" s="207"/>
      <c r="AK243" s="207"/>
      <c r="AL243" s="207"/>
      <c r="AM243" s="207"/>
      <c r="AN243" s="207"/>
      <c r="AO243" s="207"/>
      <c r="AT243" s="207"/>
      <c r="AV243" s="207"/>
    </row>
    <row r="244" spans="1:48">
      <c r="A244" s="213"/>
      <c r="B244" s="212"/>
      <c r="C244" s="212"/>
      <c r="D244" s="212"/>
      <c r="E244" s="212"/>
      <c r="F244" s="212"/>
      <c r="G244" s="212"/>
      <c r="H244" s="212"/>
      <c r="I244" s="212"/>
      <c r="J244" s="212"/>
      <c r="K244" s="212"/>
      <c r="L244" s="212"/>
      <c r="M244" s="212"/>
      <c r="N244" s="212"/>
      <c r="O244" s="212"/>
      <c r="P244" s="212"/>
      <c r="Q244" s="212"/>
      <c r="R244" s="212"/>
      <c r="S244" s="212"/>
      <c r="T244" s="212"/>
      <c r="U244" s="212"/>
      <c r="V244" s="212"/>
      <c r="W244" s="212"/>
      <c r="X244" s="212"/>
      <c r="Y244" s="212"/>
      <c r="Z244" s="212"/>
      <c r="AA244" s="212"/>
      <c r="AB244" s="207"/>
      <c r="AC244" s="207"/>
      <c r="AD244" s="207"/>
      <c r="AE244" s="207"/>
      <c r="AF244" s="207"/>
      <c r="AG244" s="207"/>
      <c r="AH244" s="207"/>
      <c r="AI244" s="207"/>
      <c r="AJ244" s="207"/>
      <c r="AK244" s="207"/>
      <c r="AL244" s="207"/>
      <c r="AM244" s="207"/>
      <c r="AN244" s="207"/>
      <c r="AO244" s="207"/>
      <c r="AT244" s="207"/>
      <c r="AV244" s="207"/>
    </row>
    <row r="245" spans="1:48">
      <c r="A245" s="213"/>
      <c r="B245" s="212"/>
      <c r="C245" s="212"/>
      <c r="D245" s="212"/>
      <c r="E245" s="212"/>
      <c r="F245" s="212"/>
      <c r="G245" s="212"/>
      <c r="H245" s="212"/>
      <c r="I245" s="212"/>
      <c r="J245" s="212"/>
      <c r="K245" s="212"/>
      <c r="L245" s="212"/>
      <c r="M245" s="212"/>
      <c r="N245" s="212"/>
      <c r="O245" s="212"/>
      <c r="P245" s="212"/>
      <c r="Q245" s="212"/>
      <c r="R245" s="212"/>
      <c r="S245" s="212"/>
      <c r="T245" s="212"/>
      <c r="U245" s="212"/>
      <c r="V245" s="212"/>
      <c r="W245" s="212"/>
      <c r="X245" s="212"/>
      <c r="Y245" s="212"/>
      <c r="Z245" s="212"/>
      <c r="AA245" s="212"/>
      <c r="AB245" s="207"/>
      <c r="AC245" s="207"/>
      <c r="AD245" s="207"/>
      <c r="AE245" s="207"/>
      <c r="AF245" s="207"/>
      <c r="AG245" s="207"/>
      <c r="AH245" s="207"/>
      <c r="AI245" s="207"/>
      <c r="AJ245" s="207"/>
      <c r="AK245" s="207"/>
      <c r="AL245" s="207"/>
      <c r="AM245" s="207"/>
      <c r="AN245" s="207"/>
      <c r="AO245" s="207"/>
      <c r="AT245" s="207"/>
      <c r="AV245" s="207"/>
    </row>
    <row r="246" spans="1:48">
      <c r="A246" s="213"/>
      <c r="B246" s="212"/>
      <c r="C246" s="212"/>
      <c r="D246" s="212"/>
      <c r="E246" s="212"/>
      <c r="F246" s="212"/>
      <c r="G246" s="212"/>
      <c r="H246" s="212"/>
      <c r="I246" s="212"/>
      <c r="J246" s="212"/>
      <c r="K246" s="212"/>
      <c r="L246" s="212"/>
      <c r="M246" s="212"/>
      <c r="N246" s="212"/>
      <c r="O246" s="212"/>
      <c r="P246" s="212"/>
      <c r="Q246" s="212"/>
      <c r="R246" s="212"/>
      <c r="S246" s="212"/>
      <c r="T246" s="212"/>
      <c r="U246" s="212"/>
      <c r="V246" s="212"/>
      <c r="W246" s="212"/>
      <c r="X246" s="212"/>
      <c r="Y246" s="212"/>
      <c r="Z246" s="212"/>
      <c r="AA246" s="212"/>
      <c r="AB246" s="207"/>
      <c r="AC246" s="207"/>
      <c r="AD246" s="207"/>
      <c r="AE246" s="207"/>
      <c r="AF246" s="207"/>
      <c r="AG246" s="207"/>
      <c r="AH246" s="207"/>
      <c r="AI246" s="207"/>
      <c r="AJ246" s="207"/>
      <c r="AK246" s="207"/>
      <c r="AL246" s="207"/>
      <c r="AM246" s="207"/>
      <c r="AN246" s="207"/>
      <c r="AO246" s="207"/>
      <c r="AT246" s="207"/>
      <c r="AV246" s="207"/>
    </row>
    <row r="247" spans="1:48">
      <c r="A247" s="213"/>
      <c r="B247" s="212"/>
      <c r="C247" s="212"/>
      <c r="D247" s="212"/>
      <c r="E247" s="212"/>
      <c r="F247" s="212"/>
      <c r="G247" s="212"/>
      <c r="H247" s="212"/>
      <c r="I247" s="212"/>
      <c r="J247" s="212"/>
      <c r="K247" s="212"/>
      <c r="L247" s="212"/>
      <c r="M247" s="212"/>
      <c r="N247" s="212"/>
      <c r="O247" s="212"/>
      <c r="P247" s="212"/>
      <c r="Q247" s="212"/>
      <c r="R247" s="212"/>
      <c r="S247" s="212"/>
      <c r="T247" s="212"/>
      <c r="U247" s="212"/>
      <c r="V247" s="212"/>
      <c r="W247" s="212"/>
      <c r="X247" s="212"/>
      <c r="Y247" s="212"/>
      <c r="Z247" s="212"/>
      <c r="AA247" s="212"/>
      <c r="AB247" s="207"/>
      <c r="AC247" s="207"/>
      <c r="AD247" s="207"/>
      <c r="AE247" s="207"/>
      <c r="AF247" s="207"/>
      <c r="AG247" s="207"/>
      <c r="AH247" s="207"/>
      <c r="AI247" s="207"/>
      <c r="AJ247" s="207"/>
      <c r="AK247" s="207"/>
      <c r="AL247" s="207"/>
      <c r="AM247" s="207"/>
      <c r="AN247" s="207"/>
      <c r="AO247" s="207"/>
      <c r="AT247" s="207"/>
      <c r="AV247" s="207"/>
    </row>
    <row r="248" spans="1:48">
      <c r="A248" s="213"/>
      <c r="B248" s="212"/>
      <c r="C248" s="212"/>
      <c r="D248" s="212"/>
      <c r="E248" s="212"/>
      <c r="F248" s="212"/>
      <c r="G248" s="212"/>
      <c r="H248" s="212"/>
      <c r="I248" s="212"/>
      <c r="J248" s="212"/>
      <c r="K248" s="212"/>
      <c r="L248" s="212"/>
      <c r="M248" s="212"/>
      <c r="N248" s="212"/>
      <c r="O248" s="212"/>
      <c r="P248" s="212"/>
      <c r="Q248" s="212"/>
      <c r="R248" s="212"/>
      <c r="S248" s="212"/>
      <c r="T248" s="212"/>
      <c r="U248" s="212"/>
      <c r="V248" s="212"/>
      <c r="W248" s="212"/>
      <c r="X248" s="212"/>
      <c r="Y248" s="212"/>
      <c r="Z248" s="212"/>
      <c r="AA248" s="212"/>
      <c r="AB248" s="207"/>
      <c r="AC248" s="207"/>
      <c r="AD248" s="207"/>
      <c r="AE248" s="207"/>
      <c r="AF248" s="207"/>
      <c r="AG248" s="207"/>
      <c r="AH248" s="207"/>
      <c r="AI248" s="207"/>
      <c r="AJ248" s="207"/>
      <c r="AK248" s="207"/>
      <c r="AL248" s="207"/>
      <c r="AM248" s="207"/>
      <c r="AN248" s="207"/>
      <c r="AO248" s="207"/>
      <c r="AT248" s="207"/>
      <c r="AV248" s="207"/>
    </row>
    <row r="249" spans="1:48">
      <c r="A249" s="213"/>
      <c r="B249" s="212"/>
      <c r="C249" s="212"/>
      <c r="D249" s="212"/>
      <c r="E249" s="212"/>
      <c r="F249" s="212"/>
      <c r="G249" s="212"/>
      <c r="H249" s="212"/>
      <c r="I249" s="212"/>
      <c r="J249" s="212"/>
      <c r="K249" s="212"/>
      <c r="L249" s="212"/>
      <c r="M249" s="212"/>
      <c r="N249" s="212"/>
      <c r="O249" s="212"/>
      <c r="P249" s="212"/>
      <c r="Q249" s="212"/>
      <c r="R249" s="212"/>
      <c r="S249" s="212"/>
      <c r="T249" s="212"/>
      <c r="U249" s="212"/>
      <c r="V249" s="212"/>
      <c r="W249" s="212"/>
      <c r="X249" s="212"/>
      <c r="Y249" s="212"/>
      <c r="Z249" s="212"/>
      <c r="AA249" s="212"/>
      <c r="AB249" s="207"/>
      <c r="AC249" s="207"/>
      <c r="AD249" s="207"/>
      <c r="AE249" s="207"/>
      <c r="AF249" s="207"/>
      <c r="AG249" s="207"/>
      <c r="AH249" s="207"/>
      <c r="AI249" s="207"/>
      <c r="AJ249" s="207"/>
      <c r="AK249" s="207"/>
      <c r="AL249" s="207"/>
      <c r="AM249" s="207"/>
      <c r="AN249" s="207"/>
      <c r="AO249" s="207"/>
      <c r="AT249" s="207"/>
      <c r="AV249" s="207"/>
    </row>
    <row r="250" spans="1:48">
      <c r="A250" s="213"/>
      <c r="B250" s="212"/>
      <c r="C250" s="212"/>
      <c r="D250" s="212"/>
      <c r="E250" s="212"/>
      <c r="F250" s="212"/>
      <c r="G250" s="212"/>
      <c r="H250" s="212"/>
      <c r="I250" s="212"/>
      <c r="J250" s="212"/>
      <c r="K250" s="212"/>
      <c r="L250" s="212"/>
      <c r="M250" s="212"/>
      <c r="N250" s="212"/>
      <c r="O250" s="212"/>
      <c r="P250" s="212"/>
      <c r="Q250" s="212"/>
      <c r="R250" s="212"/>
      <c r="S250" s="212"/>
      <c r="T250" s="212"/>
      <c r="U250" s="212"/>
      <c r="V250" s="212"/>
      <c r="W250" s="212"/>
      <c r="X250" s="212"/>
      <c r="Y250" s="212"/>
      <c r="Z250" s="212"/>
      <c r="AA250" s="212"/>
      <c r="AB250" s="207"/>
      <c r="AC250" s="207"/>
      <c r="AD250" s="207"/>
      <c r="AE250" s="207"/>
      <c r="AF250" s="207"/>
      <c r="AG250" s="207"/>
      <c r="AH250" s="207"/>
      <c r="AI250" s="207"/>
      <c r="AJ250" s="207"/>
      <c r="AK250" s="207"/>
      <c r="AL250" s="207"/>
      <c r="AM250" s="207"/>
      <c r="AN250" s="207"/>
      <c r="AO250" s="207"/>
      <c r="AT250" s="207"/>
      <c r="AV250" s="207"/>
    </row>
    <row r="251" spans="1:48">
      <c r="A251" s="213"/>
      <c r="B251" s="212"/>
      <c r="C251" s="212"/>
      <c r="D251" s="212"/>
      <c r="E251" s="212"/>
      <c r="F251" s="212"/>
      <c r="G251" s="212"/>
      <c r="H251" s="212"/>
      <c r="I251" s="212"/>
      <c r="J251" s="212"/>
      <c r="K251" s="212"/>
      <c r="L251" s="212"/>
      <c r="M251" s="212"/>
      <c r="N251" s="212"/>
      <c r="O251" s="212"/>
      <c r="P251" s="212"/>
      <c r="Q251" s="212"/>
      <c r="R251" s="212"/>
      <c r="S251" s="212"/>
      <c r="T251" s="212"/>
      <c r="U251" s="212"/>
      <c r="V251" s="212"/>
      <c r="W251" s="212"/>
      <c r="X251" s="212"/>
      <c r="Y251" s="212"/>
      <c r="Z251" s="212"/>
      <c r="AA251" s="212"/>
      <c r="AB251" s="207"/>
      <c r="AC251" s="207"/>
      <c r="AD251" s="207"/>
      <c r="AE251" s="207"/>
      <c r="AF251" s="207"/>
      <c r="AG251" s="207"/>
      <c r="AH251" s="207"/>
      <c r="AI251" s="207"/>
      <c r="AJ251" s="207"/>
      <c r="AK251" s="207"/>
      <c r="AL251" s="207"/>
      <c r="AM251" s="207"/>
      <c r="AN251" s="207"/>
      <c r="AO251" s="207"/>
      <c r="AT251" s="207"/>
      <c r="AV251" s="207"/>
    </row>
    <row r="252" spans="1:48">
      <c r="A252" s="213"/>
      <c r="B252" s="212"/>
      <c r="C252" s="212"/>
      <c r="D252" s="212"/>
      <c r="E252" s="212"/>
      <c r="F252" s="212"/>
      <c r="G252" s="212"/>
      <c r="H252" s="212"/>
      <c r="I252" s="212"/>
      <c r="J252" s="212"/>
      <c r="K252" s="212"/>
      <c r="L252" s="212"/>
      <c r="M252" s="212"/>
      <c r="N252" s="212"/>
      <c r="O252" s="212"/>
      <c r="P252" s="212"/>
      <c r="Q252" s="212"/>
      <c r="R252" s="212"/>
      <c r="S252" s="212"/>
      <c r="T252" s="212"/>
      <c r="U252" s="212"/>
      <c r="V252" s="212"/>
      <c r="W252" s="212"/>
      <c r="X252" s="212"/>
      <c r="Y252" s="212"/>
      <c r="Z252" s="212"/>
      <c r="AA252" s="212"/>
      <c r="AB252" s="207"/>
      <c r="AC252" s="207"/>
      <c r="AD252" s="207"/>
      <c r="AE252" s="207"/>
      <c r="AF252" s="207"/>
      <c r="AG252" s="207"/>
      <c r="AH252" s="207"/>
      <c r="AI252" s="207"/>
      <c r="AJ252" s="207"/>
      <c r="AK252" s="207"/>
      <c r="AL252" s="207"/>
      <c r="AM252" s="207"/>
      <c r="AN252" s="207"/>
      <c r="AO252" s="207"/>
      <c r="AT252" s="207"/>
      <c r="AV252" s="207"/>
    </row>
    <row r="253" spans="1:48">
      <c r="A253" s="213"/>
      <c r="B253" s="212"/>
      <c r="C253" s="212"/>
      <c r="D253" s="212"/>
      <c r="E253" s="212"/>
      <c r="F253" s="212"/>
      <c r="G253" s="212"/>
      <c r="H253" s="212"/>
      <c r="I253" s="212"/>
      <c r="J253" s="212"/>
      <c r="K253" s="212"/>
      <c r="L253" s="212"/>
      <c r="M253" s="212"/>
      <c r="N253" s="212"/>
      <c r="O253" s="212"/>
      <c r="P253" s="212"/>
      <c r="Q253" s="212"/>
      <c r="R253" s="212"/>
      <c r="S253" s="212"/>
      <c r="T253" s="212"/>
      <c r="U253" s="212"/>
      <c r="V253" s="212"/>
      <c r="W253" s="212"/>
      <c r="X253" s="212"/>
      <c r="Y253" s="212"/>
      <c r="Z253" s="212"/>
      <c r="AA253" s="212"/>
      <c r="AB253" s="207"/>
      <c r="AC253" s="207"/>
      <c r="AD253" s="207"/>
      <c r="AE253" s="207"/>
      <c r="AF253" s="207"/>
      <c r="AG253" s="207"/>
      <c r="AH253" s="207"/>
      <c r="AI253" s="207"/>
      <c r="AJ253" s="207"/>
      <c r="AK253" s="207"/>
      <c r="AL253" s="207"/>
      <c r="AM253" s="207"/>
      <c r="AN253" s="207"/>
      <c r="AO253" s="207"/>
      <c r="AT253" s="207"/>
      <c r="AV253" s="207"/>
    </row>
    <row r="254" spans="1:48">
      <c r="A254" s="213"/>
      <c r="B254" s="212"/>
      <c r="C254" s="212"/>
      <c r="D254" s="212"/>
      <c r="E254" s="212"/>
      <c r="F254" s="212"/>
      <c r="G254" s="212"/>
      <c r="H254" s="212"/>
      <c r="I254" s="212"/>
      <c r="J254" s="212"/>
      <c r="K254" s="212"/>
      <c r="L254" s="212"/>
      <c r="M254" s="212"/>
      <c r="N254" s="212"/>
      <c r="O254" s="212"/>
      <c r="P254" s="212"/>
      <c r="Q254" s="212"/>
      <c r="R254" s="212"/>
      <c r="S254" s="212"/>
      <c r="T254" s="212"/>
      <c r="U254" s="212"/>
      <c r="V254" s="212"/>
      <c r="W254" s="212"/>
      <c r="X254" s="212"/>
      <c r="Y254" s="212"/>
      <c r="Z254" s="212"/>
      <c r="AA254" s="212"/>
      <c r="AB254" s="207"/>
      <c r="AC254" s="207"/>
      <c r="AD254" s="207"/>
      <c r="AE254" s="207"/>
      <c r="AF254" s="207"/>
      <c r="AG254" s="207"/>
      <c r="AH254" s="207"/>
      <c r="AI254" s="207"/>
      <c r="AJ254" s="207"/>
      <c r="AK254" s="207"/>
      <c r="AL254" s="207"/>
      <c r="AM254" s="207"/>
      <c r="AN254" s="207"/>
      <c r="AO254" s="207"/>
      <c r="AT254" s="207"/>
      <c r="AV254" s="207"/>
    </row>
    <row r="255" spans="1:48">
      <c r="A255" s="213"/>
      <c r="B255" s="212"/>
      <c r="C255" s="212"/>
      <c r="D255" s="212"/>
      <c r="E255" s="212"/>
      <c r="F255" s="212"/>
      <c r="G255" s="212"/>
      <c r="H255" s="212"/>
      <c r="I255" s="212"/>
      <c r="J255" s="212"/>
      <c r="K255" s="212"/>
      <c r="L255" s="212"/>
      <c r="M255" s="212"/>
      <c r="N255" s="212"/>
      <c r="O255" s="212"/>
      <c r="P255" s="212"/>
      <c r="Q255" s="212"/>
      <c r="R255" s="212"/>
      <c r="S255" s="212"/>
      <c r="T255" s="212"/>
      <c r="U255" s="212"/>
      <c r="V255" s="212"/>
      <c r="W255" s="212"/>
      <c r="X255" s="212"/>
      <c r="Y255" s="212"/>
      <c r="Z255" s="212"/>
      <c r="AA255" s="212"/>
      <c r="AB255" s="207"/>
      <c r="AC255" s="207"/>
      <c r="AD255" s="207"/>
      <c r="AE255" s="207"/>
      <c r="AF255" s="207"/>
      <c r="AG255" s="207"/>
      <c r="AH255" s="207"/>
      <c r="AI255" s="207"/>
      <c r="AJ255" s="207"/>
      <c r="AK255" s="207"/>
      <c r="AL255" s="207"/>
      <c r="AM255" s="207"/>
      <c r="AN255" s="207"/>
      <c r="AO255" s="207"/>
      <c r="AT255" s="207"/>
      <c r="AV255" s="207"/>
    </row>
    <row r="256" spans="1:48">
      <c r="A256" s="213"/>
      <c r="B256" s="212"/>
      <c r="C256" s="212"/>
      <c r="D256" s="212"/>
      <c r="E256" s="212"/>
      <c r="F256" s="212"/>
      <c r="G256" s="212"/>
      <c r="H256" s="212"/>
      <c r="I256" s="212"/>
      <c r="J256" s="212"/>
      <c r="K256" s="212"/>
      <c r="L256" s="212"/>
      <c r="M256" s="212"/>
      <c r="N256" s="212"/>
      <c r="O256" s="212"/>
      <c r="P256" s="212"/>
      <c r="Q256" s="212"/>
      <c r="R256" s="212"/>
      <c r="S256" s="212"/>
      <c r="T256" s="212"/>
      <c r="U256" s="212"/>
      <c r="V256" s="212"/>
      <c r="W256" s="212"/>
      <c r="X256" s="212"/>
      <c r="Y256" s="212"/>
      <c r="Z256" s="212"/>
      <c r="AA256" s="212"/>
      <c r="AB256" s="207"/>
      <c r="AC256" s="207"/>
      <c r="AE256" s="207"/>
      <c r="AF256" s="207"/>
      <c r="AG256" s="207"/>
      <c r="AH256" s="207"/>
      <c r="AI256" s="207"/>
      <c r="AJ256" s="207"/>
      <c r="AK256" s="207"/>
      <c r="AL256" s="207"/>
      <c r="AM256" s="207"/>
      <c r="AN256" s="207"/>
      <c r="AO256" s="207"/>
      <c r="AT256" s="207"/>
      <c r="AV256" s="207"/>
    </row>
    <row r="257" spans="1:48">
      <c r="A257" s="213"/>
      <c r="B257" s="212"/>
      <c r="C257" s="212"/>
      <c r="D257" s="212"/>
      <c r="E257" s="212"/>
      <c r="F257" s="212"/>
      <c r="G257" s="212"/>
      <c r="H257" s="212"/>
      <c r="I257" s="212"/>
      <c r="J257" s="212"/>
      <c r="K257" s="212"/>
      <c r="L257" s="212"/>
      <c r="M257" s="212"/>
      <c r="N257" s="212"/>
      <c r="O257" s="212"/>
      <c r="P257" s="212"/>
      <c r="Q257" s="212"/>
      <c r="R257" s="212"/>
      <c r="S257" s="212"/>
      <c r="T257" s="212"/>
      <c r="U257" s="212"/>
      <c r="V257" s="212"/>
      <c r="W257" s="212"/>
      <c r="X257" s="212"/>
      <c r="Y257" s="212"/>
      <c r="Z257" s="212"/>
      <c r="AA257" s="212"/>
      <c r="AB257" s="207"/>
      <c r="AC257" s="207"/>
      <c r="AD257" s="207"/>
      <c r="AE257" s="207"/>
      <c r="AF257" s="207"/>
      <c r="AG257" s="207"/>
      <c r="AH257" s="207"/>
      <c r="AI257" s="207"/>
      <c r="AJ257" s="207"/>
      <c r="AK257" s="207"/>
      <c r="AL257" s="207"/>
      <c r="AM257" s="207"/>
      <c r="AN257" s="207"/>
      <c r="AO257" s="207"/>
      <c r="AT257" s="207"/>
      <c r="AV257" s="207"/>
    </row>
    <row r="258" spans="1:48">
      <c r="A258" s="213"/>
      <c r="B258" s="212"/>
      <c r="C258" s="212"/>
      <c r="D258" s="212"/>
      <c r="E258" s="212"/>
      <c r="F258" s="212"/>
      <c r="G258" s="212"/>
      <c r="H258" s="212"/>
      <c r="I258" s="212"/>
      <c r="J258" s="212"/>
      <c r="K258" s="212"/>
      <c r="L258" s="212"/>
      <c r="M258" s="212"/>
      <c r="N258" s="212"/>
      <c r="O258" s="212"/>
      <c r="P258" s="212"/>
      <c r="Q258" s="212"/>
      <c r="R258" s="212"/>
      <c r="S258" s="212"/>
      <c r="T258" s="212"/>
      <c r="U258" s="212"/>
      <c r="V258" s="212"/>
      <c r="W258" s="212"/>
      <c r="X258" s="212"/>
      <c r="Y258" s="212"/>
      <c r="Z258" s="212"/>
      <c r="AA258" s="212"/>
      <c r="AB258" s="207"/>
      <c r="AC258" s="207"/>
      <c r="AD258" s="207"/>
      <c r="AE258" s="207"/>
      <c r="AF258" s="207"/>
      <c r="AG258" s="207"/>
      <c r="AH258" s="207"/>
      <c r="AI258" s="207"/>
      <c r="AJ258" s="207"/>
      <c r="AK258" s="207"/>
      <c r="AL258" s="207"/>
      <c r="AM258" s="207"/>
      <c r="AN258" s="207"/>
      <c r="AO258" s="207"/>
      <c r="AT258" s="207"/>
      <c r="AV258" s="207"/>
    </row>
    <row r="259" spans="1:48">
      <c r="A259" s="213"/>
      <c r="B259" s="212"/>
      <c r="C259" s="212"/>
      <c r="D259" s="212"/>
      <c r="E259" s="212"/>
      <c r="F259" s="212"/>
      <c r="G259" s="212"/>
      <c r="H259" s="212"/>
      <c r="I259" s="212"/>
      <c r="J259" s="212"/>
      <c r="K259" s="212"/>
      <c r="L259" s="212"/>
      <c r="M259" s="212"/>
      <c r="N259" s="212"/>
      <c r="O259" s="212"/>
      <c r="P259" s="212"/>
      <c r="Q259" s="212"/>
      <c r="R259" s="212"/>
      <c r="S259" s="212"/>
      <c r="T259" s="212"/>
      <c r="U259" s="212"/>
      <c r="V259" s="212"/>
      <c r="W259" s="212"/>
      <c r="X259" s="212"/>
      <c r="Y259" s="212"/>
      <c r="Z259" s="212"/>
      <c r="AA259" s="212"/>
      <c r="AB259" s="207"/>
      <c r="AC259" s="207"/>
      <c r="AD259" s="207"/>
      <c r="AE259" s="207"/>
      <c r="AF259" s="207"/>
      <c r="AG259" s="207"/>
      <c r="AH259" s="207"/>
      <c r="AI259" s="207"/>
      <c r="AJ259" s="207"/>
      <c r="AK259" s="207"/>
      <c r="AL259" s="207"/>
      <c r="AM259" s="207"/>
      <c r="AN259" s="207"/>
      <c r="AO259" s="207"/>
      <c r="AT259" s="207"/>
      <c r="AV259" s="207"/>
    </row>
    <row r="260" spans="1:48">
      <c r="A260" s="213"/>
      <c r="B260" s="212"/>
      <c r="C260" s="212"/>
      <c r="D260" s="212"/>
      <c r="E260" s="212"/>
      <c r="F260" s="212"/>
      <c r="G260" s="212"/>
      <c r="H260" s="212"/>
      <c r="I260" s="212"/>
      <c r="J260" s="212"/>
      <c r="K260" s="212"/>
      <c r="L260" s="212"/>
      <c r="M260" s="212"/>
      <c r="N260" s="212"/>
      <c r="O260" s="212"/>
      <c r="P260" s="212"/>
      <c r="Q260" s="212"/>
      <c r="R260" s="212"/>
      <c r="S260" s="212"/>
      <c r="T260" s="212"/>
      <c r="U260" s="212"/>
      <c r="V260" s="212"/>
      <c r="W260" s="212"/>
      <c r="X260" s="212"/>
      <c r="Y260" s="212"/>
      <c r="Z260" s="212"/>
      <c r="AA260" s="212"/>
      <c r="AB260" s="207"/>
      <c r="AC260" s="207"/>
      <c r="AD260" s="207"/>
      <c r="AE260" s="207"/>
      <c r="AF260" s="207"/>
      <c r="AG260" s="207"/>
      <c r="AH260" s="207"/>
      <c r="AI260" s="207"/>
      <c r="AJ260" s="207"/>
      <c r="AK260" s="207"/>
      <c r="AL260" s="207"/>
      <c r="AM260" s="207"/>
      <c r="AN260" s="207"/>
      <c r="AO260" s="207"/>
      <c r="AT260" s="207"/>
      <c r="AV260" s="207"/>
    </row>
    <row r="261" spans="1:48">
      <c r="A261" s="213"/>
      <c r="B261" s="212"/>
      <c r="C261" s="212"/>
      <c r="D261" s="212"/>
      <c r="E261" s="212"/>
      <c r="F261" s="212"/>
      <c r="G261" s="212"/>
      <c r="H261" s="212"/>
      <c r="I261" s="212"/>
      <c r="J261" s="212"/>
      <c r="K261" s="212"/>
      <c r="L261" s="212"/>
      <c r="M261" s="212"/>
      <c r="N261" s="212"/>
      <c r="O261" s="212"/>
      <c r="P261" s="212"/>
      <c r="Q261" s="212"/>
      <c r="R261" s="212"/>
      <c r="S261" s="212"/>
      <c r="T261" s="212"/>
      <c r="U261" s="212"/>
      <c r="V261" s="212"/>
      <c r="W261" s="212"/>
      <c r="X261" s="212"/>
      <c r="Y261" s="212"/>
      <c r="Z261" s="212"/>
      <c r="AA261" s="212"/>
      <c r="AB261" s="207"/>
      <c r="AC261" s="207"/>
      <c r="AD261" s="207"/>
      <c r="AE261" s="207"/>
      <c r="AF261" s="207"/>
      <c r="AG261" s="207"/>
      <c r="AH261" s="207"/>
      <c r="AI261" s="207"/>
      <c r="AJ261" s="207"/>
      <c r="AK261" s="207"/>
      <c r="AL261" s="207"/>
      <c r="AM261" s="207"/>
      <c r="AN261" s="207"/>
      <c r="AO261" s="207"/>
      <c r="AT261" s="207"/>
      <c r="AV261" s="207"/>
    </row>
    <row r="262" spans="1:48">
      <c r="A262" s="213"/>
      <c r="B262" s="212"/>
      <c r="C262" s="212"/>
      <c r="D262" s="212"/>
      <c r="E262" s="212"/>
      <c r="F262" s="212"/>
      <c r="G262" s="212"/>
      <c r="H262" s="212"/>
      <c r="I262" s="212"/>
      <c r="J262" s="212"/>
      <c r="K262" s="212"/>
      <c r="L262" s="212"/>
      <c r="M262" s="212"/>
      <c r="N262" s="212"/>
      <c r="O262" s="212"/>
      <c r="P262" s="212"/>
      <c r="Q262" s="212"/>
      <c r="R262" s="212"/>
      <c r="S262" s="212"/>
      <c r="T262" s="212"/>
      <c r="U262" s="212"/>
      <c r="V262" s="212"/>
      <c r="W262" s="212"/>
      <c r="X262" s="212"/>
      <c r="Y262" s="212"/>
      <c r="Z262" s="212"/>
      <c r="AA262" s="212"/>
      <c r="AB262" s="207"/>
      <c r="AC262" s="207"/>
      <c r="AD262" s="207"/>
      <c r="AE262" s="207"/>
      <c r="AF262" s="207"/>
      <c r="AG262" s="207"/>
      <c r="AH262" s="207"/>
      <c r="AI262" s="207"/>
      <c r="AJ262" s="207"/>
      <c r="AK262" s="207"/>
      <c r="AL262" s="207"/>
      <c r="AM262" s="207"/>
      <c r="AN262" s="207"/>
      <c r="AO262" s="207"/>
      <c r="AT262" s="207"/>
      <c r="AV262" s="207"/>
    </row>
    <row r="263" spans="1:48">
      <c r="A263" s="213"/>
      <c r="B263" s="212"/>
      <c r="C263" s="212"/>
      <c r="D263" s="212"/>
      <c r="E263" s="212"/>
      <c r="F263" s="212"/>
      <c r="G263" s="212"/>
      <c r="H263" s="212"/>
      <c r="I263" s="212"/>
      <c r="J263" s="212"/>
      <c r="K263" s="212"/>
      <c r="L263" s="212"/>
      <c r="M263" s="212"/>
      <c r="N263" s="212"/>
      <c r="O263" s="212"/>
      <c r="P263" s="212"/>
      <c r="Q263" s="212"/>
      <c r="R263" s="212"/>
      <c r="S263" s="212"/>
      <c r="T263" s="212"/>
      <c r="U263" s="212"/>
      <c r="V263" s="212"/>
      <c r="W263" s="212"/>
      <c r="X263" s="212"/>
      <c r="Y263" s="212"/>
      <c r="Z263" s="212"/>
      <c r="AA263" s="212"/>
      <c r="AB263" s="207"/>
      <c r="AC263" s="207"/>
      <c r="AD263" s="207"/>
      <c r="AE263" s="207"/>
      <c r="AF263" s="207"/>
      <c r="AG263" s="207"/>
      <c r="AH263" s="207"/>
      <c r="AI263" s="207"/>
      <c r="AJ263" s="207"/>
      <c r="AK263" s="207"/>
      <c r="AL263" s="207"/>
      <c r="AM263" s="207"/>
      <c r="AN263" s="207"/>
      <c r="AO263" s="207"/>
      <c r="AT263" s="207"/>
      <c r="AV263" s="207"/>
    </row>
    <row r="264" spans="1:48">
      <c r="A264" s="213"/>
      <c r="B264" s="212"/>
      <c r="C264" s="212"/>
      <c r="D264" s="212"/>
      <c r="E264" s="212"/>
      <c r="F264" s="212"/>
      <c r="G264" s="212"/>
      <c r="H264" s="212"/>
      <c r="I264" s="212"/>
      <c r="J264" s="212"/>
      <c r="K264" s="212"/>
      <c r="L264" s="212"/>
      <c r="M264" s="212"/>
      <c r="N264" s="212"/>
      <c r="O264" s="212"/>
      <c r="P264" s="212"/>
      <c r="Q264" s="212"/>
      <c r="R264" s="212"/>
      <c r="S264" s="212"/>
      <c r="T264" s="212"/>
      <c r="U264" s="212"/>
      <c r="V264" s="212"/>
      <c r="W264" s="212"/>
      <c r="X264" s="212"/>
      <c r="Y264" s="212"/>
      <c r="Z264" s="212"/>
      <c r="AA264" s="212"/>
      <c r="AB264" s="207"/>
      <c r="AC264" s="207"/>
      <c r="AD264" s="207"/>
      <c r="AE264" s="207"/>
      <c r="AF264" s="207"/>
      <c r="AG264" s="207"/>
      <c r="AH264" s="207"/>
      <c r="AI264" s="207"/>
      <c r="AJ264" s="207"/>
      <c r="AK264" s="207"/>
      <c r="AL264" s="207"/>
      <c r="AM264" s="207"/>
      <c r="AN264" s="207"/>
      <c r="AO264" s="207"/>
      <c r="AT264" s="207"/>
      <c r="AV264" s="207"/>
    </row>
    <row r="265" spans="1:48">
      <c r="A265" s="213"/>
      <c r="B265" s="212"/>
      <c r="C265" s="212"/>
      <c r="D265" s="212"/>
      <c r="E265" s="212"/>
      <c r="F265" s="212"/>
      <c r="G265" s="212"/>
      <c r="H265" s="212"/>
      <c r="I265" s="212"/>
      <c r="J265" s="212"/>
      <c r="K265" s="212"/>
      <c r="L265" s="212"/>
      <c r="M265" s="212"/>
      <c r="N265" s="212"/>
      <c r="O265" s="212"/>
      <c r="P265" s="212"/>
      <c r="Q265" s="212"/>
      <c r="R265" s="212"/>
      <c r="S265" s="212"/>
      <c r="T265" s="212"/>
      <c r="U265" s="212"/>
      <c r="V265" s="212"/>
      <c r="W265" s="212"/>
      <c r="X265" s="212"/>
      <c r="Y265" s="212"/>
      <c r="Z265" s="212"/>
      <c r="AA265" s="212"/>
      <c r="AB265" s="207"/>
      <c r="AC265" s="207"/>
      <c r="AD265" s="207"/>
      <c r="AE265" s="207"/>
      <c r="AF265" s="207"/>
      <c r="AG265" s="207"/>
      <c r="AH265" s="207"/>
      <c r="AI265" s="207"/>
      <c r="AJ265" s="207"/>
      <c r="AK265" s="207"/>
      <c r="AL265" s="207"/>
      <c r="AM265" s="207"/>
      <c r="AN265" s="207"/>
      <c r="AO265" s="207"/>
      <c r="AT265" s="207"/>
      <c r="AV265" s="207"/>
    </row>
    <row r="266" spans="1:48">
      <c r="A266" s="213"/>
      <c r="B266" s="212"/>
      <c r="C266" s="212"/>
      <c r="D266" s="212"/>
      <c r="E266" s="212"/>
      <c r="F266" s="212"/>
      <c r="G266" s="212"/>
      <c r="H266" s="212"/>
      <c r="I266" s="212"/>
      <c r="J266" s="212"/>
      <c r="K266" s="212"/>
      <c r="L266" s="212"/>
      <c r="M266" s="212"/>
      <c r="N266" s="212"/>
      <c r="O266" s="212"/>
      <c r="P266" s="212"/>
      <c r="Q266" s="212"/>
      <c r="R266" s="212"/>
      <c r="S266" s="212"/>
      <c r="T266" s="212"/>
      <c r="U266" s="212"/>
      <c r="V266" s="212"/>
      <c r="W266" s="212"/>
      <c r="X266" s="212"/>
      <c r="Y266" s="212"/>
      <c r="Z266" s="212"/>
      <c r="AA266" s="212"/>
      <c r="AB266" s="207"/>
      <c r="AC266" s="207"/>
      <c r="AD266" s="207"/>
      <c r="AE266" s="207"/>
      <c r="AF266" s="207"/>
      <c r="AG266" s="207"/>
      <c r="AH266" s="207"/>
      <c r="AI266" s="207"/>
      <c r="AJ266" s="207"/>
      <c r="AK266" s="207"/>
      <c r="AL266" s="207"/>
      <c r="AM266" s="207"/>
      <c r="AN266" s="207"/>
      <c r="AO266" s="207"/>
      <c r="AT266" s="207"/>
      <c r="AV266" s="207"/>
    </row>
    <row r="267" spans="1:48">
      <c r="A267" s="213"/>
      <c r="B267" s="212"/>
      <c r="C267" s="212"/>
      <c r="D267" s="212"/>
      <c r="E267" s="212"/>
      <c r="F267" s="212"/>
      <c r="G267" s="212"/>
      <c r="H267" s="212"/>
      <c r="I267" s="212"/>
      <c r="J267" s="212"/>
      <c r="K267" s="212"/>
      <c r="L267" s="212"/>
      <c r="M267" s="212"/>
      <c r="N267" s="212"/>
      <c r="O267" s="212"/>
      <c r="P267" s="212"/>
      <c r="Q267" s="212"/>
      <c r="R267" s="212"/>
      <c r="S267" s="212"/>
      <c r="T267" s="212"/>
      <c r="U267" s="212"/>
      <c r="V267" s="212"/>
      <c r="W267" s="212"/>
      <c r="X267" s="212"/>
      <c r="Y267" s="212"/>
      <c r="Z267" s="212"/>
      <c r="AA267" s="212"/>
      <c r="AB267" s="207"/>
      <c r="AC267" s="207"/>
      <c r="AD267" s="207"/>
      <c r="AE267" s="207"/>
      <c r="AF267" s="207"/>
      <c r="AG267" s="207"/>
      <c r="AH267" s="207"/>
      <c r="AI267" s="207"/>
      <c r="AJ267" s="207"/>
      <c r="AK267" s="207"/>
      <c r="AL267" s="207"/>
      <c r="AM267" s="207"/>
      <c r="AN267" s="207"/>
      <c r="AO267" s="207"/>
      <c r="AT267" s="207"/>
      <c r="AV267" s="207"/>
    </row>
    <row r="268" spans="1:48">
      <c r="A268" s="213"/>
      <c r="B268" s="212"/>
      <c r="C268" s="212"/>
      <c r="D268" s="212"/>
      <c r="E268" s="212"/>
      <c r="F268" s="212"/>
      <c r="G268" s="212"/>
      <c r="H268" s="212"/>
      <c r="I268" s="212"/>
      <c r="J268" s="212"/>
      <c r="K268" s="212"/>
      <c r="L268" s="212"/>
      <c r="M268" s="212"/>
      <c r="N268" s="212"/>
      <c r="O268" s="212"/>
      <c r="P268" s="212"/>
      <c r="Q268" s="212"/>
      <c r="R268" s="212"/>
      <c r="S268" s="212"/>
      <c r="T268" s="212"/>
      <c r="U268" s="212"/>
      <c r="V268" s="212"/>
      <c r="W268" s="212"/>
      <c r="X268" s="212"/>
      <c r="Y268" s="212"/>
      <c r="Z268" s="212"/>
      <c r="AA268" s="212"/>
      <c r="AB268" s="207"/>
      <c r="AC268" s="207"/>
      <c r="AD268" s="207"/>
      <c r="AE268" s="207"/>
      <c r="AF268" s="207"/>
      <c r="AG268" s="207"/>
      <c r="AH268" s="207"/>
      <c r="AI268" s="207"/>
      <c r="AJ268" s="207"/>
      <c r="AK268" s="207"/>
      <c r="AL268" s="207"/>
      <c r="AM268" s="207"/>
      <c r="AN268" s="207"/>
      <c r="AO268" s="207"/>
      <c r="AT268" s="207"/>
      <c r="AV268" s="207"/>
    </row>
    <row r="269" spans="1:48">
      <c r="A269" s="213"/>
      <c r="B269" s="212"/>
      <c r="C269" s="212"/>
      <c r="D269" s="212"/>
      <c r="E269" s="212"/>
      <c r="F269" s="212"/>
      <c r="G269" s="212"/>
      <c r="H269" s="212"/>
      <c r="I269" s="212"/>
      <c r="J269" s="212"/>
      <c r="K269" s="212"/>
      <c r="L269" s="212"/>
      <c r="M269" s="212"/>
      <c r="N269" s="212"/>
      <c r="O269" s="212"/>
      <c r="P269" s="212"/>
      <c r="Q269" s="212"/>
      <c r="R269" s="212"/>
      <c r="S269" s="212"/>
      <c r="T269" s="212"/>
      <c r="U269" s="212"/>
      <c r="V269" s="212"/>
      <c r="W269" s="212"/>
      <c r="X269" s="212"/>
      <c r="Y269" s="212"/>
      <c r="Z269" s="212"/>
      <c r="AA269" s="212"/>
      <c r="AB269" s="207"/>
      <c r="AC269" s="207"/>
      <c r="AD269" s="207"/>
      <c r="AE269" s="207"/>
      <c r="AF269" s="207"/>
      <c r="AG269" s="207"/>
      <c r="AH269" s="207"/>
      <c r="AI269" s="207"/>
      <c r="AJ269" s="207"/>
      <c r="AK269" s="207"/>
      <c r="AL269" s="207"/>
      <c r="AM269" s="207"/>
      <c r="AN269" s="207"/>
      <c r="AO269" s="207"/>
      <c r="AT269" s="207"/>
      <c r="AV269" s="207"/>
    </row>
    <row r="270" spans="1:48">
      <c r="A270" s="213"/>
      <c r="B270" s="212"/>
      <c r="C270" s="212"/>
      <c r="D270" s="212"/>
      <c r="E270" s="212"/>
      <c r="F270" s="212"/>
      <c r="G270" s="212"/>
      <c r="H270" s="212"/>
      <c r="I270" s="212"/>
      <c r="J270" s="212"/>
      <c r="K270" s="212"/>
      <c r="L270" s="212"/>
      <c r="M270" s="212"/>
      <c r="N270" s="212"/>
      <c r="O270" s="212"/>
      <c r="P270" s="212"/>
      <c r="Q270" s="212"/>
      <c r="R270" s="212"/>
      <c r="S270" s="212"/>
      <c r="T270" s="212"/>
      <c r="U270" s="212"/>
      <c r="V270" s="212"/>
      <c r="W270" s="212"/>
      <c r="X270" s="212"/>
      <c r="Y270" s="212"/>
      <c r="Z270" s="212"/>
      <c r="AA270" s="212"/>
      <c r="AB270" s="207"/>
      <c r="AC270" s="207"/>
      <c r="AD270" s="207"/>
      <c r="AE270" s="207"/>
      <c r="AF270" s="207"/>
      <c r="AG270" s="207"/>
      <c r="AH270" s="207"/>
      <c r="AI270" s="207"/>
      <c r="AJ270" s="207"/>
      <c r="AK270" s="207"/>
      <c r="AL270" s="207"/>
      <c r="AM270" s="207"/>
      <c r="AN270" s="207"/>
      <c r="AO270" s="207"/>
      <c r="AT270" s="207"/>
      <c r="AV270" s="207"/>
    </row>
    <row r="271" spans="1:48">
      <c r="A271" s="213"/>
      <c r="B271" s="212"/>
      <c r="C271" s="212"/>
      <c r="D271" s="212"/>
      <c r="E271" s="212"/>
      <c r="F271" s="212"/>
      <c r="G271" s="212"/>
      <c r="H271" s="212"/>
      <c r="I271" s="212"/>
      <c r="J271" s="212"/>
      <c r="K271" s="212"/>
      <c r="L271" s="212"/>
      <c r="M271" s="212"/>
      <c r="N271" s="212"/>
      <c r="O271" s="212"/>
      <c r="P271" s="212"/>
      <c r="Q271" s="212"/>
      <c r="R271" s="212"/>
      <c r="S271" s="212"/>
      <c r="T271" s="212"/>
      <c r="U271" s="212"/>
      <c r="V271" s="212"/>
      <c r="W271" s="212"/>
      <c r="X271" s="212"/>
      <c r="Y271" s="212"/>
      <c r="Z271" s="212"/>
      <c r="AA271" s="212"/>
      <c r="AB271" s="207"/>
      <c r="AC271" s="207"/>
      <c r="AD271" s="207"/>
      <c r="AE271" s="207"/>
      <c r="AF271" s="207"/>
      <c r="AG271" s="207"/>
      <c r="AH271" s="207"/>
      <c r="AI271" s="207"/>
      <c r="AJ271" s="207"/>
      <c r="AK271" s="207"/>
      <c r="AL271" s="207"/>
      <c r="AM271" s="207"/>
      <c r="AN271" s="207"/>
      <c r="AO271" s="207"/>
      <c r="AT271" s="207"/>
      <c r="AV271" s="207"/>
    </row>
    <row r="272" spans="1:48">
      <c r="A272" s="213"/>
      <c r="B272" s="212"/>
      <c r="C272" s="212"/>
      <c r="D272" s="212"/>
      <c r="E272" s="212"/>
      <c r="F272" s="212"/>
      <c r="G272" s="212"/>
      <c r="H272" s="212"/>
      <c r="I272" s="212"/>
      <c r="J272" s="212"/>
      <c r="K272" s="212"/>
      <c r="L272" s="212"/>
      <c r="M272" s="212"/>
      <c r="N272" s="212"/>
      <c r="O272" s="212"/>
      <c r="P272" s="212"/>
      <c r="Q272" s="212"/>
      <c r="R272" s="212"/>
      <c r="S272" s="212"/>
      <c r="T272" s="212"/>
      <c r="U272" s="212"/>
      <c r="V272" s="212"/>
      <c r="W272" s="212"/>
      <c r="X272" s="212"/>
      <c r="Y272" s="212"/>
      <c r="Z272" s="212"/>
      <c r="AA272" s="212"/>
      <c r="AB272" s="207"/>
      <c r="AC272" s="207"/>
      <c r="AD272" s="207"/>
      <c r="AE272" s="207"/>
      <c r="AF272" s="207"/>
      <c r="AG272" s="207"/>
      <c r="AH272" s="207"/>
      <c r="AI272" s="207"/>
      <c r="AJ272" s="207"/>
      <c r="AK272" s="207"/>
      <c r="AL272" s="207"/>
      <c r="AM272" s="207"/>
      <c r="AN272" s="207"/>
      <c r="AO272" s="207"/>
      <c r="AT272" s="207"/>
      <c r="AV272" s="207"/>
    </row>
    <row r="273" spans="1:48">
      <c r="A273" s="213"/>
      <c r="B273" s="212"/>
      <c r="C273" s="212"/>
      <c r="D273" s="212"/>
      <c r="E273" s="212"/>
      <c r="F273" s="212"/>
      <c r="G273" s="212"/>
      <c r="H273" s="212"/>
      <c r="I273" s="212"/>
      <c r="J273" s="212"/>
      <c r="K273" s="212"/>
      <c r="L273" s="212"/>
      <c r="M273" s="212"/>
      <c r="N273" s="212"/>
      <c r="O273" s="212"/>
      <c r="P273" s="212"/>
      <c r="Q273" s="212"/>
      <c r="R273" s="212"/>
      <c r="S273" s="212"/>
      <c r="T273" s="212"/>
      <c r="U273" s="212"/>
      <c r="V273" s="212"/>
      <c r="W273" s="212"/>
      <c r="X273" s="212"/>
      <c r="Y273" s="212"/>
      <c r="Z273" s="212"/>
      <c r="AA273" s="212"/>
      <c r="AB273" s="207"/>
      <c r="AC273" s="207"/>
      <c r="AD273" s="207"/>
      <c r="AE273" s="207"/>
      <c r="AF273" s="207"/>
      <c r="AG273" s="207"/>
      <c r="AH273" s="207"/>
      <c r="AI273" s="207"/>
      <c r="AJ273" s="207"/>
      <c r="AK273" s="207"/>
      <c r="AL273" s="207"/>
      <c r="AM273" s="207"/>
      <c r="AN273" s="207"/>
      <c r="AO273" s="207"/>
      <c r="AT273" s="207"/>
      <c r="AV273" s="207"/>
    </row>
    <row r="274" spans="1:48">
      <c r="A274" s="213"/>
      <c r="B274" s="212"/>
      <c r="C274" s="212"/>
      <c r="D274" s="212"/>
      <c r="E274" s="212"/>
      <c r="F274" s="212"/>
      <c r="G274" s="212"/>
      <c r="H274" s="212"/>
      <c r="I274" s="212"/>
      <c r="J274" s="212"/>
      <c r="K274" s="212"/>
      <c r="L274" s="212"/>
      <c r="M274" s="212"/>
      <c r="N274" s="212"/>
      <c r="O274" s="212"/>
      <c r="P274" s="212"/>
      <c r="Q274" s="212"/>
      <c r="R274" s="212"/>
      <c r="S274" s="212"/>
      <c r="T274" s="212"/>
      <c r="U274" s="212"/>
      <c r="V274" s="212"/>
      <c r="W274" s="212"/>
      <c r="X274" s="212"/>
      <c r="Y274" s="212"/>
      <c r="Z274" s="212"/>
      <c r="AA274" s="212"/>
      <c r="AB274" s="207"/>
      <c r="AC274" s="207"/>
      <c r="AD274" s="207"/>
      <c r="AE274" s="207"/>
      <c r="AF274" s="207"/>
      <c r="AG274" s="207"/>
      <c r="AH274" s="207"/>
      <c r="AI274" s="207"/>
      <c r="AJ274" s="207"/>
      <c r="AK274" s="207"/>
      <c r="AL274" s="207"/>
      <c r="AM274" s="207"/>
      <c r="AN274" s="207"/>
      <c r="AO274" s="207"/>
      <c r="AT274" s="207"/>
      <c r="AV274" s="207"/>
    </row>
    <row r="275" spans="1:48">
      <c r="A275" s="213"/>
      <c r="B275" s="212"/>
      <c r="C275" s="212"/>
      <c r="D275" s="212"/>
      <c r="E275" s="212"/>
      <c r="F275" s="212"/>
      <c r="G275" s="212"/>
      <c r="H275" s="212"/>
      <c r="I275" s="212"/>
      <c r="J275" s="212"/>
      <c r="K275" s="212"/>
      <c r="L275" s="212"/>
      <c r="M275" s="212"/>
      <c r="N275" s="212"/>
      <c r="O275" s="212"/>
      <c r="P275" s="212"/>
      <c r="Q275" s="212"/>
      <c r="R275" s="212"/>
      <c r="S275" s="212"/>
      <c r="T275" s="212"/>
      <c r="U275" s="212"/>
      <c r="V275" s="212"/>
      <c r="W275" s="212"/>
      <c r="X275" s="212"/>
      <c r="Y275" s="212"/>
      <c r="Z275" s="212"/>
      <c r="AA275" s="212"/>
      <c r="AB275" s="207"/>
      <c r="AC275" s="207"/>
      <c r="AD275" s="207"/>
      <c r="AE275" s="207"/>
      <c r="AF275" s="207"/>
      <c r="AG275" s="207"/>
      <c r="AH275" s="207"/>
      <c r="AI275" s="207"/>
      <c r="AJ275" s="207"/>
      <c r="AK275" s="207"/>
      <c r="AL275" s="207"/>
      <c r="AM275" s="207"/>
      <c r="AN275" s="207"/>
      <c r="AO275" s="207"/>
      <c r="AT275" s="207"/>
      <c r="AV275" s="207"/>
    </row>
    <row r="276" spans="1:48">
      <c r="A276" s="213"/>
      <c r="B276" s="212"/>
      <c r="C276" s="212"/>
      <c r="D276" s="212"/>
      <c r="E276" s="212"/>
      <c r="F276" s="212"/>
      <c r="G276" s="212"/>
      <c r="H276" s="212"/>
      <c r="I276" s="212"/>
      <c r="J276" s="212"/>
      <c r="K276" s="212"/>
      <c r="L276" s="212"/>
      <c r="M276" s="212"/>
      <c r="N276" s="212"/>
      <c r="O276" s="212"/>
      <c r="P276" s="212"/>
      <c r="Q276" s="212"/>
      <c r="R276" s="212"/>
      <c r="S276" s="212"/>
      <c r="T276" s="212"/>
      <c r="U276" s="212"/>
      <c r="V276" s="212"/>
      <c r="W276" s="212"/>
      <c r="X276" s="212"/>
      <c r="Y276" s="212"/>
      <c r="Z276" s="212"/>
      <c r="AA276" s="212"/>
      <c r="AB276" s="207"/>
      <c r="AC276" s="207"/>
      <c r="AD276" s="207"/>
      <c r="AE276" s="207"/>
      <c r="AF276" s="207"/>
      <c r="AG276" s="207"/>
      <c r="AH276" s="207"/>
      <c r="AI276" s="207"/>
      <c r="AJ276" s="207"/>
      <c r="AK276" s="207"/>
      <c r="AL276" s="207"/>
      <c r="AM276" s="207"/>
      <c r="AN276" s="207"/>
      <c r="AO276" s="207"/>
      <c r="AT276" s="207"/>
      <c r="AV276" s="207"/>
    </row>
    <row r="277" spans="1:48">
      <c r="A277" s="213"/>
      <c r="B277" s="212"/>
      <c r="C277" s="212"/>
      <c r="D277" s="212"/>
      <c r="E277" s="212"/>
      <c r="F277" s="212"/>
      <c r="G277" s="212"/>
      <c r="H277" s="212"/>
      <c r="I277" s="212"/>
      <c r="J277" s="212"/>
      <c r="K277" s="212"/>
      <c r="L277" s="212"/>
      <c r="M277" s="212"/>
      <c r="N277" s="212"/>
      <c r="O277" s="212"/>
      <c r="P277" s="212"/>
      <c r="Q277" s="212"/>
      <c r="R277" s="212"/>
      <c r="S277" s="212"/>
      <c r="T277" s="212"/>
      <c r="U277" s="212"/>
      <c r="V277" s="212"/>
      <c r="W277" s="212"/>
      <c r="X277" s="212"/>
      <c r="Y277" s="212"/>
      <c r="Z277" s="212"/>
      <c r="AA277" s="212"/>
      <c r="AB277" s="207"/>
      <c r="AC277" s="207"/>
      <c r="AD277" s="207"/>
      <c r="AE277" s="207"/>
      <c r="AF277" s="207"/>
      <c r="AG277" s="207"/>
      <c r="AH277" s="207"/>
      <c r="AI277" s="207"/>
      <c r="AJ277" s="207"/>
      <c r="AK277" s="207"/>
      <c r="AL277" s="207"/>
      <c r="AM277" s="207"/>
      <c r="AN277" s="207"/>
      <c r="AO277" s="207"/>
      <c r="AT277" s="207"/>
      <c r="AV277" s="207"/>
    </row>
    <row r="278" spans="1:48">
      <c r="A278" s="213"/>
      <c r="B278" s="212"/>
      <c r="C278" s="212"/>
      <c r="D278" s="212"/>
      <c r="E278" s="212"/>
      <c r="F278" s="212"/>
      <c r="G278" s="212"/>
      <c r="H278" s="212"/>
      <c r="I278" s="212"/>
      <c r="J278" s="212"/>
      <c r="K278" s="212"/>
      <c r="L278" s="212"/>
      <c r="M278" s="212"/>
      <c r="N278" s="212"/>
      <c r="O278" s="212"/>
      <c r="P278" s="212"/>
      <c r="Q278" s="212"/>
      <c r="R278" s="212"/>
      <c r="S278" s="212"/>
      <c r="T278" s="212"/>
      <c r="U278" s="212"/>
      <c r="V278" s="212"/>
      <c r="W278" s="212"/>
      <c r="X278" s="212"/>
      <c r="Y278" s="212"/>
      <c r="Z278" s="212"/>
      <c r="AA278" s="212"/>
      <c r="AB278" s="207"/>
      <c r="AC278" s="207"/>
      <c r="AD278" s="207"/>
      <c r="AE278" s="207"/>
      <c r="AF278" s="207"/>
      <c r="AG278" s="207"/>
      <c r="AH278" s="207"/>
      <c r="AI278" s="207"/>
      <c r="AJ278" s="207"/>
      <c r="AK278" s="207"/>
      <c r="AL278" s="207"/>
      <c r="AM278" s="207"/>
      <c r="AN278" s="207"/>
      <c r="AO278" s="207"/>
      <c r="AT278" s="207"/>
      <c r="AV278" s="207"/>
    </row>
    <row r="279" spans="1:48">
      <c r="A279" s="213"/>
      <c r="B279" s="212"/>
      <c r="C279" s="212"/>
      <c r="D279" s="212"/>
      <c r="E279" s="212"/>
      <c r="F279" s="212"/>
      <c r="G279" s="212"/>
      <c r="H279" s="212"/>
      <c r="I279" s="212"/>
      <c r="J279" s="212"/>
      <c r="K279" s="212"/>
      <c r="L279" s="212"/>
      <c r="M279" s="212"/>
      <c r="N279" s="212"/>
      <c r="O279" s="212"/>
      <c r="P279" s="212"/>
      <c r="Q279" s="212"/>
      <c r="R279" s="212"/>
      <c r="S279" s="212"/>
      <c r="T279" s="212"/>
      <c r="U279" s="212"/>
      <c r="V279" s="212"/>
      <c r="W279" s="212"/>
      <c r="X279" s="212"/>
      <c r="Y279" s="212"/>
      <c r="Z279" s="212"/>
      <c r="AA279" s="212"/>
      <c r="AB279" s="207"/>
      <c r="AC279" s="207"/>
      <c r="AD279" s="207"/>
      <c r="AE279" s="207"/>
      <c r="AF279" s="207"/>
      <c r="AG279" s="207"/>
      <c r="AH279" s="207"/>
      <c r="AI279" s="207"/>
      <c r="AJ279" s="207"/>
      <c r="AK279" s="207"/>
      <c r="AL279" s="207"/>
      <c r="AM279" s="207"/>
      <c r="AN279" s="207"/>
      <c r="AO279" s="207"/>
      <c r="AT279" s="207"/>
      <c r="AV279" s="207"/>
    </row>
    <row r="280" spans="1:48">
      <c r="A280" s="213"/>
      <c r="B280" s="212"/>
      <c r="C280" s="212"/>
      <c r="D280" s="212"/>
      <c r="E280" s="212"/>
      <c r="F280" s="212"/>
      <c r="G280" s="212"/>
      <c r="H280" s="212"/>
      <c r="I280" s="212"/>
      <c r="J280" s="212"/>
      <c r="K280" s="212"/>
      <c r="L280" s="212"/>
      <c r="M280" s="212"/>
      <c r="N280" s="212"/>
      <c r="O280" s="212"/>
      <c r="P280" s="212"/>
      <c r="Q280" s="212"/>
      <c r="R280" s="212"/>
      <c r="S280" s="212"/>
      <c r="T280" s="212"/>
      <c r="U280" s="212"/>
      <c r="V280" s="212"/>
      <c r="W280" s="212"/>
      <c r="X280" s="212"/>
      <c r="Y280" s="212"/>
      <c r="Z280" s="212"/>
      <c r="AA280" s="212"/>
      <c r="AB280" s="207"/>
      <c r="AC280" s="207"/>
      <c r="AD280" s="207"/>
      <c r="AE280" s="207"/>
      <c r="AF280" s="207"/>
      <c r="AG280" s="207"/>
      <c r="AH280" s="207"/>
      <c r="AI280" s="207"/>
      <c r="AJ280" s="207"/>
      <c r="AK280" s="207"/>
      <c r="AL280" s="207"/>
      <c r="AM280" s="207"/>
      <c r="AN280" s="207"/>
      <c r="AO280" s="207"/>
      <c r="AT280" s="207"/>
      <c r="AV280" s="207"/>
    </row>
    <row r="281" spans="1:48">
      <c r="A281" s="213"/>
      <c r="B281" s="212"/>
      <c r="C281" s="212"/>
      <c r="D281" s="212"/>
      <c r="E281" s="212"/>
      <c r="F281" s="212"/>
      <c r="G281" s="212"/>
      <c r="H281" s="212"/>
      <c r="I281" s="212"/>
      <c r="J281" s="212"/>
      <c r="K281" s="212"/>
      <c r="L281" s="212"/>
      <c r="M281" s="212"/>
      <c r="N281" s="212"/>
      <c r="O281" s="212"/>
      <c r="P281" s="212"/>
      <c r="Q281" s="212"/>
      <c r="R281" s="212"/>
      <c r="S281" s="212"/>
      <c r="T281" s="212"/>
      <c r="U281" s="212"/>
      <c r="V281" s="212"/>
      <c r="W281" s="212"/>
      <c r="X281" s="212"/>
      <c r="Y281" s="212"/>
      <c r="Z281" s="212"/>
      <c r="AA281" s="212"/>
      <c r="AB281" s="207"/>
      <c r="AC281" s="207"/>
      <c r="AD281" s="207"/>
      <c r="AE281" s="207"/>
      <c r="AF281" s="207"/>
      <c r="AG281" s="207"/>
      <c r="AH281" s="207"/>
      <c r="AI281" s="207"/>
      <c r="AJ281" s="207"/>
      <c r="AK281" s="207"/>
      <c r="AL281" s="207"/>
      <c r="AM281" s="207"/>
      <c r="AN281" s="207"/>
      <c r="AO281" s="207"/>
      <c r="AT281" s="207"/>
      <c r="AV281" s="207"/>
    </row>
    <row r="282" spans="1:48">
      <c r="A282" s="213"/>
      <c r="B282" s="212"/>
      <c r="C282" s="212"/>
      <c r="D282" s="212"/>
      <c r="E282" s="212"/>
      <c r="F282" s="212"/>
      <c r="G282" s="212"/>
      <c r="H282" s="212"/>
      <c r="I282" s="212"/>
      <c r="J282" s="212"/>
      <c r="K282" s="212"/>
      <c r="L282" s="212"/>
      <c r="M282" s="212"/>
      <c r="N282" s="212"/>
      <c r="O282" s="212"/>
      <c r="P282" s="212"/>
      <c r="Q282" s="212"/>
      <c r="R282" s="212"/>
      <c r="S282" s="212"/>
      <c r="T282" s="212"/>
      <c r="U282" s="212"/>
      <c r="V282" s="212"/>
      <c r="W282" s="212"/>
      <c r="X282" s="212"/>
      <c r="Y282" s="212"/>
      <c r="Z282" s="212"/>
      <c r="AA282" s="212"/>
      <c r="AB282" s="207"/>
      <c r="AC282" s="207"/>
      <c r="AD282" s="207"/>
      <c r="AE282" s="207"/>
      <c r="AF282" s="207"/>
      <c r="AG282" s="207"/>
      <c r="AH282" s="207"/>
      <c r="AI282" s="207"/>
      <c r="AJ282" s="207"/>
      <c r="AK282" s="207"/>
      <c r="AL282" s="207"/>
      <c r="AM282" s="207"/>
      <c r="AN282" s="207"/>
      <c r="AO282" s="207"/>
      <c r="AT282" s="207"/>
      <c r="AV282" s="207"/>
    </row>
    <row r="283" spans="1:48">
      <c r="A283" s="213"/>
      <c r="B283" s="212"/>
      <c r="C283" s="212"/>
      <c r="D283" s="212"/>
      <c r="E283" s="212"/>
      <c r="F283" s="212"/>
      <c r="G283" s="212"/>
      <c r="H283" s="212"/>
      <c r="I283" s="212"/>
      <c r="J283" s="212"/>
      <c r="K283" s="212"/>
      <c r="L283" s="212"/>
      <c r="M283" s="212"/>
      <c r="N283" s="212"/>
      <c r="O283" s="212"/>
      <c r="P283" s="212"/>
      <c r="Q283" s="212"/>
      <c r="R283" s="212"/>
      <c r="S283" s="212"/>
      <c r="T283" s="212"/>
      <c r="U283" s="212"/>
      <c r="V283" s="212"/>
      <c r="W283" s="212"/>
      <c r="X283" s="212"/>
      <c r="Y283" s="212"/>
      <c r="Z283" s="212"/>
      <c r="AA283" s="212"/>
      <c r="AB283" s="207"/>
      <c r="AC283" s="207"/>
      <c r="AD283" s="207"/>
      <c r="AE283" s="207"/>
      <c r="AF283" s="207"/>
      <c r="AG283" s="207"/>
      <c r="AH283" s="207"/>
      <c r="AI283" s="207"/>
      <c r="AJ283" s="207"/>
      <c r="AK283" s="207"/>
      <c r="AL283" s="207"/>
      <c r="AM283" s="207"/>
      <c r="AN283" s="207"/>
      <c r="AO283" s="207"/>
      <c r="AT283" s="207"/>
      <c r="AV283" s="207"/>
    </row>
    <row r="284" spans="1:48">
      <c r="A284" s="213"/>
      <c r="B284" s="212"/>
      <c r="C284" s="212"/>
      <c r="D284" s="212"/>
      <c r="E284" s="212"/>
      <c r="F284" s="212"/>
      <c r="G284" s="212"/>
      <c r="H284" s="212"/>
      <c r="I284" s="212"/>
      <c r="J284" s="212"/>
      <c r="K284" s="212"/>
      <c r="L284" s="212"/>
      <c r="M284" s="212"/>
      <c r="N284" s="212"/>
      <c r="O284" s="212"/>
      <c r="P284" s="212"/>
      <c r="Q284" s="212"/>
      <c r="R284" s="212"/>
      <c r="S284" s="212"/>
      <c r="T284" s="212"/>
      <c r="U284" s="212"/>
      <c r="V284" s="212"/>
      <c r="W284" s="212"/>
      <c r="X284" s="212"/>
      <c r="Y284" s="212"/>
      <c r="Z284" s="212"/>
      <c r="AA284" s="212"/>
      <c r="AB284" s="207"/>
      <c r="AC284" s="207"/>
      <c r="AD284" s="207"/>
      <c r="AE284" s="207"/>
      <c r="AF284" s="207"/>
      <c r="AG284" s="207"/>
      <c r="AH284" s="207"/>
      <c r="AI284" s="207"/>
      <c r="AJ284" s="207"/>
      <c r="AK284" s="207"/>
      <c r="AL284" s="207"/>
      <c r="AM284" s="207"/>
      <c r="AN284" s="207"/>
      <c r="AO284" s="207"/>
      <c r="AT284" s="207"/>
      <c r="AV284" s="207"/>
    </row>
    <row r="285" spans="1:48">
      <c r="A285" s="213"/>
      <c r="B285" s="212"/>
      <c r="C285" s="212"/>
      <c r="D285" s="212"/>
      <c r="E285" s="212"/>
      <c r="F285" s="212"/>
      <c r="G285" s="212"/>
      <c r="H285" s="212"/>
      <c r="I285" s="212"/>
      <c r="J285" s="212"/>
      <c r="K285" s="212"/>
      <c r="L285" s="212"/>
      <c r="M285" s="212"/>
      <c r="N285" s="212"/>
      <c r="O285" s="212"/>
      <c r="P285" s="212"/>
      <c r="Q285" s="212"/>
      <c r="R285" s="212"/>
      <c r="S285" s="212"/>
      <c r="T285" s="212"/>
      <c r="U285" s="212"/>
      <c r="V285" s="212"/>
      <c r="W285" s="212"/>
      <c r="X285" s="212"/>
      <c r="Y285" s="212"/>
      <c r="Z285" s="212"/>
      <c r="AA285" s="212"/>
      <c r="AB285" s="207"/>
      <c r="AC285" s="207"/>
      <c r="AD285" s="207"/>
      <c r="AE285" s="207"/>
      <c r="AF285" s="207"/>
      <c r="AG285" s="207"/>
      <c r="AH285" s="207"/>
      <c r="AI285" s="207"/>
      <c r="AJ285" s="207"/>
      <c r="AK285" s="207"/>
      <c r="AL285" s="207"/>
      <c r="AM285" s="207"/>
      <c r="AN285" s="207"/>
      <c r="AO285" s="207"/>
      <c r="AT285" s="207"/>
      <c r="AV285" s="207"/>
    </row>
    <row r="286" spans="1:48">
      <c r="A286" s="213"/>
      <c r="B286" s="212"/>
      <c r="C286" s="212"/>
      <c r="D286" s="212"/>
      <c r="E286" s="212"/>
      <c r="F286" s="212"/>
      <c r="G286" s="212"/>
      <c r="H286" s="212"/>
      <c r="I286" s="212"/>
      <c r="J286" s="212"/>
      <c r="K286" s="212"/>
      <c r="L286" s="212"/>
      <c r="M286" s="212"/>
      <c r="N286" s="212"/>
      <c r="O286" s="212"/>
      <c r="P286" s="212"/>
      <c r="Q286" s="212"/>
      <c r="R286" s="212"/>
      <c r="S286" s="212"/>
      <c r="T286" s="212"/>
      <c r="U286" s="212"/>
      <c r="V286" s="212"/>
      <c r="W286" s="212"/>
      <c r="X286" s="212"/>
      <c r="Y286" s="212"/>
      <c r="Z286" s="212"/>
      <c r="AA286" s="212"/>
      <c r="AB286" s="207"/>
      <c r="AC286" s="207"/>
      <c r="AD286" s="207"/>
      <c r="AE286" s="207"/>
      <c r="AF286" s="207"/>
      <c r="AG286" s="207"/>
      <c r="AH286" s="207"/>
      <c r="AI286" s="207"/>
      <c r="AJ286" s="207"/>
      <c r="AK286" s="207"/>
      <c r="AL286" s="207"/>
      <c r="AM286" s="207"/>
      <c r="AN286" s="207"/>
      <c r="AO286" s="207"/>
      <c r="AT286" s="207"/>
      <c r="AV286" s="207"/>
    </row>
    <row r="287" spans="1:48">
      <c r="A287" s="213"/>
      <c r="B287" s="212"/>
      <c r="C287" s="212"/>
      <c r="D287" s="212"/>
      <c r="E287" s="212"/>
      <c r="F287" s="212"/>
      <c r="G287" s="212"/>
      <c r="H287" s="212"/>
      <c r="I287" s="212"/>
      <c r="J287" s="212"/>
      <c r="K287" s="212"/>
      <c r="L287" s="212"/>
      <c r="M287" s="212"/>
      <c r="N287" s="212"/>
      <c r="O287" s="212"/>
      <c r="P287" s="212"/>
      <c r="Q287" s="212"/>
      <c r="R287" s="212"/>
      <c r="S287" s="212"/>
      <c r="T287" s="212"/>
      <c r="U287" s="212"/>
      <c r="V287" s="212"/>
      <c r="W287" s="212"/>
      <c r="X287" s="212"/>
      <c r="Y287" s="212"/>
      <c r="Z287" s="212"/>
      <c r="AA287" s="212"/>
      <c r="AB287" s="207"/>
      <c r="AC287" s="207"/>
      <c r="AD287" s="207"/>
      <c r="AE287" s="207"/>
      <c r="AF287" s="207"/>
      <c r="AG287" s="207"/>
      <c r="AH287" s="207"/>
      <c r="AI287" s="207"/>
      <c r="AJ287" s="207"/>
      <c r="AK287" s="207"/>
      <c r="AL287" s="207"/>
      <c r="AM287" s="207"/>
      <c r="AN287" s="207"/>
      <c r="AO287" s="207"/>
      <c r="AT287" s="207"/>
      <c r="AV287" s="207"/>
    </row>
    <row r="288" spans="1:48">
      <c r="A288" s="213"/>
      <c r="B288" s="212"/>
      <c r="C288" s="212"/>
      <c r="D288" s="212"/>
      <c r="E288" s="212"/>
      <c r="F288" s="212"/>
      <c r="G288" s="212"/>
      <c r="H288" s="212"/>
      <c r="I288" s="212"/>
      <c r="J288" s="212"/>
      <c r="K288" s="212"/>
      <c r="L288" s="212"/>
      <c r="M288" s="212"/>
      <c r="N288" s="212"/>
      <c r="O288" s="212"/>
      <c r="P288" s="212"/>
      <c r="Q288" s="212"/>
      <c r="R288" s="212"/>
      <c r="S288" s="212"/>
      <c r="T288" s="212"/>
      <c r="U288" s="212"/>
      <c r="V288" s="212"/>
      <c r="W288" s="212"/>
      <c r="X288" s="212"/>
      <c r="Y288" s="212"/>
      <c r="Z288" s="212"/>
      <c r="AA288" s="212"/>
      <c r="AB288" s="207"/>
      <c r="AC288" s="207"/>
      <c r="AD288" s="207"/>
      <c r="AE288" s="207"/>
      <c r="AF288" s="207"/>
      <c r="AG288" s="207"/>
      <c r="AH288" s="207"/>
      <c r="AI288" s="207"/>
      <c r="AJ288" s="207"/>
      <c r="AK288" s="207"/>
      <c r="AL288" s="207"/>
      <c r="AM288" s="207"/>
      <c r="AN288" s="207"/>
      <c r="AO288" s="207"/>
      <c r="AT288" s="207"/>
      <c r="AV288" s="207"/>
    </row>
    <row r="289" spans="1:48">
      <c r="A289" s="213"/>
      <c r="B289" s="212"/>
      <c r="C289" s="212"/>
      <c r="D289" s="212"/>
      <c r="E289" s="212"/>
      <c r="F289" s="212"/>
      <c r="G289" s="212"/>
      <c r="H289" s="212"/>
      <c r="I289" s="212"/>
      <c r="J289" s="212"/>
      <c r="K289" s="212"/>
      <c r="L289" s="212"/>
      <c r="M289" s="212"/>
      <c r="N289" s="212"/>
      <c r="O289" s="212"/>
      <c r="P289" s="212"/>
      <c r="Q289" s="212"/>
      <c r="R289" s="212"/>
      <c r="S289" s="212"/>
      <c r="T289" s="212"/>
      <c r="U289" s="212"/>
      <c r="V289" s="212"/>
      <c r="W289" s="212"/>
      <c r="X289" s="212"/>
      <c r="Y289" s="212"/>
      <c r="Z289" s="212"/>
      <c r="AA289" s="212"/>
      <c r="AB289" s="207"/>
      <c r="AC289" s="207"/>
      <c r="AD289" s="207"/>
      <c r="AE289" s="207"/>
      <c r="AF289" s="207"/>
      <c r="AG289" s="207"/>
      <c r="AH289" s="207"/>
      <c r="AI289" s="207"/>
      <c r="AJ289" s="207"/>
      <c r="AK289" s="207"/>
      <c r="AL289" s="207"/>
      <c r="AM289" s="207"/>
      <c r="AN289" s="207"/>
      <c r="AO289" s="207"/>
      <c r="AT289" s="207"/>
      <c r="AV289" s="207"/>
    </row>
    <row r="290" spans="1:48">
      <c r="A290" s="213"/>
      <c r="B290" s="212"/>
      <c r="C290" s="212"/>
      <c r="D290" s="212"/>
      <c r="E290" s="212"/>
      <c r="F290" s="212"/>
      <c r="G290" s="212"/>
      <c r="H290" s="212"/>
      <c r="I290" s="212"/>
      <c r="J290" s="212"/>
      <c r="K290" s="212"/>
      <c r="L290" s="212"/>
      <c r="M290" s="212"/>
      <c r="N290" s="212"/>
      <c r="O290" s="212"/>
      <c r="P290" s="212"/>
      <c r="Q290" s="212"/>
      <c r="R290" s="212"/>
      <c r="S290" s="212"/>
      <c r="T290" s="212"/>
      <c r="U290" s="212"/>
      <c r="V290" s="212"/>
      <c r="W290" s="212"/>
      <c r="X290" s="212"/>
      <c r="Y290" s="212"/>
      <c r="Z290" s="212"/>
      <c r="AA290" s="212"/>
      <c r="AB290" s="207"/>
      <c r="AC290" s="207"/>
      <c r="AD290" s="207"/>
      <c r="AE290" s="207"/>
      <c r="AF290" s="207"/>
      <c r="AG290" s="207"/>
      <c r="AH290" s="207"/>
      <c r="AI290" s="207"/>
      <c r="AJ290" s="207"/>
      <c r="AK290" s="207"/>
      <c r="AL290" s="207"/>
      <c r="AM290" s="207"/>
      <c r="AN290" s="207"/>
      <c r="AO290" s="207"/>
      <c r="AT290" s="207"/>
      <c r="AV290" s="207"/>
    </row>
    <row r="291" spans="1:48">
      <c r="A291" s="213"/>
      <c r="B291" s="212"/>
      <c r="C291" s="212"/>
      <c r="D291" s="212"/>
      <c r="E291" s="212"/>
      <c r="F291" s="212"/>
      <c r="G291" s="212"/>
      <c r="H291" s="212"/>
      <c r="I291" s="212"/>
      <c r="J291" s="212"/>
      <c r="K291" s="212"/>
      <c r="L291" s="212"/>
      <c r="M291" s="212"/>
      <c r="N291" s="212"/>
      <c r="O291" s="212"/>
      <c r="P291" s="212"/>
      <c r="Q291" s="212"/>
      <c r="R291" s="212"/>
      <c r="S291" s="212"/>
      <c r="T291" s="212"/>
      <c r="U291" s="212"/>
      <c r="V291" s="212"/>
      <c r="W291" s="212"/>
      <c r="X291" s="212"/>
      <c r="Y291" s="212"/>
      <c r="Z291" s="212"/>
      <c r="AA291" s="212"/>
      <c r="AB291" s="207"/>
      <c r="AC291" s="207"/>
      <c r="AD291" s="207"/>
      <c r="AE291" s="207"/>
      <c r="AF291" s="207"/>
      <c r="AG291" s="207"/>
      <c r="AH291" s="207"/>
      <c r="AI291" s="207"/>
      <c r="AJ291" s="207"/>
      <c r="AK291" s="207"/>
      <c r="AL291" s="207"/>
      <c r="AM291" s="207"/>
      <c r="AN291" s="207"/>
      <c r="AO291" s="207"/>
      <c r="AT291" s="207"/>
      <c r="AV291" s="207"/>
    </row>
    <row r="292" spans="1:48">
      <c r="A292" s="213"/>
      <c r="B292" s="212"/>
      <c r="C292" s="212"/>
      <c r="D292" s="212"/>
      <c r="E292" s="212"/>
      <c r="F292" s="212"/>
      <c r="G292" s="212"/>
      <c r="H292" s="212"/>
      <c r="I292" s="212"/>
      <c r="J292" s="212"/>
      <c r="K292" s="212"/>
      <c r="L292" s="212"/>
      <c r="M292" s="212"/>
      <c r="N292" s="212"/>
      <c r="O292" s="212"/>
      <c r="P292" s="212"/>
      <c r="Q292" s="212"/>
      <c r="R292" s="212"/>
      <c r="S292" s="212"/>
      <c r="T292" s="212"/>
      <c r="U292" s="212"/>
      <c r="V292" s="212"/>
      <c r="W292" s="212"/>
      <c r="X292" s="212"/>
      <c r="Y292" s="212"/>
      <c r="Z292" s="212"/>
      <c r="AA292" s="212"/>
      <c r="AB292" s="207"/>
      <c r="AC292" s="207"/>
      <c r="AD292" s="207"/>
      <c r="AE292" s="207"/>
      <c r="AF292" s="207"/>
      <c r="AG292" s="207"/>
      <c r="AH292" s="207"/>
      <c r="AI292" s="207"/>
      <c r="AJ292" s="207"/>
      <c r="AK292" s="207"/>
      <c r="AL292" s="207"/>
      <c r="AM292" s="207"/>
      <c r="AN292" s="207"/>
      <c r="AO292" s="207"/>
      <c r="AT292" s="207"/>
      <c r="AV292" s="207"/>
    </row>
    <row r="293" spans="1:48">
      <c r="A293" s="213"/>
      <c r="B293" s="212"/>
      <c r="C293" s="212"/>
      <c r="D293" s="212"/>
      <c r="E293" s="212"/>
      <c r="F293" s="212"/>
      <c r="G293" s="212"/>
      <c r="H293" s="212"/>
      <c r="I293" s="212"/>
      <c r="J293" s="212"/>
      <c r="K293" s="212"/>
      <c r="L293" s="212"/>
      <c r="M293" s="212"/>
      <c r="N293" s="212"/>
      <c r="O293" s="212"/>
      <c r="P293" s="212"/>
      <c r="Q293" s="212"/>
      <c r="R293" s="212"/>
      <c r="S293" s="212"/>
      <c r="T293" s="212"/>
      <c r="U293" s="212"/>
      <c r="V293" s="212"/>
      <c r="W293" s="212"/>
      <c r="X293" s="212"/>
      <c r="Y293" s="212"/>
      <c r="Z293" s="212"/>
      <c r="AA293" s="212"/>
      <c r="AB293" s="207"/>
      <c r="AC293" s="207"/>
      <c r="AD293" s="207"/>
      <c r="AE293" s="207"/>
      <c r="AF293" s="207"/>
      <c r="AG293" s="207"/>
      <c r="AH293" s="207"/>
      <c r="AI293" s="207"/>
      <c r="AJ293" s="207"/>
      <c r="AK293" s="207"/>
      <c r="AL293" s="207"/>
      <c r="AM293" s="207"/>
      <c r="AN293" s="207"/>
      <c r="AO293" s="207"/>
      <c r="AT293" s="207"/>
      <c r="AV293" s="207"/>
    </row>
    <row r="294" spans="1:48">
      <c r="A294" s="213"/>
      <c r="B294" s="212"/>
      <c r="C294" s="212"/>
      <c r="D294" s="212"/>
      <c r="E294" s="212"/>
      <c r="F294" s="212"/>
      <c r="G294" s="212"/>
      <c r="H294" s="212"/>
      <c r="I294" s="212"/>
      <c r="J294" s="212"/>
      <c r="K294" s="212"/>
      <c r="L294" s="212"/>
      <c r="M294" s="212"/>
      <c r="N294" s="212"/>
      <c r="O294" s="212"/>
      <c r="P294" s="212"/>
      <c r="Q294" s="212"/>
      <c r="R294" s="212"/>
      <c r="S294" s="212"/>
      <c r="T294" s="212"/>
      <c r="U294" s="212"/>
      <c r="V294" s="212"/>
      <c r="W294" s="212"/>
      <c r="X294" s="212"/>
      <c r="Y294" s="212"/>
      <c r="Z294" s="212"/>
      <c r="AA294" s="212"/>
      <c r="AB294" s="207"/>
      <c r="AC294" s="207"/>
      <c r="AD294" s="207"/>
      <c r="AE294" s="207"/>
      <c r="AF294" s="207"/>
      <c r="AG294" s="207"/>
      <c r="AH294" s="207"/>
      <c r="AI294" s="207"/>
      <c r="AJ294" s="207"/>
      <c r="AK294" s="207"/>
      <c r="AL294" s="207"/>
      <c r="AM294" s="207"/>
      <c r="AN294" s="207"/>
      <c r="AO294" s="207"/>
      <c r="AT294" s="207"/>
      <c r="AV294" s="207"/>
    </row>
    <row r="295" spans="1:48">
      <c r="A295" s="213"/>
      <c r="B295" s="212"/>
      <c r="C295" s="212"/>
      <c r="D295" s="212"/>
      <c r="E295" s="212"/>
      <c r="F295" s="212"/>
      <c r="G295" s="212"/>
      <c r="H295" s="212"/>
      <c r="I295" s="212"/>
      <c r="J295" s="212"/>
      <c r="K295" s="212"/>
      <c r="L295" s="212"/>
      <c r="M295" s="212"/>
      <c r="N295" s="212"/>
      <c r="O295" s="212"/>
      <c r="P295" s="212"/>
      <c r="Q295" s="212"/>
      <c r="R295" s="212"/>
      <c r="S295" s="212"/>
      <c r="T295" s="212"/>
      <c r="U295" s="212"/>
      <c r="V295" s="212"/>
      <c r="W295" s="212"/>
      <c r="X295" s="212"/>
      <c r="Y295" s="212"/>
      <c r="Z295" s="212"/>
      <c r="AA295" s="212"/>
      <c r="AB295" s="207"/>
      <c r="AC295" s="207"/>
      <c r="AD295" s="207"/>
      <c r="AE295" s="207"/>
      <c r="AF295" s="207"/>
      <c r="AG295" s="207"/>
      <c r="AH295" s="207"/>
      <c r="AI295" s="207"/>
      <c r="AJ295" s="207"/>
      <c r="AK295" s="207"/>
      <c r="AL295" s="207"/>
      <c r="AM295" s="207"/>
      <c r="AN295" s="207"/>
      <c r="AO295" s="207"/>
      <c r="AT295" s="207"/>
      <c r="AV295" s="207"/>
    </row>
    <row r="296" spans="1:48">
      <c r="A296" s="207"/>
      <c r="B296" s="207"/>
      <c r="C296" s="207"/>
      <c r="D296" s="207"/>
      <c r="E296" s="207"/>
      <c r="F296" s="207"/>
      <c r="G296" s="207"/>
      <c r="H296" s="207"/>
      <c r="I296" s="207"/>
      <c r="J296" s="207"/>
      <c r="K296" s="207"/>
      <c r="L296" s="207"/>
      <c r="M296" s="207"/>
      <c r="N296" s="207"/>
      <c r="O296" s="207"/>
      <c r="P296" s="207"/>
      <c r="Q296" s="207"/>
      <c r="R296" s="207"/>
      <c r="S296" s="207"/>
      <c r="T296" s="207"/>
      <c r="U296" s="207"/>
      <c r="V296" s="207"/>
      <c r="Y296" s="207"/>
      <c r="Z296" s="207"/>
      <c r="AA296" s="207"/>
      <c r="AB296" s="207"/>
      <c r="AC296" s="207"/>
      <c r="AD296" s="207"/>
      <c r="AE296" s="207"/>
      <c r="AF296" s="207"/>
      <c r="AG296" s="207"/>
      <c r="AH296" s="207"/>
      <c r="AI296" s="207"/>
      <c r="AJ296" s="207"/>
      <c r="AK296" s="207"/>
      <c r="AL296" s="207"/>
      <c r="AM296" s="207"/>
      <c r="AN296" s="207"/>
      <c r="AO296" s="207"/>
      <c r="AT296" s="207"/>
      <c r="AV296" s="207"/>
    </row>
    <row r="297" spans="1:48">
      <c r="A297" s="207"/>
      <c r="B297" s="207"/>
      <c r="C297" s="207"/>
      <c r="D297" s="207"/>
      <c r="E297" s="207"/>
      <c r="F297" s="207"/>
      <c r="G297" s="207"/>
      <c r="H297" s="207"/>
      <c r="I297" s="207"/>
      <c r="J297" s="207"/>
      <c r="K297" s="207"/>
      <c r="L297" s="207"/>
      <c r="M297" s="207"/>
      <c r="N297" s="207"/>
      <c r="O297" s="207"/>
      <c r="P297" s="207"/>
      <c r="Q297" s="207"/>
      <c r="R297" s="207"/>
      <c r="S297" s="207"/>
      <c r="T297" s="207"/>
      <c r="U297" s="207"/>
      <c r="V297" s="207"/>
      <c r="Y297" s="207"/>
      <c r="Z297" s="207"/>
      <c r="AA297" s="207"/>
      <c r="AB297" s="207"/>
      <c r="AC297" s="207"/>
      <c r="AD297" s="207"/>
      <c r="AE297" s="207"/>
      <c r="AF297" s="207"/>
      <c r="AG297" s="207"/>
      <c r="AH297" s="207"/>
      <c r="AI297" s="207"/>
      <c r="AJ297" s="207"/>
      <c r="AK297" s="207"/>
      <c r="AL297" s="207"/>
      <c r="AM297" s="207"/>
      <c r="AN297" s="207"/>
      <c r="AO297" s="207"/>
      <c r="AT297" s="207"/>
      <c r="AV297" s="207"/>
    </row>
    <row r="298" spans="1:48">
      <c r="A298" s="213"/>
      <c r="B298" s="212"/>
      <c r="C298" s="212"/>
      <c r="D298" s="212"/>
      <c r="E298" s="212"/>
      <c r="F298" s="212"/>
      <c r="G298" s="212"/>
      <c r="H298" s="212"/>
      <c r="I298" s="212"/>
      <c r="J298" s="212"/>
      <c r="K298" s="212"/>
      <c r="L298" s="212"/>
      <c r="M298" s="212"/>
      <c r="N298" s="212"/>
      <c r="O298" s="212"/>
      <c r="P298" s="212"/>
      <c r="Q298" s="212"/>
      <c r="R298" s="212"/>
      <c r="S298" s="212"/>
      <c r="T298" s="212"/>
      <c r="U298" s="212"/>
      <c r="V298" s="212"/>
      <c r="W298" s="212"/>
      <c r="X298" s="212"/>
      <c r="Y298" s="212"/>
      <c r="Z298" s="212"/>
      <c r="AA298" s="212"/>
      <c r="AB298" s="207"/>
      <c r="AC298" s="207"/>
      <c r="AD298" s="207"/>
      <c r="AE298" s="207"/>
      <c r="AF298" s="207"/>
      <c r="AG298" s="207"/>
      <c r="AH298" s="207"/>
      <c r="AI298" s="207"/>
      <c r="AJ298" s="207"/>
      <c r="AK298" s="207"/>
      <c r="AL298" s="207"/>
      <c r="AM298" s="207"/>
      <c r="AN298" s="207"/>
      <c r="AO298" s="207"/>
      <c r="AT298" s="207"/>
      <c r="AV298" s="207"/>
    </row>
    <row r="299" spans="1:48">
      <c r="A299" s="213"/>
      <c r="B299" s="212"/>
      <c r="C299" s="212"/>
      <c r="D299" s="212"/>
      <c r="E299" s="212"/>
      <c r="F299" s="212"/>
      <c r="G299" s="212"/>
      <c r="H299" s="212"/>
      <c r="I299" s="212"/>
      <c r="J299" s="212"/>
      <c r="K299" s="212"/>
      <c r="L299" s="212"/>
      <c r="M299" s="212"/>
      <c r="N299" s="212"/>
      <c r="O299" s="212"/>
      <c r="P299" s="212"/>
      <c r="Q299" s="212"/>
      <c r="R299" s="212"/>
      <c r="S299" s="212"/>
      <c r="T299" s="212"/>
      <c r="U299" s="212"/>
      <c r="V299" s="212"/>
      <c r="W299" s="212"/>
      <c r="X299" s="212"/>
      <c r="Y299" s="212"/>
      <c r="Z299" s="212"/>
      <c r="AA299" s="212"/>
      <c r="AB299" s="207"/>
      <c r="AC299" s="207"/>
      <c r="AD299" s="207"/>
      <c r="AE299" s="207"/>
      <c r="AF299" s="207"/>
      <c r="AG299" s="207"/>
      <c r="AH299" s="207"/>
      <c r="AI299" s="207"/>
      <c r="AJ299" s="207"/>
      <c r="AK299" s="207"/>
      <c r="AL299" s="207"/>
      <c r="AM299" s="207"/>
      <c r="AN299" s="207"/>
      <c r="AO299" s="207"/>
      <c r="AT299" s="207"/>
      <c r="AV299" s="207"/>
    </row>
    <row r="300" spans="1:48">
      <c r="A300" s="213"/>
      <c r="B300" s="212"/>
      <c r="C300" s="212"/>
      <c r="D300" s="212"/>
      <c r="E300" s="212"/>
      <c r="F300" s="212"/>
      <c r="G300" s="212"/>
      <c r="H300" s="212"/>
      <c r="I300" s="212"/>
      <c r="J300" s="212"/>
      <c r="K300" s="212"/>
      <c r="L300" s="212"/>
      <c r="M300" s="212"/>
      <c r="N300" s="212"/>
      <c r="O300" s="212"/>
      <c r="P300" s="212"/>
      <c r="Q300" s="212"/>
      <c r="R300" s="212"/>
      <c r="S300" s="212"/>
      <c r="T300" s="212"/>
      <c r="U300" s="212"/>
      <c r="V300" s="212"/>
      <c r="W300" s="212"/>
      <c r="X300" s="212"/>
      <c r="Y300" s="212"/>
      <c r="Z300" s="212"/>
      <c r="AA300" s="212"/>
      <c r="AB300" s="207"/>
      <c r="AC300" s="207"/>
      <c r="AD300" s="207"/>
      <c r="AE300" s="207"/>
      <c r="AF300" s="207"/>
      <c r="AG300" s="207"/>
      <c r="AH300" s="207"/>
      <c r="AI300" s="207"/>
      <c r="AJ300" s="207"/>
      <c r="AK300" s="207"/>
      <c r="AL300" s="207"/>
      <c r="AM300" s="207"/>
      <c r="AN300" s="207"/>
      <c r="AO300" s="207"/>
      <c r="AT300" s="207"/>
      <c r="AV300" s="207"/>
    </row>
    <row r="301" spans="1:48">
      <c r="A301" s="213"/>
      <c r="B301" s="212"/>
      <c r="C301" s="212"/>
      <c r="D301" s="212"/>
      <c r="E301" s="212"/>
      <c r="F301" s="212"/>
      <c r="G301" s="212"/>
      <c r="H301" s="212"/>
      <c r="I301" s="212"/>
      <c r="J301" s="212"/>
      <c r="K301" s="212"/>
      <c r="L301" s="212"/>
      <c r="M301" s="212"/>
      <c r="N301" s="212"/>
      <c r="O301" s="212"/>
      <c r="P301" s="212"/>
      <c r="Q301" s="212"/>
      <c r="R301" s="212"/>
      <c r="S301" s="212"/>
      <c r="T301" s="212"/>
      <c r="U301" s="212"/>
      <c r="V301" s="212"/>
      <c r="W301" s="212"/>
      <c r="X301" s="212"/>
      <c r="Y301" s="212"/>
      <c r="Z301" s="212"/>
      <c r="AA301" s="212"/>
      <c r="AB301" s="207"/>
      <c r="AC301" s="207"/>
      <c r="AD301" s="207"/>
      <c r="AE301" s="207"/>
      <c r="AF301" s="207"/>
      <c r="AG301" s="207"/>
      <c r="AH301" s="207"/>
      <c r="AI301" s="207"/>
      <c r="AJ301" s="207"/>
      <c r="AK301" s="207"/>
      <c r="AL301" s="207"/>
      <c r="AM301" s="207"/>
      <c r="AN301" s="207"/>
      <c r="AO301" s="207"/>
      <c r="AT301" s="207"/>
      <c r="AV301" s="207"/>
    </row>
    <row r="302" spans="1:48">
      <c r="A302" s="213"/>
      <c r="B302" s="212"/>
      <c r="C302" s="212"/>
      <c r="D302" s="212"/>
      <c r="E302" s="212"/>
      <c r="F302" s="212"/>
      <c r="G302" s="212"/>
      <c r="H302" s="212"/>
      <c r="I302" s="212"/>
      <c r="J302" s="212"/>
      <c r="K302" s="212"/>
      <c r="L302" s="212"/>
      <c r="M302" s="212"/>
      <c r="N302" s="212"/>
      <c r="O302" s="212"/>
      <c r="P302" s="212"/>
      <c r="Q302" s="212"/>
      <c r="R302" s="212"/>
      <c r="S302" s="212"/>
      <c r="T302" s="212"/>
      <c r="U302" s="212"/>
      <c r="V302" s="212"/>
      <c r="W302" s="212"/>
      <c r="X302" s="212"/>
      <c r="Y302" s="212"/>
      <c r="Z302" s="212"/>
      <c r="AA302" s="212"/>
      <c r="AB302" s="207"/>
      <c r="AC302" s="207"/>
      <c r="AD302" s="207"/>
      <c r="AE302" s="207"/>
      <c r="AF302" s="207"/>
      <c r="AG302" s="207"/>
      <c r="AH302" s="207"/>
      <c r="AI302" s="207"/>
      <c r="AJ302" s="207"/>
      <c r="AK302" s="207"/>
      <c r="AL302" s="207"/>
      <c r="AM302" s="207"/>
      <c r="AN302" s="207"/>
      <c r="AO302" s="207"/>
      <c r="AT302" s="207"/>
      <c r="AV302" s="207"/>
    </row>
    <row r="303" spans="1:48">
      <c r="A303" s="213"/>
      <c r="B303" s="212"/>
      <c r="C303" s="212"/>
      <c r="D303" s="212"/>
      <c r="E303" s="212"/>
      <c r="F303" s="212"/>
      <c r="G303" s="212"/>
      <c r="H303" s="212"/>
      <c r="I303" s="212"/>
      <c r="J303" s="212"/>
      <c r="K303" s="212"/>
      <c r="L303" s="212"/>
      <c r="M303" s="212"/>
      <c r="N303" s="212"/>
      <c r="O303" s="212"/>
      <c r="P303" s="212"/>
      <c r="Q303" s="212"/>
      <c r="R303" s="212"/>
      <c r="S303" s="212"/>
      <c r="T303" s="212"/>
      <c r="U303" s="212"/>
      <c r="V303" s="212"/>
      <c r="W303" s="212"/>
      <c r="X303" s="212"/>
      <c r="Y303" s="212"/>
      <c r="Z303" s="212"/>
      <c r="AA303" s="212"/>
      <c r="AB303" s="207"/>
      <c r="AC303" s="207"/>
      <c r="AD303" s="207"/>
      <c r="AE303" s="207"/>
      <c r="AF303" s="207"/>
      <c r="AG303" s="207"/>
      <c r="AH303" s="207"/>
      <c r="AI303" s="207"/>
      <c r="AJ303" s="207"/>
      <c r="AK303" s="207"/>
      <c r="AL303" s="207"/>
      <c r="AM303" s="207"/>
      <c r="AN303" s="207"/>
      <c r="AO303" s="207"/>
      <c r="AT303" s="207"/>
      <c r="AV303" s="207"/>
    </row>
    <row r="304" spans="1:48">
      <c r="A304" s="213"/>
      <c r="B304" s="212"/>
      <c r="C304" s="212"/>
      <c r="D304" s="212"/>
      <c r="E304" s="212"/>
      <c r="F304" s="212"/>
      <c r="G304" s="212"/>
      <c r="H304" s="212"/>
      <c r="I304" s="212"/>
      <c r="J304" s="212"/>
      <c r="K304" s="212"/>
      <c r="L304" s="212"/>
      <c r="M304" s="212"/>
      <c r="N304" s="212"/>
      <c r="O304" s="212"/>
      <c r="P304" s="212"/>
      <c r="Q304" s="212"/>
      <c r="R304" s="212"/>
      <c r="S304" s="212"/>
      <c r="T304" s="212"/>
      <c r="U304" s="212"/>
      <c r="V304" s="212"/>
      <c r="W304" s="212"/>
      <c r="X304" s="212"/>
      <c r="Y304" s="212"/>
      <c r="Z304" s="212"/>
      <c r="AA304" s="212"/>
      <c r="AB304" s="207"/>
      <c r="AC304" s="207"/>
      <c r="AD304" s="207"/>
      <c r="AE304" s="207"/>
      <c r="AF304" s="207"/>
      <c r="AG304" s="207"/>
      <c r="AH304" s="207"/>
      <c r="AI304" s="207"/>
      <c r="AJ304" s="207"/>
      <c r="AK304" s="207"/>
      <c r="AL304" s="207"/>
      <c r="AM304" s="207"/>
      <c r="AN304" s="207"/>
      <c r="AO304" s="207"/>
      <c r="AT304" s="207"/>
      <c r="AV304" s="207"/>
    </row>
    <row r="305" spans="1:48">
      <c r="A305" s="213"/>
      <c r="B305" s="212"/>
      <c r="C305" s="212"/>
      <c r="D305" s="212"/>
      <c r="E305" s="212"/>
      <c r="F305" s="212"/>
      <c r="G305" s="212"/>
      <c r="H305" s="212"/>
      <c r="I305" s="212"/>
      <c r="J305" s="212"/>
      <c r="K305" s="212"/>
      <c r="L305" s="212"/>
      <c r="M305" s="212"/>
      <c r="N305" s="212"/>
      <c r="O305" s="212"/>
      <c r="P305" s="212"/>
      <c r="Q305" s="212"/>
      <c r="R305" s="212"/>
      <c r="S305" s="212"/>
      <c r="T305" s="212"/>
      <c r="U305" s="212"/>
      <c r="V305" s="212"/>
      <c r="W305" s="212"/>
      <c r="X305" s="212"/>
      <c r="Y305" s="212"/>
      <c r="Z305" s="212"/>
      <c r="AA305" s="212"/>
      <c r="AB305" s="207"/>
      <c r="AC305" s="207"/>
      <c r="AD305" s="207"/>
      <c r="AE305" s="207"/>
      <c r="AF305" s="207"/>
      <c r="AG305" s="207"/>
      <c r="AH305" s="207"/>
      <c r="AI305" s="207"/>
      <c r="AJ305" s="207"/>
      <c r="AK305" s="207"/>
      <c r="AL305" s="207"/>
      <c r="AM305" s="207"/>
      <c r="AN305" s="207"/>
      <c r="AO305" s="207"/>
      <c r="AT305" s="207"/>
      <c r="AV305" s="207"/>
    </row>
    <row r="306" spans="1:48">
      <c r="A306" s="213"/>
      <c r="B306" s="212"/>
      <c r="C306" s="212"/>
      <c r="D306" s="212"/>
      <c r="E306" s="212"/>
      <c r="F306" s="212"/>
      <c r="G306" s="212"/>
      <c r="H306" s="212"/>
      <c r="I306" s="212"/>
      <c r="J306" s="212"/>
      <c r="K306" s="212"/>
      <c r="L306" s="212"/>
      <c r="M306" s="212"/>
      <c r="N306" s="212"/>
      <c r="O306" s="212"/>
      <c r="P306" s="212"/>
      <c r="Q306" s="212"/>
      <c r="R306" s="212"/>
      <c r="S306" s="212"/>
      <c r="T306" s="212"/>
      <c r="U306" s="212"/>
      <c r="V306" s="212"/>
      <c r="W306" s="212"/>
      <c r="X306" s="212"/>
      <c r="Y306" s="212"/>
      <c r="Z306" s="212"/>
      <c r="AA306" s="212"/>
      <c r="AB306" s="207"/>
      <c r="AC306" s="207"/>
      <c r="AD306" s="207"/>
      <c r="AE306" s="207"/>
      <c r="AF306" s="207"/>
      <c r="AG306" s="207"/>
      <c r="AH306" s="207"/>
      <c r="AI306" s="207"/>
      <c r="AJ306" s="207"/>
      <c r="AK306" s="207"/>
      <c r="AL306" s="207"/>
      <c r="AM306" s="207"/>
      <c r="AN306" s="207"/>
      <c r="AO306" s="207"/>
      <c r="AT306" s="207"/>
      <c r="AV306" s="207"/>
    </row>
    <row r="307" spans="1:48">
      <c r="A307" s="213"/>
      <c r="B307" s="212"/>
      <c r="C307" s="212"/>
      <c r="D307" s="212"/>
      <c r="E307" s="212"/>
      <c r="F307" s="212"/>
      <c r="G307" s="212"/>
      <c r="H307" s="212"/>
      <c r="I307" s="212"/>
      <c r="J307" s="212"/>
      <c r="K307" s="212"/>
      <c r="L307" s="212"/>
      <c r="M307" s="212"/>
      <c r="N307" s="212"/>
      <c r="O307" s="212"/>
      <c r="P307" s="212"/>
      <c r="Q307" s="212"/>
      <c r="R307" s="212"/>
      <c r="S307" s="212"/>
      <c r="T307" s="212"/>
      <c r="U307" s="212"/>
      <c r="V307" s="212"/>
      <c r="W307" s="212"/>
      <c r="X307" s="212"/>
      <c r="Y307" s="212"/>
      <c r="Z307" s="212"/>
      <c r="AA307" s="212"/>
      <c r="AB307" s="207"/>
      <c r="AC307" s="207"/>
      <c r="AD307" s="207"/>
      <c r="AE307" s="207"/>
      <c r="AF307" s="207"/>
      <c r="AG307" s="207"/>
      <c r="AH307" s="207"/>
      <c r="AI307" s="207"/>
      <c r="AJ307" s="207"/>
      <c r="AK307" s="207"/>
      <c r="AL307" s="207"/>
      <c r="AM307" s="207"/>
      <c r="AN307" s="207"/>
      <c r="AO307" s="207"/>
      <c r="AT307" s="207"/>
      <c r="AV307" s="207"/>
    </row>
    <row r="308" spans="1:48">
      <c r="A308" s="213"/>
      <c r="B308" s="212"/>
      <c r="C308" s="212"/>
      <c r="D308" s="212"/>
      <c r="E308" s="212"/>
      <c r="F308" s="212"/>
      <c r="G308" s="212"/>
      <c r="H308" s="212"/>
      <c r="I308" s="212"/>
      <c r="J308" s="212"/>
      <c r="K308" s="212"/>
      <c r="L308" s="216"/>
      <c r="M308" s="212"/>
      <c r="N308" s="212"/>
      <c r="O308" s="212"/>
      <c r="P308" s="212"/>
      <c r="Q308" s="212"/>
      <c r="R308" s="212"/>
      <c r="S308" s="212"/>
      <c r="T308" s="212"/>
      <c r="U308" s="212"/>
      <c r="V308" s="212"/>
      <c r="W308" s="212"/>
      <c r="X308" s="212"/>
      <c r="Y308" s="212"/>
      <c r="Z308" s="212"/>
      <c r="AA308" s="212"/>
      <c r="AB308" s="207"/>
      <c r="AC308" s="207"/>
      <c r="AD308" s="207"/>
      <c r="AE308" s="207"/>
      <c r="AF308" s="207"/>
      <c r="AG308" s="207"/>
      <c r="AH308" s="207"/>
      <c r="AI308" s="207"/>
      <c r="AJ308" s="207"/>
      <c r="AK308" s="207"/>
      <c r="AL308" s="207"/>
      <c r="AM308" s="207"/>
      <c r="AN308" s="207"/>
      <c r="AO308" s="207"/>
      <c r="AT308" s="207"/>
      <c r="AV308" s="207"/>
    </row>
    <row r="309" spans="1:48">
      <c r="A309" s="213"/>
      <c r="B309" s="212"/>
      <c r="C309" s="212"/>
      <c r="D309" s="212"/>
      <c r="E309" s="212"/>
      <c r="F309" s="212"/>
      <c r="G309" s="212"/>
      <c r="H309" s="212"/>
      <c r="I309" s="212"/>
      <c r="J309" s="212"/>
      <c r="K309" s="212"/>
      <c r="L309" s="216"/>
      <c r="M309" s="212"/>
      <c r="N309" s="212"/>
      <c r="O309" s="212"/>
      <c r="P309" s="212"/>
      <c r="Q309" s="212"/>
      <c r="R309" s="212"/>
      <c r="S309" s="212"/>
      <c r="T309" s="212"/>
      <c r="U309" s="212"/>
      <c r="V309" s="212"/>
      <c r="W309" s="212"/>
      <c r="X309" s="212"/>
      <c r="Y309" s="212"/>
      <c r="Z309" s="212"/>
      <c r="AA309" s="212"/>
      <c r="AB309" s="207"/>
      <c r="AC309" s="207"/>
      <c r="AD309" s="207"/>
      <c r="AE309" s="207"/>
      <c r="AF309" s="207"/>
      <c r="AG309" s="207"/>
      <c r="AH309" s="207"/>
      <c r="AI309" s="207"/>
      <c r="AJ309" s="207"/>
      <c r="AK309" s="207"/>
      <c r="AL309" s="207"/>
      <c r="AM309" s="207"/>
      <c r="AN309" s="207"/>
      <c r="AO309" s="207"/>
      <c r="AT309" s="207"/>
      <c r="AV309" s="207"/>
    </row>
    <row r="310" spans="1:48">
      <c r="A310" s="213"/>
      <c r="B310" s="212"/>
      <c r="C310" s="212"/>
      <c r="D310" s="212"/>
      <c r="E310" s="212"/>
      <c r="F310" s="212"/>
      <c r="G310" s="212"/>
      <c r="H310" s="212"/>
      <c r="I310" s="212"/>
      <c r="J310" s="212"/>
      <c r="K310" s="212"/>
      <c r="L310" s="212"/>
      <c r="M310" s="212"/>
      <c r="N310" s="212"/>
      <c r="O310" s="212"/>
      <c r="P310" s="212"/>
      <c r="Q310" s="212"/>
      <c r="R310" s="212"/>
      <c r="S310" s="212"/>
      <c r="T310" s="212"/>
      <c r="U310" s="212"/>
      <c r="V310" s="212"/>
      <c r="W310" s="212"/>
      <c r="X310" s="212"/>
      <c r="Y310" s="212"/>
      <c r="Z310" s="212"/>
      <c r="AA310" s="212"/>
      <c r="AB310" s="207"/>
      <c r="AC310" s="207"/>
      <c r="AD310" s="207"/>
      <c r="AE310" s="207"/>
      <c r="AF310" s="207"/>
      <c r="AG310" s="207"/>
      <c r="AH310" s="207"/>
      <c r="AI310" s="207"/>
      <c r="AJ310" s="207"/>
      <c r="AK310" s="207"/>
      <c r="AL310" s="207"/>
      <c r="AM310" s="207"/>
      <c r="AN310" s="207"/>
      <c r="AO310" s="207"/>
      <c r="AT310" s="207"/>
      <c r="AV310" s="207"/>
    </row>
    <row r="311" spans="1:48">
      <c r="A311" s="213"/>
      <c r="B311" s="212"/>
      <c r="C311" s="212"/>
      <c r="D311" s="212"/>
      <c r="E311" s="212"/>
      <c r="F311" s="212"/>
      <c r="G311" s="212"/>
      <c r="H311" s="212"/>
      <c r="I311" s="212"/>
      <c r="J311" s="212"/>
      <c r="K311" s="212"/>
      <c r="L311" s="217"/>
      <c r="M311" s="212"/>
      <c r="N311" s="212"/>
      <c r="O311" s="212"/>
      <c r="P311" s="212"/>
      <c r="Q311" s="212"/>
      <c r="R311" s="212"/>
      <c r="S311" s="212"/>
      <c r="T311" s="212"/>
      <c r="U311" s="212"/>
      <c r="V311" s="212"/>
      <c r="W311" s="212"/>
      <c r="X311" s="212"/>
      <c r="Y311" s="212"/>
      <c r="Z311" s="212"/>
      <c r="AA311" s="212"/>
      <c r="AB311" s="207"/>
      <c r="AC311" s="207"/>
      <c r="AD311" s="207"/>
      <c r="AE311" s="207"/>
      <c r="AF311" s="207"/>
      <c r="AG311" s="207"/>
      <c r="AH311" s="207"/>
      <c r="AI311" s="207"/>
      <c r="AJ311" s="207"/>
      <c r="AK311" s="207"/>
      <c r="AL311" s="207"/>
      <c r="AM311" s="207"/>
      <c r="AN311" s="207"/>
      <c r="AO311" s="207"/>
      <c r="AT311" s="207"/>
      <c r="AV311" s="207"/>
    </row>
    <row r="312" spans="1:48">
      <c r="A312" s="213"/>
      <c r="B312" s="212"/>
      <c r="C312" s="212"/>
      <c r="D312" s="212"/>
      <c r="E312" s="212"/>
      <c r="F312" s="212"/>
      <c r="G312" s="212"/>
      <c r="H312" s="212"/>
      <c r="I312" s="212"/>
      <c r="J312" s="212"/>
      <c r="K312" s="212"/>
      <c r="L312" s="212"/>
      <c r="M312" s="212"/>
      <c r="N312" s="212"/>
      <c r="O312" s="212"/>
      <c r="P312" s="212"/>
      <c r="Q312" s="212"/>
      <c r="R312" s="212"/>
      <c r="S312" s="212"/>
      <c r="T312" s="212"/>
      <c r="U312" s="212"/>
      <c r="V312" s="212"/>
      <c r="W312" s="212"/>
      <c r="X312" s="212"/>
      <c r="Y312" s="212"/>
      <c r="Z312" s="212"/>
      <c r="AA312" s="212"/>
      <c r="AB312" s="207"/>
      <c r="AC312" s="207"/>
      <c r="AD312" s="207"/>
      <c r="AE312" s="207"/>
      <c r="AF312" s="207"/>
      <c r="AG312" s="207"/>
      <c r="AH312" s="207"/>
      <c r="AI312" s="207"/>
      <c r="AJ312" s="207"/>
      <c r="AK312" s="207"/>
      <c r="AL312" s="207"/>
      <c r="AM312" s="207"/>
      <c r="AN312" s="207"/>
      <c r="AO312" s="207"/>
      <c r="AT312" s="207"/>
      <c r="AV312" s="207"/>
    </row>
    <row r="313" spans="1:48">
      <c r="A313" s="213"/>
      <c r="B313" s="212"/>
      <c r="C313" s="212"/>
      <c r="D313" s="212"/>
      <c r="E313" s="212"/>
      <c r="F313" s="212"/>
      <c r="G313" s="212"/>
      <c r="H313" s="212"/>
      <c r="I313" s="212"/>
      <c r="J313" s="212"/>
      <c r="K313" s="212"/>
      <c r="L313" s="212"/>
      <c r="M313" s="212"/>
      <c r="N313" s="212"/>
      <c r="O313" s="212"/>
      <c r="P313" s="212"/>
      <c r="Q313" s="212"/>
      <c r="R313" s="212"/>
      <c r="S313" s="212"/>
      <c r="T313" s="212"/>
      <c r="U313" s="212"/>
      <c r="V313" s="212"/>
      <c r="W313" s="212"/>
      <c r="X313" s="212"/>
      <c r="Y313" s="212"/>
      <c r="Z313" s="212"/>
      <c r="AA313" s="212"/>
      <c r="AB313" s="207"/>
      <c r="AC313" s="207"/>
      <c r="AD313" s="207"/>
      <c r="AE313" s="207"/>
      <c r="AF313" s="207"/>
      <c r="AG313" s="207"/>
      <c r="AH313" s="207"/>
      <c r="AI313" s="207"/>
      <c r="AJ313" s="207"/>
      <c r="AK313" s="207"/>
      <c r="AL313" s="207"/>
      <c r="AM313" s="207"/>
      <c r="AN313" s="207"/>
      <c r="AO313" s="207"/>
      <c r="AT313" s="207"/>
      <c r="AV313" s="207"/>
    </row>
    <row r="314" spans="1:48">
      <c r="A314" s="213"/>
      <c r="B314" s="212"/>
      <c r="C314" s="212"/>
      <c r="D314" s="212"/>
      <c r="E314" s="212"/>
      <c r="F314" s="212"/>
      <c r="G314" s="212"/>
      <c r="H314" s="212"/>
      <c r="I314" s="212"/>
      <c r="J314" s="212"/>
      <c r="K314" s="212"/>
      <c r="L314" s="212"/>
      <c r="M314" s="212"/>
      <c r="N314" s="212"/>
      <c r="O314" s="212"/>
      <c r="P314" s="212"/>
      <c r="Q314" s="212"/>
      <c r="R314" s="212"/>
      <c r="S314" s="212"/>
      <c r="T314" s="212"/>
      <c r="U314" s="212"/>
      <c r="V314" s="212"/>
      <c r="W314" s="212"/>
      <c r="X314" s="212"/>
      <c r="Y314" s="212"/>
      <c r="Z314" s="212"/>
      <c r="AA314" s="212"/>
      <c r="AB314" s="207"/>
      <c r="AC314" s="207"/>
      <c r="AD314" s="207"/>
      <c r="AE314" s="207"/>
      <c r="AF314" s="207"/>
      <c r="AG314" s="207"/>
      <c r="AH314" s="207"/>
      <c r="AI314" s="207"/>
      <c r="AJ314" s="207"/>
      <c r="AK314" s="207"/>
      <c r="AL314" s="207"/>
      <c r="AM314" s="207"/>
      <c r="AN314" s="207"/>
      <c r="AO314" s="207"/>
      <c r="AT314" s="207"/>
      <c r="AV314" s="207"/>
    </row>
    <row r="315" spans="1:48">
      <c r="A315" s="213"/>
      <c r="B315" s="212"/>
      <c r="C315" s="212"/>
      <c r="D315" s="212"/>
      <c r="E315" s="212"/>
      <c r="F315" s="212"/>
      <c r="G315" s="212"/>
      <c r="H315" s="212"/>
      <c r="I315" s="212"/>
      <c r="J315" s="212"/>
      <c r="K315" s="212"/>
      <c r="L315" s="212"/>
      <c r="M315" s="212"/>
      <c r="N315" s="212"/>
      <c r="O315" s="212"/>
      <c r="P315" s="212"/>
      <c r="Q315" s="212"/>
      <c r="R315" s="212"/>
      <c r="S315" s="212"/>
      <c r="T315" s="212"/>
      <c r="U315" s="212"/>
      <c r="V315" s="212"/>
      <c r="W315" s="212"/>
      <c r="X315" s="212"/>
      <c r="Y315" s="212"/>
      <c r="Z315" s="212"/>
      <c r="AA315" s="212"/>
      <c r="AB315" s="207"/>
      <c r="AC315" s="207"/>
      <c r="AD315" s="207"/>
      <c r="AE315" s="207"/>
      <c r="AF315" s="207"/>
      <c r="AG315" s="207"/>
      <c r="AH315" s="207"/>
      <c r="AI315" s="207"/>
      <c r="AJ315" s="207"/>
      <c r="AK315" s="207"/>
      <c r="AL315" s="207"/>
      <c r="AM315" s="207"/>
      <c r="AN315" s="207"/>
      <c r="AO315" s="207"/>
      <c r="AT315" s="207"/>
      <c r="AV315" s="207"/>
    </row>
    <row r="316" spans="1:48">
      <c r="A316" s="213"/>
      <c r="B316" s="212"/>
      <c r="C316" s="212"/>
      <c r="D316" s="212"/>
      <c r="E316" s="212"/>
      <c r="F316" s="212"/>
      <c r="G316" s="212"/>
      <c r="H316" s="212"/>
      <c r="I316" s="212"/>
      <c r="J316" s="212"/>
      <c r="K316" s="212"/>
      <c r="L316" s="212"/>
      <c r="M316" s="212"/>
      <c r="N316" s="212"/>
      <c r="O316" s="212"/>
      <c r="P316" s="212"/>
      <c r="Q316" s="212"/>
      <c r="R316" s="212"/>
      <c r="S316" s="212"/>
      <c r="T316" s="212"/>
      <c r="U316" s="212"/>
      <c r="V316" s="212"/>
      <c r="W316" s="212"/>
      <c r="X316" s="212"/>
      <c r="Y316" s="212"/>
      <c r="Z316" s="212"/>
      <c r="AA316" s="212"/>
      <c r="AB316" s="207"/>
      <c r="AC316" s="207"/>
      <c r="AD316" s="207"/>
      <c r="AE316" s="207"/>
      <c r="AF316" s="207"/>
      <c r="AG316" s="207"/>
      <c r="AH316" s="207"/>
      <c r="AI316" s="207"/>
      <c r="AJ316" s="207"/>
      <c r="AK316" s="207"/>
      <c r="AL316" s="207"/>
      <c r="AM316" s="207"/>
      <c r="AN316" s="207"/>
      <c r="AO316" s="207"/>
      <c r="AT316" s="207"/>
      <c r="AV316" s="207"/>
    </row>
    <row r="317" spans="1:48">
      <c r="A317" s="213"/>
      <c r="B317" s="212"/>
      <c r="C317" s="212"/>
      <c r="D317" s="212"/>
      <c r="E317" s="212"/>
      <c r="F317" s="212"/>
      <c r="G317" s="212"/>
      <c r="H317" s="212"/>
      <c r="I317" s="212"/>
      <c r="J317" s="212"/>
      <c r="K317" s="212"/>
      <c r="L317" s="212"/>
      <c r="M317" s="212"/>
      <c r="N317" s="212"/>
      <c r="O317" s="212"/>
      <c r="P317" s="212"/>
      <c r="Q317" s="212"/>
      <c r="R317" s="212"/>
      <c r="S317" s="212"/>
      <c r="T317" s="212"/>
      <c r="U317" s="212"/>
      <c r="V317" s="212"/>
      <c r="W317" s="212"/>
      <c r="X317" s="212"/>
      <c r="Y317" s="212"/>
      <c r="Z317" s="212"/>
      <c r="AA317" s="212"/>
      <c r="AB317" s="207"/>
      <c r="AC317" s="207"/>
      <c r="AD317" s="207"/>
      <c r="AE317" s="207"/>
      <c r="AF317" s="207"/>
      <c r="AG317" s="207"/>
      <c r="AH317" s="207"/>
      <c r="AI317" s="207"/>
      <c r="AJ317" s="207"/>
      <c r="AK317" s="207"/>
      <c r="AL317" s="207"/>
      <c r="AM317" s="207"/>
      <c r="AN317" s="207"/>
      <c r="AO317" s="207"/>
      <c r="AT317" s="207"/>
      <c r="AV317" s="207"/>
    </row>
    <row r="318" spans="1:48">
      <c r="A318" s="213"/>
      <c r="B318" s="212"/>
      <c r="C318" s="212"/>
      <c r="D318" s="212"/>
      <c r="E318" s="212"/>
      <c r="F318" s="212"/>
      <c r="G318" s="212"/>
      <c r="H318" s="212"/>
      <c r="I318" s="212"/>
      <c r="J318" s="212"/>
      <c r="K318" s="212"/>
      <c r="L318" s="212"/>
      <c r="M318" s="212"/>
      <c r="N318" s="212"/>
      <c r="O318" s="212"/>
      <c r="P318" s="212"/>
      <c r="Q318" s="212"/>
      <c r="R318" s="212"/>
      <c r="S318" s="212"/>
      <c r="T318" s="212"/>
      <c r="U318" s="212"/>
      <c r="V318" s="212"/>
      <c r="W318" s="212"/>
      <c r="X318" s="212"/>
      <c r="Y318" s="212"/>
      <c r="Z318" s="212"/>
      <c r="AA318" s="212"/>
      <c r="AB318" s="207"/>
      <c r="AC318" s="207"/>
      <c r="AD318" s="207"/>
      <c r="AE318" s="207"/>
      <c r="AF318" s="207"/>
      <c r="AG318" s="207"/>
      <c r="AH318" s="207"/>
      <c r="AI318" s="207"/>
      <c r="AJ318" s="207"/>
      <c r="AK318" s="207"/>
      <c r="AL318" s="207"/>
      <c r="AM318" s="207"/>
      <c r="AN318" s="207"/>
      <c r="AO318" s="207"/>
      <c r="AT318" s="207"/>
      <c r="AV318" s="207"/>
    </row>
    <row r="319" spans="1:48">
      <c r="A319" s="213"/>
      <c r="B319" s="212"/>
      <c r="C319" s="212"/>
      <c r="D319" s="212"/>
      <c r="E319" s="212"/>
      <c r="F319" s="212"/>
      <c r="G319" s="212"/>
      <c r="H319" s="212"/>
      <c r="I319" s="212"/>
      <c r="J319" s="212"/>
      <c r="K319" s="212"/>
      <c r="L319" s="212"/>
      <c r="M319" s="212"/>
      <c r="N319" s="212"/>
      <c r="O319" s="212"/>
      <c r="P319" s="212"/>
      <c r="Q319" s="212"/>
      <c r="R319" s="212"/>
      <c r="S319" s="212"/>
      <c r="T319" s="212"/>
      <c r="U319" s="212"/>
      <c r="V319" s="212"/>
      <c r="W319" s="212"/>
      <c r="X319" s="212"/>
      <c r="Y319" s="212"/>
      <c r="Z319" s="212"/>
      <c r="AA319" s="212"/>
      <c r="AB319" s="207"/>
      <c r="AC319" s="207"/>
      <c r="AD319" s="207"/>
      <c r="AE319" s="207"/>
      <c r="AF319" s="207"/>
      <c r="AG319" s="207"/>
      <c r="AH319" s="207"/>
      <c r="AI319" s="207"/>
      <c r="AJ319" s="207"/>
      <c r="AK319" s="207"/>
      <c r="AL319" s="207"/>
      <c r="AM319" s="207"/>
      <c r="AN319" s="207"/>
      <c r="AO319" s="207"/>
      <c r="AT319" s="207"/>
      <c r="AV319" s="207"/>
    </row>
    <row r="320" spans="1:48">
      <c r="A320" s="213"/>
      <c r="B320" s="212"/>
      <c r="C320" s="212"/>
      <c r="D320" s="212"/>
      <c r="E320" s="212"/>
      <c r="F320" s="212"/>
      <c r="G320" s="212"/>
      <c r="H320" s="212"/>
      <c r="I320" s="212"/>
      <c r="J320" s="212"/>
      <c r="K320" s="212"/>
      <c r="L320" s="212"/>
      <c r="M320" s="212"/>
      <c r="N320" s="212"/>
      <c r="O320" s="212"/>
      <c r="P320" s="212"/>
      <c r="Q320" s="212"/>
      <c r="R320" s="212"/>
      <c r="S320" s="212"/>
      <c r="T320" s="212"/>
      <c r="U320" s="212"/>
      <c r="V320" s="212"/>
      <c r="W320" s="212"/>
      <c r="X320" s="212"/>
      <c r="Y320" s="212"/>
      <c r="Z320" s="212"/>
      <c r="AA320" s="212"/>
      <c r="AB320" s="207"/>
      <c r="AC320" s="207"/>
      <c r="AD320" s="207"/>
      <c r="AE320" s="207"/>
      <c r="AF320" s="207"/>
      <c r="AG320" s="207"/>
      <c r="AH320" s="207"/>
      <c r="AI320" s="207"/>
      <c r="AJ320" s="207"/>
      <c r="AK320" s="207"/>
      <c r="AL320" s="207"/>
      <c r="AM320" s="207"/>
      <c r="AN320" s="207"/>
      <c r="AO320" s="207"/>
      <c r="AT320" s="207"/>
      <c r="AV320" s="207"/>
    </row>
    <row r="321" spans="1:48">
      <c r="A321" s="213"/>
      <c r="B321" s="212"/>
      <c r="C321" s="212"/>
      <c r="D321" s="212"/>
      <c r="E321" s="212"/>
      <c r="F321" s="212"/>
      <c r="G321" s="212"/>
      <c r="H321" s="212"/>
      <c r="I321" s="212"/>
      <c r="J321" s="212"/>
      <c r="K321" s="212"/>
      <c r="L321" s="212"/>
      <c r="M321" s="212"/>
      <c r="N321" s="212"/>
      <c r="O321" s="212"/>
      <c r="P321" s="212"/>
      <c r="Q321" s="212"/>
      <c r="R321" s="212"/>
      <c r="S321" s="212"/>
      <c r="T321" s="212"/>
      <c r="U321" s="212"/>
      <c r="V321" s="212"/>
      <c r="W321" s="212"/>
      <c r="X321" s="212"/>
      <c r="Y321" s="212"/>
      <c r="Z321" s="212"/>
      <c r="AA321" s="212"/>
      <c r="AB321" s="207"/>
      <c r="AC321" s="207"/>
      <c r="AD321" s="207"/>
      <c r="AE321" s="207"/>
      <c r="AF321" s="207"/>
      <c r="AG321" s="207"/>
      <c r="AH321" s="207"/>
      <c r="AI321" s="207"/>
      <c r="AJ321" s="207"/>
      <c r="AK321" s="207"/>
      <c r="AL321" s="207"/>
      <c r="AM321" s="207"/>
      <c r="AN321" s="207"/>
      <c r="AO321" s="207"/>
      <c r="AT321" s="207"/>
      <c r="AV321" s="207"/>
    </row>
    <row r="322" spans="1:48">
      <c r="A322" s="213"/>
      <c r="B322" s="212"/>
      <c r="C322" s="212"/>
      <c r="D322" s="212"/>
      <c r="E322" s="212"/>
      <c r="F322" s="212"/>
      <c r="G322" s="212"/>
      <c r="H322" s="212"/>
      <c r="I322" s="212"/>
      <c r="J322" s="212"/>
      <c r="K322" s="212"/>
      <c r="L322" s="212"/>
      <c r="M322" s="212"/>
      <c r="N322" s="212"/>
      <c r="O322" s="212"/>
      <c r="P322" s="212"/>
      <c r="Q322" s="212"/>
      <c r="R322" s="212"/>
      <c r="S322" s="212"/>
      <c r="T322" s="212"/>
      <c r="U322" s="212"/>
      <c r="V322" s="212"/>
      <c r="W322" s="212"/>
      <c r="X322" s="212"/>
      <c r="Y322" s="212"/>
      <c r="Z322" s="212"/>
      <c r="AA322" s="212"/>
      <c r="AB322" s="207"/>
      <c r="AC322" s="207"/>
      <c r="AD322" s="207"/>
      <c r="AE322" s="207"/>
      <c r="AF322" s="207"/>
      <c r="AG322" s="207"/>
      <c r="AH322" s="207"/>
      <c r="AI322" s="207"/>
      <c r="AJ322" s="207"/>
      <c r="AK322" s="207"/>
      <c r="AL322" s="207"/>
      <c r="AM322" s="207"/>
      <c r="AN322" s="207"/>
      <c r="AO322" s="207"/>
      <c r="AT322" s="207"/>
      <c r="AV322" s="207"/>
    </row>
    <row r="323" spans="1:48">
      <c r="A323" s="213"/>
      <c r="B323" s="212"/>
      <c r="C323" s="212"/>
      <c r="D323" s="212"/>
      <c r="E323" s="212"/>
      <c r="F323" s="212"/>
      <c r="G323" s="212"/>
      <c r="H323" s="212"/>
      <c r="I323" s="212"/>
      <c r="J323" s="212"/>
      <c r="K323" s="212"/>
      <c r="L323" s="212"/>
      <c r="M323" s="212"/>
      <c r="N323" s="212"/>
      <c r="O323" s="212"/>
      <c r="P323" s="212"/>
      <c r="Q323" s="212"/>
      <c r="R323" s="212"/>
      <c r="S323" s="212"/>
      <c r="T323" s="212"/>
      <c r="U323" s="212"/>
      <c r="V323" s="212"/>
      <c r="W323" s="212"/>
      <c r="X323" s="212"/>
      <c r="Y323" s="212"/>
      <c r="Z323" s="212"/>
      <c r="AA323" s="212"/>
      <c r="AB323" s="207"/>
      <c r="AC323" s="207"/>
      <c r="AD323" s="207"/>
      <c r="AE323" s="207"/>
      <c r="AF323" s="207"/>
      <c r="AG323" s="207"/>
      <c r="AH323" s="207"/>
      <c r="AI323" s="207"/>
      <c r="AJ323" s="207"/>
      <c r="AK323" s="207"/>
      <c r="AL323" s="207"/>
      <c r="AM323" s="207"/>
      <c r="AN323" s="207"/>
      <c r="AO323" s="207"/>
      <c r="AT323" s="207"/>
      <c r="AV323" s="207"/>
    </row>
    <row r="324" spans="1:48">
      <c r="A324" s="213"/>
      <c r="B324" s="212"/>
      <c r="C324" s="212"/>
      <c r="D324" s="212"/>
      <c r="E324" s="212"/>
      <c r="F324" s="212"/>
      <c r="G324" s="212"/>
      <c r="H324" s="212"/>
      <c r="I324" s="212"/>
      <c r="J324" s="212"/>
      <c r="K324" s="212"/>
      <c r="L324" s="212"/>
      <c r="M324" s="212"/>
      <c r="N324" s="212"/>
      <c r="O324" s="212"/>
      <c r="P324" s="212"/>
      <c r="Q324" s="212"/>
      <c r="R324" s="212"/>
      <c r="S324" s="212"/>
      <c r="T324" s="212"/>
      <c r="U324" s="212"/>
      <c r="V324" s="212"/>
      <c r="W324" s="212"/>
      <c r="X324" s="212"/>
      <c r="Y324" s="212"/>
      <c r="Z324" s="212"/>
      <c r="AA324" s="212"/>
      <c r="AB324" s="207"/>
      <c r="AC324" s="207"/>
      <c r="AD324" s="207"/>
      <c r="AE324" s="207"/>
      <c r="AF324" s="207"/>
      <c r="AG324" s="207"/>
      <c r="AH324" s="207"/>
      <c r="AI324" s="207"/>
      <c r="AJ324" s="207"/>
      <c r="AK324" s="207"/>
      <c r="AL324" s="207"/>
      <c r="AM324" s="207"/>
      <c r="AN324" s="207"/>
      <c r="AO324" s="207"/>
      <c r="AT324" s="207"/>
      <c r="AV324" s="207"/>
    </row>
    <row r="325" spans="1:48">
      <c r="A325" s="213"/>
      <c r="B325" s="212"/>
      <c r="C325" s="212"/>
      <c r="D325" s="212"/>
      <c r="E325" s="212"/>
      <c r="F325" s="212"/>
      <c r="G325" s="212"/>
      <c r="H325" s="212"/>
      <c r="I325" s="212"/>
      <c r="J325" s="212"/>
      <c r="K325" s="212"/>
      <c r="L325" s="212"/>
      <c r="M325" s="212"/>
      <c r="N325" s="212"/>
      <c r="O325" s="212"/>
      <c r="P325" s="212"/>
      <c r="Q325" s="212"/>
      <c r="R325" s="212"/>
      <c r="S325" s="212"/>
      <c r="T325" s="212"/>
      <c r="U325" s="212"/>
      <c r="V325" s="212"/>
      <c r="W325" s="212"/>
      <c r="X325" s="212"/>
      <c r="Y325" s="212"/>
      <c r="Z325" s="212"/>
      <c r="AA325" s="212"/>
      <c r="AB325" s="207"/>
      <c r="AC325" s="207"/>
      <c r="AD325" s="207"/>
      <c r="AE325" s="207"/>
      <c r="AF325" s="207"/>
      <c r="AG325" s="207"/>
      <c r="AH325" s="207"/>
      <c r="AI325" s="207"/>
      <c r="AJ325" s="207"/>
      <c r="AK325" s="207"/>
      <c r="AL325" s="207"/>
      <c r="AM325" s="207"/>
      <c r="AN325" s="207"/>
      <c r="AO325" s="207"/>
      <c r="AT325" s="207"/>
      <c r="AV325" s="207"/>
    </row>
    <row r="326" spans="1:48">
      <c r="A326" s="213"/>
      <c r="B326" s="212"/>
      <c r="C326" s="212"/>
      <c r="D326" s="212"/>
      <c r="E326" s="212"/>
      <c r="F326" s="212"/>
      <c r="G326" s="212"/>
      <c r="H326" s="212"/>
      <c r="I326" s="212"/>
      <c r="J326" s="212"/>
      <c r="K326" s="212"/>
      <c r="L326" s="212"/>
      <c r="M326" s="212"/>
      <c r="N326" s="212"/>
      <c r="O326" s="212"/>
      <c r="P326" s="212"/>
      <c r="Q326" s="212"/>
      <c r="R326" s="212"/>
      <c r="S326" s="212"/>
      <c r="T326" s="212"/>
      <c r="U326" s="212"/>
      <c r="V326" s="212"/>
      <c r="W326" s="212"/>
      <c r="X326" s="212"/>
      <c r="Y326" s="212"/>
      <c r="Z326" s="212"/>
      <c r="AA326" s="212"/>
      <c r="AB326" s="207"/>
      <c r="AC326" s="207"/>
      <c r="AD326" s="207"/>
      <c r="AE326" s="207"/>
      <c r="AF326" s="207"/>
      <c r="AG326" s="207"/>
      <c r="AH326" s="207"/>
      <c r="AI326" s="207"/>
      <c r="AJ326" s="207"/>
      <c r="AK326" s="207"/>
      <c r="AL326" s="207"/>
      <c r="AM326" s="207"/>
      <c r="AN326" s="207"/>
      <c r="AO326" s="207"/>
      <c r="AT326" s="207"/>
      <c r="AV326" s="207"/>
    </row>
    <row r="327" spans="1:48">
      <c r="A327" s="213"/>
      <c r="B327" s="212"/>
      <c r="C327" s="212"/>
      <c r="D327" s="212"/>
      <c r="E327" s="212"/>
      <c r="F327" s="212"/>
      <c r="G327" s="212"/>
      <c r="H327" s="212"/>
      <c r="I327" s="212"/>
      <c r="J327" s="212"/>
      <c r="K327" s="212"/>
      <c r="L327" s="212"/>
      <c r="M327" s="212"/>
      <c r="N327" s="212"/>
      <c r="O327" s="212"/>
      <c r="P327" s="212"/>
      <c r="Q327" s="212"/>
      <c r="R327" s="212"/>
      <c r="S327" s="212"/>
      <c r="T327" s="212"/>
      <c r="U327" s="212"/>
      <c r="V327" s="212"/>
      <c r="W327" s="212"/>
      <c r="X327" s="212"/>
      <c r="Y327" s="212"/>
      <c r="Z327" s="212"/>
      <c r="AA327" s="212"/>
      <c r="AB327" s="207"/>
      <c r="AC327" s="207"/>
      <c r="AE327" s="207"/>
      <c r="AF327" s="207"/>
      <c r="AG327" s="207"/>
      <c r="AH327" s="207"/>
      <c r="AI327" s="207"/>
      <c r="AJ327" s="207"/>
      <c r="AK327" s="207"/>
      <c r="AL327" s="207"/>
      <c r="AM327" s="207"/>
      <c r="AN327" s="207"/>
      <c r="AO327" s="207"/>
      <c r="AT327" s="207"/>
      <c r="AV327" s="207"/>
    </row>
    <row r="328" spans="1:48">
      <c r="A328" s="213"/>
      <c r="B328" s="212"/>
      <c r="C328" s="212"/>
      <c r="D328" s="212"/>
      <c r="E328" s="212"/>
      <c r="F328" s="212"/>
      <c r="G328" s="212"/>
      <c r="H328" s="212"/>
      <c r="I328" s="212"/>
      <c r="J328" s="212"/>
      <c r="K328" s="212"/>
      <c r="L328" s="212"/>
      <c r="M328" s="212"/>
      <c r="N328" s="212"/>
      <c r="O328" s="212"/>
      <c r="P328" s="212"/>
      <c r="Q328" s="212"/>
      <c r="R328" s="212"/>
      <c r="S328" s="212"/>
      <c r="T328" s="212"/>
      <c r="U328" s="212"/>
      <c r="V328" s="212"/>
      <c r="W328" s="212"/>
      <c r="X328" s="212"/>
      <c r="Y328" s="212"/>
      <c r="Z328" s="212"/>
      <c r="AA328" s="212"/>
      <c r="AB328" s="207"/>
      <c r="AC328" s="207"/>
      <c r="AD328" s="207"/>
      <c r="AE328" s="207"/>
      <c r="AF328" s="207"/>
      <c r="AG328" s="207"/>
      <c r="AH328" s="207"/>
      <c r="AI328" s="207"/>
      <c r="AJ328" s="207"/>
      <c r="AK328" s="207"/>
      <c r="AL328" s="207"/>
      <c r="AM328" s="207"/>
      <c r="AN328" s="207"/>
      <c r="AO328" s="207"/>
      <c r="AT328" s="207"/>
      <c r="AV328" s="207"/>
    </row>
    <row r="329" spans="1:48">
      <c r="A329" s="213"/>
      <c r="B329" s="212"/>
      <c r="C329" s="212"/>
      <c r="D329" s="212"/>
      <c r="E329" s="212"/>
      <c r="F329" s="212"/>
      <c r="G329" s="212"/>
      <c r="H329" s="212"/>
      <c r="I329" s="212"/>
      <c r="J329" s="212"/>
      <c r="K329" s="212"/>
      <c r="L329" s="212"/>
      <c r="M329" s="212"/>
      <c r="N329" s="212"/>
      <c r="O329" s="212"/>
      <c r="P329" s="212"/>
      <c r="Q329" s="212"/>
      <c r="R329" s="212"/>
      <c r="S329" s="212"/>
      <c r="T329" s="212"/>
      <c r="U329" s="212"/>
      <c r="V329" s="212"/>
      <c r="W329" s="212"/>
      <c r="X329" s="212"/>
      <c r="Y329" s="212"/>
      <c r="Z329" s="212"/>
      <c r="AA329" s="212"/>
      <c r="AB329" s="207"/>
      <c r="AC329" s="207"/>
      <c r="AD329" s="207"/>
      <c r="AE329" s="207"/>
      <c r="AF329" s="207"/>
      <c r="AG329" s="207"/>
      <c r="AH329" s="207"/>
      <c r="AI329" s="207"/>
      <c r="AJ329" s="207"/>
      <c r="AK329" s="207"/>
      <c r="AL329" s="207"/>
      <c r="AM329" s="207"/>
      <c r="AN329" s="207"/>
      <c r="AO329" s="207"/>
      <c r="AT329" s="207"/>
      <c r="AV329" s="207"/>
    </row>
    <row r="330" spans="1:48">
      <c r="A330" s="213"/>
      <c r="B330" s="212"/>
      <c r="C330" s="212"/>
      <c r="D330" s="212"/>
      <c r="E330" s="212"/>
      <c r="F330" s="212"/>
      <c r="G330" s="212"/>
      <c r="H330" s="212"/>
      <c r="I330" s="212"/>
      <c r="J330" s="212"/>
      <c r="K330" s="212"/>
      <c r="L330" s="212"/>
      <c r="M330" s="212"/>
      <c r="N330" s="212"/>
      <c r="O330" s="212"/>
      <c r="P330" s="212"/>
      <c r="Q330" s="212"/>
      <c r="R330" s="212"/>
      <c r="S330" s="212"/>
      <c r="T330" s="212"/>
      <c r="U330" s="212"/>
      <c r="V330" s="212"/>
      <c r="W330" s="212"/>
      <c r="X330" s="212"/>
      <c r="Y330" s="212"/>
      <c r="Z330" s="212"/>
      <c r="AA330" s="212"/>
      <c r="AB330" s="207"/>
      <c r="AC330" s="207"/>
      <c r="AD330" s="207"/>
      <c r="AE330" s="207"/>
      <c r="AF330" s="207"/>
      <c r="AG330" s="207"/>
      <c r="AH330" s="207"/>
      <c r="AI330" s="207"/>
      <c r="AJ330" s="207"/>
      <c r="AK330" s="207"/>
      <c r="AL330" s="207"/>
      <c r="AM330" s="207"/>
      <c r="AN330" s="207"/>
      <c r="AO330" s="207"/>
      <c r="AT330" s="207"/>
      <c r="AV330" s="207"/>
    </row>
    <row r="331" spans="1:48">
      <c r="A331" s="213"/>
      <c r="B331" s="212"/>
      <c r="C331" s="212"/>
      <c r="D331" s="212"/>
      <c r="E331" s="212"/>
      <c r="F331" s="212"/>
      <c r="G331" s="212"/>
      <c r="H331" s="212"/>
      <c r="I331" s="212"/>
      <c r="J331" s="212"/>
      <c r="K331" s="212"/>
      <c r="L331" s="212"/>
      <c r="M331" s="212"/>
      <c r="N331" s="212"/>
      <c r="O331" s="212"/>
      <c r="P331" s="212"/>
      <c r="Q331" s="212"/>
      <c r="R331" s="212"/>
      <c r="S331" s="212"/>
      <c r="T331" s="212"/>
      <c r="U331" s="212"/>
      <c r="V331" s="212"/>
      <c r="W331" s="212"/>
      <c r="X331" s="212"/>
      <c r="Y331" s="212"/>
      <c r="Z331" s="212"/>
      <c r="AA331" s="212"/>
      <c r="AB331" s="207"/>
      <c r="AC331" s="207"/>
      <c r="AD331" s="207"/>
      <c r="AE331" s="207"/>
      <c r="AF331" s="207"/>
      <c r="AG331" s="207"/>
      <c r="AH331" s="207"/>
      <c r="AI331" s="207"/>
      <c r="AJ331" s="207"/>
      <c r="AK331" s="207"/>
      <c r="AL331" s="207"/>
      <c r="AM331" s="207"/>
      <c r="AN331" s="207"/>
      <c r="AO331" s="207"/>
      <c r="AT331" s="207"/>
      <c r="AV331" s="207"/>
    </row>
    <row r="332" spans="1:48">
      <c r="A332" s="213"/>
      <c r="B332" s="212"/>
      <c r="C332" s="212"/>
      <c r="D332" s="212"/>
      <c r="E332" s="212"/>
      <c r="F332" s="212"/>
      <c r="G332" s="212"/>
      <c r="H332" s="212"/>
      <c r="I332" s="212"/>
      <c r="J332" s="212"/>
      <c r="K332" s="212"/>
      <c r="L332" s="212"/>
      <c r="M332" s="212"/>
      <c r="N332" s="212"/>
      <c r="O332" s="212"/>
      <c r="P332" s="212"/>
      <c r="Q332" s="212"/>
      <c r="R332" s="212"/>
      <c r="S332" s="212"/>
      <c r="T332" s="212"/>
      <c r="U332" s="212"/>
      <c r="V332" s="212"/>
      <c r="W332" s="212"/>
      <c r="X332" s="212"/>
      <c r="Y332" s="212"/>
      <c r="Z332" s="212"/>
      <c r="AA332" s="212"/>
      <c r="AB332" s="207"/>
      <c r="AC332" s="207"/>
      <c r="AD332" s="207"/>
      <c r="AE332" s="207"/>
      <c r="AF332" s="207"/>
      <c r="AG332" s="207"/>
      <c r="AH332" s="207"/>
      <c r="AI332" s="207"/>
      <c r="AJ332" s="207"/>
      <c r="AK332" s="207"/>
      <c r="AL332" s="207"/>
      <c r="AM332" s="207"/>
      <c r="AN332" s="207"/>
      <c r="AO332" s="207"/>
      <c r="AT332" s="207"/>
      <c r="AV332" s="207"/>
    </row>
    <row r="333" spans="1:48">
      <c r="A333" s="213"/>
      <c r="B333" s="212"/>
      <c r="C333" s="212"/>
      <c r="D333" s="212"/>
      <c r="E333" s="212"/>
      <c r="F333" s="212"/>
      <c r="G333" s="212"/>
      <c r="H333" s="212"/>
      <c r="I333" s="212"/>
      <c r="J333" s="212"/>
      <c r="K333" s="212"/>
      <c r="L333" s="212"/>
      <c r="M333" s="212"/>
      <c r="N333" s="212"/>
      <c r="O333" s="212"/>
      <c r="P333" s="212"/>
      <c r="Q333" s="212"/>
      <c r="R333" s="212"/>
      <c r="S333" s="212"/>
      <c r="T333" s="212"/>
      <c r="U333" s="212"/>
      <c r="V333" s="212"/>
      <c r="W333" s="212"/>
      <c r="X333" s="212"/>
      <c r="Y333" s="212"/>
      <c r="Z333" s="212"/>
      <c r="AA333" s="212"/>
      <c r="AB333" s="207"/>
      <c r="AC333" s="207"/>
      <c r="AD333" s="207"/>
      <c r="AE333" s="207"/>
      <c r="AF333" s="207"/>
      <c r="AG333" s="207"/>
      <c r="AH333" s="207"/>
      <c r="AI333" s="207"/>
      <c r="AJ333" s="207"/>
      <c r="AK333" s="207"/>
      <c r="AL333" s="207"/>
      <c r="AM333" s="207"/>
      <c r="AN333" s="207"/>
      <c r="AO333" s="207"/>
      <c r="AT333" s="207"/>
      <c r="AV333" s="207"/>
    </row>
    <row r="334" spans="1:48">
      <c r="A334" s="213"/>
      <c r="B334" s="212"/>
      <c r="C334" s="212"/>
      <c r="D334" s="212"/>
      <c r="E334" s="212"/>
      <c r="F334" s="212"/>
      <c r="G334" s="212"/>
      <c r="H334" s="212"/>
      <c r="I334" s="212"/>
      <c r="J334" s="212"/>
      <c r="K334" s="212"/>
      <c r="L334" s="212"/>
      <c r="M334" s="212"/>
      <c r="N334" s="212"/>
      <c r="O334" s="212"/>
      <c r="P334" s="212"/>
      <c r="Q334" s="212"/>
      <c r="R334" s="212"/>
      <c r="S334" s="212"/>
      <c r="T334" s="212"/>
      <c r="U334" s="212"/>
      <c r="V334" s="212"/>
      <c r="W334" s="212"/>
      <c r="X334" s="212"/>
      <c r="Y334" s="212"/>
      <c r="Z334" s="212"/>
      <c r="AA334" s="212"/>
      <c r="AB334" s="207"/>
      <c r="AC334" s="207"/>
      <c r="AD334" s="207"/>
      <c r="AE334" s="207"/>
      <c r="AF334" s="207"/>
      <c r="AG334" s="207"/>
      <c r="AH334" s="207"/>
      <c r="AI334" s="207"/>
      <c r="AJ334" s="207"/>
      <c r="AK334" s="207"/>
      <c r="AL334" s="207"/>
      <c r="AM334" s="207"/>
      <c r="AN334" s="207"/>
      <c r="AO334" s="207"/>
      <c r="AT334" s="207"/>
      <c r="AV334" s="207"/>
    </row>
    <row r="335" spans="1:48">
      <c r="A335" s="213"/>
      <c r="B335" s="212"/>
      <c r="C335" s="212"/>
      <c r="D335" s="212"/>
      <c r="E335" s="212"/>
      <c r="F335" s="212"/>
      <c r="G335" s="212"/>
      <c r="H335" s="212"/>
      <c r="I335" s="212"/>
      <c r="J335" s="212"/>
      <c r="K335" s="212"/>
      <c r="L335" s="212"/>
      <c r="M335" s="212"/>
      <c r="N335" s="212"/>
      <c r="O335" s="212"/>
      <c r="P335" s="212"/>
      <c r="Q335" s="212"/>
      <c r="R335" s="212"/>
      <c r="S335" s="212"/>
      <c r="T335" s="212"/>
      <c r="U335" s="212"/>
      <c r="V335" s="212"/>
      <c r="W335" s="212"/>
      <c r="X335" s="212"/>
      <c r="Y335" s="212"/>
      <c r="Z335" s="212"/>
      <c r="AA335" s="212"/>
      <c r="AB335" s="207"/>
      <c r="AC335" s="207"/>
      <c r="AD335" s="207"/>
      <c r="AE335" s="207"/>
      <c r="AF335" s="207"/>
      <c r="AG335" s="207"/>
      <c r="AH335" s="207"/>
      <c r="AI335" s="207"/>
      <c r="AJ335" s="207"/>
      <c r="AK335" s="207"/>
      <c r="AL335" s="207"/>
      <c r="AM335" s="207"/>
      <c r="AN335" s="207"/>
      <c r="AO335" s="207"/>
      <c r="AT335" s="207"/>
      <c r="AV335" s="207"/>
    </row>
    <row r="336" spans="1:48">
      <c r="A336" s="213"/>
      <c r="B336" s="212"/>
      <c r="C336" s="212"/>
      <c r="D336" s="212"/>
      <c r="E336" s="212"/>
      <c r="F336" s="212"/>
      <c r="G336" s="212"/>
      <c r="H336" s="212"/>
      <c r="I336" s="212"/>
      <c r="J336" s="212"/>
      <c r="K336" s="212"/>
      <c r="L336" s="212"/>
      <c r="M336" s="212"/>
      <c r="N336" s="212"/>
      <c r="O336" s="212"/>
      <c r="P336" s="212"/>
      <c r="Q336" s="212"/>
      <c r="R336" s="212"/>
      <c r="S336" s="212"/>
      <c r="T336" s="212"/>
      <c r="U336" s="212"/>
      <c r="V336" s="212"/>
      <c r="W336" s="212"/>
      <c r="X336" s="212"/>
      <c r="Y336" s="212"/>
      <c r="Z336" s="212"/>
      <c r="AA336" s="212"/>
      <c r="AB336" s="207"/>
      <c r="AC336" s="207"/>
      <c r="AD336" s="207"/>
      <c r="AE336" s="207"/>
      <c r="AF336" s="207"/>
      <c r="AG336" s="207"/>
      <c r="AH336" s="207"/>
      <c r="AI336" s="207"/>
      <c r="AJ336" s="207"/>
      <c r="AK336" s="207"/>
      <c r="AL336" s="207"/>
      <c r="AM336" s="207"/>
      <c r="AN336" s="207"/>
      <c r="AO336" s="207"/>
      <c r="AT336" s="207"/>
      <c r="AV336" s="207"/>
    </row>
    <row r="337" spans="1:48">
      <c r="A337" s="213"/>
      <c r="B337" s="212"/>
      <c r="C337" s="212"/>
      <c r="D337" s="212"/>
      <c r="E337" s="212"/>
      <c r="F337" s="212"/>
      <c r="G337" s="212"/>
      <c r="H337" s="212"/>
      <c r="I337" s="212"/>
      <c r="J337" s="212"/>
      <c r="K337" s="212"/>
      <c r="L337" s="212"/>
      <c r="M337" s="212"/>
      <c r="N337" s="212"/>
      <c r="O337" s="212"/>
      <c r="P337" s="212"/>
      <c r="Q337" s="212"/>
      <c r="R337" s="212"/>
      <c r="S337" s="212"/>
      <c r="T337" s="212"/>
      <c r="U337" s="212"/>
      <c r="V337" s="212"/>
      <c r="W337" s="212"/>
      <c r="X337" s="212"/>
      <c r="Y337" s="212"/>
      <c r="Z337" s="212"/>
      <c r="AA337" s="212"/>
      <c r="AB337" s="207"/>
      <c r="AC337" s="207"/>
      <c r="AD337" s="207"/>
      <c r="AE337" s="207"/>
      <c r="AF337" s="207"/>
      <c r="AG337" s="207"/>
      <c r="AH337" s="207"/>
      <c r="AI337" s="207"/>
      <c r="AJ337" s="207"/>
      <c r="AK337" s="207"/>
      <c r="AL337" s="207"/>
      <c r="AM337" s="207"/>
      <c r="AN337" s="207"/>
      <c r="AO337" s="207"/>
      <c r="AT337" s="207"/>
      <c r="AV337" s="207"/>
    </row>
    <row r="338" spans="1:48">
      <c r="A338" s="213"/>
      <c r="B338" s="212"/>
      <c r="C338" s="212"/>
      <c r="D338" s="212"/>
      <c r="E338" s="212"/>
      <c r="F338" s="212"/>
      <c r="G338" s="212"/>
      <c r="H338" s="212"/>
      <c r="I338" s="212"/>
      <c r="J338" s="212"/>
      <c r="K338" s="212"/>
      <c r="L338" s="212"/>
      <c r="M338" s="212"/>
      <c r="N338" s="212"/>
      <c r="O338" s="212"/>
      <c r="P338" s="212"/>
      <c r="Q338" s="212"/>
      <c r="R338" s="212"/>
      <c r="S338" s="212"/>
      <c r="T338" s="212"/>
      <c r="U338" s="212"/>
      <c r="V338" s="212"/>
      <c r="W338" s="212"/>
      <c r="X338" s="212"/>
      <c r="Y338" s="212"/>
      <c r="Z338" s="212"/>
      <c r="AA338" s="212"/>
      <c r="AB338" s="207"/>
      <c r="AC338" s="207"/>
      <c r="AD338" s="207"/>
      <c r="AE338" s="207"/>
      <c r="AF338" s="207"/>
      <c r="AG338" s="207"/>
      <c r="AH338" s="207"/>
      <c r="AI338" s="207"/>
      <c r="AJ338" s="207"/>
      <c r="AK338" s="207"/>
      <c r="AL338" s="207"/>
      <c r="AM338" s="207"/>
      <c r="AN338" s="207"/>
      <c r="AO338" s="207"/>
      <c r="AT338" s="207"/>
      <c r="AV338" s="207"/>
    </row>
    <row r="339" spans="1:48">
      <c r="A339" s="213"/>
      <c r="B339" s="212"/>
      <c r="C339" s="212"/>
      <c r="D339" s="212"/>
      <c r="E339" s="212"/>
      <c r="F339" s="212"/>
      <c r="G339" s="212"/>
      <c r="H339" s="212"/>
      <c r="I339" s="212"/>
      <c r="J339" s="212"/>
      <c r="K339" s="212"/>
      <c r="L339" s="212"/>
      <c r="M339" s="212"/>
      <c r="N339" s="212"/>
      <c r="O339" s="212"/>
      <c r="P339" s="212"/>
      <c r="Q339" s="212"/>
      <c r="R339" s="212"/>
      <c r="S339" s="212"/>
      <c r="T339" s="212"/>
      <c r="U339" s="212"/>
      <c r="V339" s="212"/>
      <c r="W339" s="212"/>
      <c r="X339" s="212"/>
      <c r="Y339" s="212"/>
      <c r="Z339" s="212"/>
      <c r="AA339" s="212"/>
      <c r="AB339" s="207"/>
      <c r="AC339" s="207"/>
      <c r="AD339" s="207"/>
      <c r="AE339" s="207"/>
      <c r="AF339" s="207"/>
      <c r="AG339" s="207"/>
      <c r="AH339" s="207"/>
      <c r="AI339" s="207"/>
      <c r="AJ339" s="207"/>
      <c r="AK339" s="207"/>
      <c r="AL339" s="207"/>
      <c r="AM339" s="207"/>
      <c r="AN339" s="207"/>
      <c r="AO339" s="207"/>
      <c r="AT339" s="207"/>
      <c r="AV339" s="207"/>
    </row>
    <row r="340" spans="1:48">
      <c r="A340" s="213"/>
      <c r="B340" s="212"/>
      <c r="C340" s="212"/>
      <c r="D340" s="212"/>
      <c r="E340" s="212"/>
      <c r="F340" s="212"/>
      <c r="G340" s="212"/>
      <c r="H340" s="212"/>
      <c r="I340" s="212"/>
      <c r="J340" s="212"/>
      <c r="K340" s="212"/>
      <c r="L340" s="212"/>
      <c r="M340" s="212"/>
      <c r="N340" s="212"/>
      <c r="O340" s="212"/>
      <c r="P340" s="212"/>
      <c r="Q340" s="212"/>
      <c r="R340" s="212"/>
      <c r="S340" s="212"/>
      <c r="T340" s="212"/>
      <c r="U340" s="212"/>
      <c r="V340" s="212"/>
      <c r="W340" s="212"/>
      <c r="X340" s="212"/>
      <c r="Y340" s="212"/>
      <c r="Z340" s="212"/>
      <c r="AA340" s="212"/>
      <c r="AB340" s="207"/>
      <c r="AC340" s="207"/>
      <c r="AD340" s="207"/>
      <c r="AE340" s="207"/>
      <c r="AF340" s="207"/>
      <c r="AG340" s="207"/>
      <c r="AH340" s="207"/>
      <c r="AI340" s="207"/>
      <c r="AJ340" s="207"/>
      <c r="AK340" s="207"/>
      <c r="AL340" s="207"/>
      <c r="AM340" s="207"/>
      <c r="AN340" s="207"/>
      <c r="AO340" s="207"/>
      <c r="AT340" s="207"/>
      <c r="AV340" s="207"/>
    </row>
    <row r="341" spans="1:48">
      <c r="A341" s="213"/>
      <c r="B341" s="212"/>
      <c r="C341" s="212"/>
      <c r="D341" s="212"/>
      <c r="E341" s="212"/>
      <c r="F341" s="212"/>
      <c r="G341" s="212"/>
      <c r="H341" s="212"/>
      <c r="I341" s="212"/>
      <c r="J341" s="212"/>
      <c r="K341" s="212"/>
      <c r="L341" s="212"/>
      <c r="M341" s="212"/>
      <c r="N341" s="212"/>
      <c r="O341" s="212"/>
      <c r="P341" s="212"/>
      <c r="Q341" s="212"/>
      <c r="R341" s="212"/>
      <c r="S341" s="212"/>
      <c r="T341" s="212"/>
      <c r="U341" s="212"/>
      <c r="V341" s="212"/>
      <c r="W341" s="212"/>
      <c r="X341" s="212"/>
      <c r="Y341" s="212"/>
      <c r="Z341" s="212"/>
      <c r="AA341" s="212"/>
      <c r="AB341" s="207"/>
      <c r="AC341" s="207"/>
      <c r="AE341" s="207"/>
      <c r="AF341" s="207"/>
      <c r="AG341" s="207"/>
      <c r="AH341" s="207"/>
      <c r="AI341" s="207"/>
      <c r="AJ341" s="207"/>
      <c r="AK341" s="207"/>
      <c r="AL341" s="207"/>
      <c r="AM341" s="207"/>
      <c r="AN341" s="207"/>
      <c r="AO341" s="207"/>
      <c r="AT341" s="207"/>
      <c r="AV341" s="207"/>
    </row>
    <row r="342" spans="1:48">
      <c r="A342" s="213"/>
      <c r="B342" s="212"/>
      <c r="C342" s="212"/>
      <c r="D342" s="212"/>
      <c r="E342" s="212"/>
      <c r="F342" s="212"/>
      <c r="G342" s="212"/>
      <c r="H342" s="212"/>
      <c r="I342" s="212"/>
      <c r="J342" s="212"/>
      <c r="K342" s="212"/>
      <c r="L342" s="212"/>
      <c r="M342" s="212"/>
      <c r="N342" s="212"/>
      <c r="O342" s="212"/>
      <c r="P342" s="212"/>
      <c r="Q342" s="212"/>
      <c r="R342" s="212"/>
      <c r="S342" s="212"/>
      <c r="T342" s="212"/>
      <c r="U342" s="212"/>
      <c r="V342" s="212"/>
      <c r="W342" s="212"/>
      <c r="X342" s="212"/>
      <c r="Y342" s="212"/>
      <c r="Z342" s="212"/>
      <c r="AA342" s="212"/>
      <c r="AB342" s="207"/>
      <c r="AC342" s="207"/>
      <c r="AD342" s="207"/>
      <c r="AE342" s="207"/>
      <c r="AF342" s="207"/>
      <c r="AG342" s="207"/>
      <c r="AH342" s="207"/>
      <c r="AI342" s="207"/>
      <c r="AJ342" s="207"/>
      <c r="AK342" s="207"/>
      <c r="AL342" s="207"/>
      <c r="AM342" s="207"/>
      <c r="AN342" s="207"/>
      <c r="AO342" s="207"/>
      <c r="AT342" s="207"/>
      <c r="AV342" s="207"/>
    </row>
    <row r="343" spans="1:48">
      <c r="A343" s="213"/>
      <c r="B343" s="212"/>
      <c r="C343" s="212"/>
      <c r="D343" s="212"/>
      <c r="E343" s="212"/>
      <c r="F343" s="212"/>
      <c r="G343" s="212"/>
      <c r="H343" s="212"/>
      <c r="I343" s="212"/>
      <c r="J343" s="212"/>
      <c r="K343" s="212"/>
      <c r="L343" s="212"/>
      <c r="M343" s="212"/>
      <c r="N343" s="212"/>
      <c r="O343" s="212"/>
      <c r="P343" s="212"/>
      <c r="Q343" s="212"/>
      <c r="R343" s="212"/>
      <c r="S343" s="212"/>
      <c r="T343" s="212"/>
      <c r="U343" s="212"/>
      <c r="V343" s="212"/>
      <c r="W343" s="212"/>
      <c r="X343" s="212"/>
      <c r="Y343" s="212"/>
      <c r="Z343" s="212"/>
      <c r="AA343" s="212"/>
      <c r="AB343" s="207"/>
      <c r="AC343" s="207"/>
      <c r="AD343" s="207"/>
      <c r="AE343" s="207"/>
      <c r="AF343" s="207"/>
      <c r="AG343" s="207"/>
      <c r="AH343" s="207"/>
      <c r="AI343" s="207"/>
      <c r="AJ343" s="207"/>
      <c r="AK343" s="207"/>
      <c r="AL343" s="207"/>
      <c r="AM343" s="207"/>
      <c r="AN343" s="207"/>
      <c r="AO343" s="207"/>
      <c r="AT343" s="207"/>
      <c r="AV343" s="207"/>
    </row>
    <row r="344" spans="1:48">
      <c r="A344" s="213"/>
      <c r="B344" s="212"/>
      <c r="C344" s="212"/>
      <c r="D344" s="212"/>
      <c r="E344" s="212"/>
      <c r="F344" s="212"/>
      <c r="G344" s="212"/>
      <c r="H344" s="212"/>
      <c r="I344" s="212"/>
      <c r="J344" s="212"/>
      <c r="K344" s="212"/>
      <c r="L344" s="212"/>
      <c r="M344" s="212"/>
      <c r="N344" s="212"/>
      <c r="O344" s="212"/>
      <c r="P344" s="212"/>
      <c r="Q344" s="212"/>
      <c r="R344" s="212"/>
      <c r="S344" s="212"/>
      <c r="T344" s="212"/>
      <c r="U344" s="212"/>
      <c r="V344" s="212"/>
      <c r="W344" s="212"/>
      <c r="X344" s="212"/>
      <c r="Y344" s="212"/>
      <c r="Z344" s="212"/>
      <c r="AA344" s="212"/>
      <c r="AB344" s="207"/>
      <c r="AC344" s="207"/>
      <c r="AD344" s="207"/>
      <c r="AE344" s="207"/>
      <c r="AF344" s="207"/>
      <c r="AG344" s="207"/>
      <c r="AH344" s="207"/>
      <c r="AI344" s="207"/>
      <c r="AJ344" s="207"/>
      <c r="AK344" s="207"/>
      <c r="AL344" s="207"/>
      <c r="AM344" s="207"/>
      <c r="AN344" s="207"/>
      <c r="AO344" s="207"/>
      <c r="AT344" s="207"/>
      <c r="AV344" s="207"/>
    </row>
    <row r="345" spans="1:48">
      <c r="A345" s="213"/>
      <c r="B345" s="212"/>
      <c r="C345" s="212"/>
      <c r="D345" s="212"/>
      <c r="E345" s="212"/>
      <c r="F345" s="212"/>
      <c r="G345" s="212"/>
      <c r="H345" s="212"/>
      <c r="I345" s="212"/>
      <c r="J345" s="212"/>
      <c r="K345" s="212"/>
      <c r="L345" s="212"/>
      <c r="M345" s="212"/>
      <c r="N345" s="212"/>
      <c r="O345" s="212"/>
      <c r="P345" s="212"/>
      <c r="Q345" s="212"/>
      <c r="R345" s="212"/>
      <c r="S345" s="212"/>
      <c r="T345" s="212"/>
      <c r="U345" s="212"/>
      <c r="V345" s="212"/>
      <c r="W345" s="212"/>
      <c r="X345" s="212"/>
      <c r="Y345" s="212"/>
      <c r="Z345" s="212"/>
      <c r="AA345" s="212"/>
      <c r="AB345" s="207"/>
      <c r="AC345" s="207"/>
      <c r="AD345" s="207"/>
      <c r="AE345" s="207"/>
      <c r="AF345" s="207"/>
      <c r="AG345" s="207"/>
      <c r="AH345" s="207"/>
      <c r="AI345" s="207"/>
      <c r="AJ345" s="207"/>
      <c r="AK345" s="207"/>
      <c r="AL345" s="207"/>
      <c r="AM345" s="207"/>
      <c r="AN345" s="207"/>
      <c r="AO345" s="207"/>
      <c r="AT345" s="207"/>
      <c r="AV345" s="207"/>
    </row>
    <row r="346" spans="1:48">
      <c r="A346" s="213"/>
      <c r="B346" s="212"/>
      <c r="C346" s="212"/>
      <c r="D346" s="212"/>
      <c r="E346" s="212"/>
      <c r="F346" s="212"/>
      <c r="G346" s="212"/>
      <c r="H346" s="212"/>
      <c r="I346" s="212"/>
      <c r="J346" s="212"/>
      <c r="K346" s="212"/>
      <c r="L346" s="212"/>
      <c r="M346" s="212"/>
      <c r="N346" s="212"/>
      <c r="O346" s="212"/>
      <c r="P346" s="212"/>
      <c r="Q346" s="212"/>
      <c r="R346" s="212"/>
      <c r="S346" s="212"/>
      <c r="T346" s="212"/>
      <c r="U346" s="212"/>
      <c r="V346" s="212"/>
      <c r="W346" s="212"/>
      <c r="X346" s="212"/>
      <c r="Y346" s="212"/>
      <c r="Z346" s="212"/>
      <c r="AA346" s="212"/>
      <c r="AB346" s="207"/>
      <c r="AC346" s="207"/>
      <c r="AD346" s="207"/>
      <c r="AE346" s="207"/>
      <c r="AF346" s="207"/>
      <c r="AG346" s="207"/>
      <c r="AH346" s="207"/>
      <c r="AI346" s="207"/>
      <c r="AJ346" s="207"/>
      <c r="AK346" s="207"/>
      <c r="AL346" s="207"/>
      <c r="AM346" s="207"/>
      <c r="AN346" s="207"/>
      <c r="AO346" s="207"/>
      <c r="AT346" s="207"/>
      <c r="AV346" s="207"/>
    </row>
    <row r="347" spans="1:48">
      <c r="A347" s="213"/>
      <c r="B347" s="212"/>
      <c r="C347" s="212"/>
      <c r="D347" s="212"/>
      <c r="E347" s="212"/>
      <c r="F347" s="212"/>
      <c r="G347" s="212"/>
      <c r="H347" s="212"/>
      <c r="I347" s="212"/>
      <c r="J347" s="212"/>
      <c r="K347" s="212"/>
      <c r="L347" s="212"/>
      <c r="M347" s="212"/>
      <c r="N347" s="212"/>
      <c r="O347" s="212"/>
      <c r="P347" s="212"/>
      <c r="Q347" s="212"/>
      <c r="R347" s="212"/>
      <c r="S347" s="212"/>
      <c r="T347" s="212"/>
      <c r="U347" s="212"/>
      <c r="V347" s="212"/>
      <c r="W347" s="212"/>
      <c r="X347" s="212"/>
      <c r="Y347" s="212"/>
      <c r="Z347" s="212"/>
      <c r="AA347" s="212"/>
      <c r="AB347" s="207"/>
      <c r="AC347" s="207"/>
      <c r="AD347" s="207"/>
      <c r="AE347" s="207"/>
      <c r="AF347" s="207"/>
      <c r="AG347" s="207"/>
      <c r="AH347" s="207"/>
      <c r="AI347" s="207"/>
      <c r="AJ347" s="207"/>
      <c r="AK347" s="207"/>
      <c r="AL347" s="207"/>
      <c r="AM347" s="207"/>
      <c r="AN347" s="207"/>
      <c r="AO347" s="207"/>
      <c r="AT347" s="207"/>
      <c r="AV347" s="207"/>
    </row>
    <row r="348" spans="1:48">
      <c r="A348" s="213"/>
      <c r="B348" s="212"/>
      <c r="C348" s="212"/>
      <c r="D348" s="212"/>
      <c r="E348" s="212"/>
      <c r="F348" s="212"/>
      <c r="G348" s="212"/>
      <c r="H348" s="212"/>
      <c r="I348" s="212"/>
      <c r="J348" s="212"/>
      <c r="K348" s="212"/>
      <c r="L348" s="212"/>
      <c r="M348" s="212"/>
      <c r="N348" s="212"/>
      <c r="O348" s="212"/>
      <c r="P348" s="212"/>
      <c r="Q348" s="212"/>
      <c r="R348" s="212"/>
      <c r="S348" s="212"/>
      <c r="T348" s="212"/>
      <c r="U348" s="212"/>
      <c r="V348" s="212"/>
      <c r="W348" s="212"/>
      <c r="X348" s="212"/>
      <c r="Y348" s="212"/>
      <c r="Z348" s="212"/>
      <c r="AA348" s="212"/>
      <c r="AB348" s="207"/>
      <c r="AC348" s="207"/>
      <c r="AD348" s="207"/>
      <c r="AE348" s="207"/>
      <c r="AF348" s="207"/>
      <c r="AG348" s="207"/>
      <c r="AH348" s="207"/>
      <c r="AI348" s="207"/>
      <c r="AJ348" s="207"/>
      <c r="AK348" s="207"/>
      <c r="AL348" s="207"/>
      <c r="AM348" s="207"/>
      <c r="AN348" s="207"/>
      <c r="AO348" s="207"/>
      <c r="AT348" s="207"/>
      <c r="AV348" s="207"/>
    </row>
    <row r="349" spans="1:48">
      <c r="A349" s="213"/>
      <c r="B349" s="212"/>
      <c r="C349" s="212"/>
      <c r="D349" s="212"/>
      <c r="E349" s="212"/>
      <c r="F349" s="212"/>
      <c r="G349" s="212"/>
      <c r="H349" s="212"/>
      <c r="I349" s="212"/>
      <c r="J349" s="212"/>
      <c r="K349" s="212"/>
      <c r="L349" s="212"/>
      <c r="M349" s="212"/>
      <c r="N349" s="212"/>
      <c r="O349" s="212"/>
      <c r="P349" s="212"/>
      <c r="Q349" s="212"/>
      <c r="R349" s="212"/>
      <c r="S349" s="212"/>
      <c r="T349" s="212"/>
      <c r="U349" s="212"/>
      <c r="V349" s="212"/>
      <c r="W349" s="212"/>
      <c r="X349" s="212"/>
      <c r="Y349" s="212"/>
      <c r="Z349" s="212"/>
      <c r="AA349" s="212"/>
      <c r="AB349" s="207"/>
      <c r="AC349" s="207"/>
      <c r="AD349" s="207"/>
      <c r="AE349" s="207"/>
      <c r="AF349" s="207"/>
      <c r="AG349" s="207"/>
      <c r="AH349" s="207"/>
      <c r="AI349" s="207"/>
      <c r="AJ349" s="207"/>
      <c r="AK349" s="207"/>
      <c r="AL349" s="207"/>
      <c r="AM349" s="207"/>
      <c r="AN349" s="207"/>
      <c r="AO349" s="207"/>
      <c r="AT349" s="207"/>
      <c r="AV349" s="207"/>
    </row>
    <row r="350" spans="1:48">
      <c r="A350" s="213"/>
      <c r="B350" s="212"/>
      <c r="C350" s="212"/>
      <c r="D350" s="212"/>
      <c r="E350" s="212"/>
      <c r="F350" s="212"/>
      <c r="G350" s="212"/>
      <c r="H350" s="212"/>
      <c r="I350" s="212"/>
      <c r="J350" s="212"/>
      <c r="K350" s="212"/>
      <c r="L350" s="212"/>
      <c r="M350" s="212"/>
      <c r="N350" s="212"/>
      <c r="O350" s="212"/>
      <c r="P350" s="212"/>
      <c r="Q350" s="212"/>
      <c r="R350" s="212"/>
      <c r="S350" s="212"/>
      <c r="T350" s="212"/>
      <c r="U350" s="212"/>
      <c r="V350" s="212"/>
      <c r="W350" s="212"/>
      <c r="X350" s="212"/>
      <c r="Y350" s="212"/>
      <c r="Z350" s="212"/>
      <c r="AA350" s="212"/>
      <c r="AB350" s="207"/>
      <c r="AC350" s="207"/>
      <c r="AD350" s="207"/>
      <c r="AE350" s="207"/>
      <c r="AF350" s="207"/>
      <c r="AG350" s="207"/>
      <c r="AH350" s="207"/>
      <c r="AI350" s="207"/>
      <c r="AJ350" s="207"/>
      <c r="AK350" s="207"/>
      <c r="AL350" s="207"/>
      <c r="AM350" s="207"/>
      <c r="AN350" s="207"/>
      <c r="AO350" s="207"/>
      <c r="AT350" s="207"/>
      <c r="AV350" s="207"/>
    </row>
    <row r="351" spans="1:48">
      <c r="A351" s="213"/>
      <c r="B351" s="212"/>
      <c r="C351" s="212"/>
      <c r="D351" s="212"/>
      <c r="E351" s="212"/>
      <c r="F351" s="212"/>
      <c r="G351" s="212"/>
      <c r="H351" s="212"/>
      <c r="I351" s="212"/>
      <c r="J351" s="212"/>
      <c r="K351" s="212"/>
      <c r="L351" s="212"/>
      <c r="M351" s="212"/>
      <c r="N351" s="212"/>
      <c r="O351" s="212"/>
      <c r="P351" s="212"/>
      <c r="Q351" s="212"/>
      <c r="R351" s="212"/>
      <c r="S351" s="212"/>
      <c r="T351" s="212"/>
      <c r="U351" s="212"/>
      <c r="V351" s="212"/>
      <c r="W351" s="212"/>
      <c r="X351" s="212"/>
      <c r="Y351" s="212"/>
      <c r="Z351" s="212"/>
      <c r="AA351" s="212"/>
      <c r="AB351" s="207"/>
      <c r="AC351" s="207"/>
      <c r="AD351" s="207"/>
      <c r="AE351" s="207"/>
      <c r="AF351" s="207"/>
      <c r="AG351" s="207"/>
      <c r="AH351" s="207"/>
      <c r="AI351" s="207"/>
      <c r="AJ351" s="207"/>
      <c r="AK351" s="207"/>
      <c r="AL351" s="207"/>
      <c r="AM351" s="207"/>
      <c r="AN351" s="207"/>
      <c r="AO351" s="207"/>
      <c r="AT351" s="207"/>
      <c r="AV351" s="207"/>
    </row>
    <row r="352" spans="1:48">
      <c r="A352" s="213"/>
      <c r="B352" s="212"/>
      <c r="C352" s="212"/>
      <c r="D352" s="212"/>
      <c r="E352" s="212"/>
      <c r="F352" s="212"/>
      <c r="G352" s="212"/>
      <c r="H352" s="212"/>
      <c r="I352" s="212"/>
      <c r="J352" s="212"/>
      <c r="K352" s="212"/>
      <c r="L352" s="212"/>
      <c r="M352" s="212"/>
      <c r="N352" s="212"/>
      <c r="O352" s="212"/>
      <c r="P352" s="212"/>
      <c r="Q352" s="212"/>
      <c r="R352" s="212"/>
      <c r="S352" s="212"/>
      <c r="T352" s="212"/>
      <c r="U352" s="212"/>
      <c r="V352" s="212"/>
      <c r="W352" s="212"/>
      <c r="X352" s="212"/>
      <c r="Y352" s="212"/>
      <c r="Z352" s="212"/>
      <c r="AA352" s="212"/>
      <c r="AB352" s="207"/>
      <c r="AC352" s="207"/>
      <c r="AD352" s="207"/>
      <c r="AE352" s="207"/>
      <c r="AF352" s="207"/>
      <c r="AG352" s="207"/>
      <c r="AH352" s="207"/>
      <c r="AI352" s="207"/>
      <c r="AJ352" s="207"/>
      <c r="AK352" s="207"/>
      <c r="AL352" s="207"/>
      <c r="AM352" s="207"/>
      <c r="AN352" s="207"/>
      <c r="AO352" s="207"/>
      <c r="AT352" s="207"/>
      <c r="AV352" s="207"/>
    </row>
    <row r="353" spans="1:48">
      <c r="A353" s="213"/>
      <c r="B353" s="212"/>
      <c r="C353" s="212"/>
      <c r="D353" s="212"/>
      <c r="E353" s="212"/>
      <c r="F353" s="212"/>
      <c r="G353" s="212"/>
      <c r="H353" s="212"/>
      <c r="I353" s="212"/>
      <c r="J353" s="212"/>
      <c r="K353" s="212"/>
      <c r="L353" s="212"/>
      <c r="M353" s="212"/>
      <c r="N353" s="212"/>
      <c r="O353" s="212"/>
      <c r="P353" s="212"/>
      <c r="Q353" s="212"/>
      <c r="R353" s="212"/>
      <c r="S353" s="212"/>
      <c r="T353" s="212"/>
      <c r="U353" s="212"/>
      <c r="V353" s="212"/>
      <c r="W353" s="212"/>
      <c r="X353" s="212"/>
      <c r="Y353" s="212"/>
      <c r="Z353" s="212"/>
      <c r="AA353" s="212"/>
      <c r="AB353" s="207"/>
      <c r="AC353" s="207"/>
      <c r="AD353" s="207"/>
      <c r="AE353" s="207"/>
      <c r="AF353" s="207"/>
      <c r="AG353" s="207"/>
      <c r="AH353" s="207"/>
      <c r="AI353" s="207"/>
      <c r="AJ353" s="207"/>
      <c r="AK353" s="207"/>
      <c r="AL353" s="207"/>
      <c r="AM353" s="207"/>
      <c r="AN353" s="207"/>
      <c r="AO353" s="207"/>
      <c r="AT353" s="207"/>
      <c r="AV353" s="207"/>
    </row>
    <row r="354" spans="1:48">
      <c r="A354" s="213"/>
      <c r="B354" s="212"/>
      <c r="C354" s="212"/>
      <c r="D354" s="212"/>
      <c r="E354" s="212"/>
      <c r="F354" s="212"/>
      <c r="G354" s="212"/>
      <c r="H354" s="212"/>
      <c r="I354" s="212"/>
      <c r="J354" s="212"/>
      <c r="K354" s="212"/>
      <c r="L354" s="212"/>
      <c r="M354" s="212"/>
      <c r="N354" s="212"/>
      <c r="O354" s="212"/>
      <c r="P354" s="212"/>
      <c r="Q354" s="212"/>
      <c r="R354" s="212"/>
      <c r="S354" s="212"/>
      <c r="T354" s="212"/>
      <c r="U354" s="212"/>
      <c r="V354" s="212"/>
      <c r="W354" s="212"/>
      <c r="X354" s="212"/>
      <c r="Y354" s="212"/>
      <c r="Z354" s="212"/>
      <c r="AA354" s="212"/>
      <c r="AB354" s="207"/>
      <c r="AC354" s="207"/>
      <c r="AD354" s="207"/>
      <c r="AE354" s="207"/>
      <c r="AF354" s="207"/>
      <c r="AG354" s="207"/>
      <c r="AH354" s="207"/>
      <c r="AI354" s="207"/>
      <c r="AJ354" s="207"/>
      <c r="AK354" s="207"/>
      <c r="AL354" s="207"/>
      <c r="AM354" s="207"/>
      <c r="AN354" s="207"/>
      <c r="AO354" s="207"/>
      <c r="AT354" s="207"/>
      <c r="AV354" s="207"/>
    </row>
    <row r="355" spans="1:48">
      <c r="A355" s="213"/>
      <c r="B355" s="212"/>
      <c r="C355" s="212"/>
      <c r="D355" s="212"/>
      <c r="E355" s="212"/>
      <c r="F355" s="212"/>
      <c r="G355" s="212"/>
      <c r="H355" s="212"/>
      <c r="I355" s="212"/>
      <c r="J355" s="212"/>
      <c r="K355" s="212"/>
      <c r="L355" s="212"/>
      <c r="M355" s="212"/>
      <c r="N355" s="212"/>
      <c r="O355" s="212"/>
      <c r="P355" s="212"/>
      <c r="Q355" s="212"/>
      <c r="R355" s="212"/>
      <c r="S355" s="212"/>
      <c r="T355" s="212"/>
      <c r="U355" s="212"/>
      <c r="V355" s="212"/>
      <c r="W355" s="212"/>
      <c r="X355" s="212"/>
      <c r="Y355" s="212"/>
      <c r="Z355" s="212"/>
      <c r="AA355" s="212"/>
      <c r="AB355" s="207"/>
      <c r="AC355" s="207"/>
      <c r="AD355" s="207"/>
      <c r="AE355" s="207"/>
      <c r="AF355" s="207"/>
      <c r="AG355" s="207"/>
      <c r="AH355" s="207"/>
      <c r="AI355" s="207"/>
      <c r="AJ355" s="207"/>
      <c r="AK355" s="207"/>
      <c r="AL355" s="207"/>
      <c r="AM355" s="207"/>
      <c r="AN355" s="207"/>
      <c r="AO355" s="207"/>
      <c r="AT355" s="207"/>
      <c r="AV355" s="207"/>
    </row>
    <row r="356" spans="1:48">
      <c r="A356" s="213"/>
      <c r="B356" s="212"/>
      <c r="C356" s="212"/>
      <c r="D356" s="212"/>
      <c r="E356" s="212"/>
      <c r="F356" s="212"/>
      <c r="G356" s="212"/>
      <c r="H356" s="212"/>
      <c r="I356" s="212"/>
      <c r="J356" s="212"/>
      <c r="K356" s="212"/>
      <c r="L356" s="212"/>
      <c r="M356" s="212"/>
      <c r="N356" s="212"/>
      <c r="O356" s="212"/>
      <c r="P356" s="212"/>
      <c r="Q356" s="212"/>
      <c r="R356" s="212"/>
      <c r="S356" s="212"/>
      <c r="T356" s="212"/>
      <c r="U356" s="212"/>
      <c r="V356" s="212"/>
      <c r="W356" s="212"/>
      <c r="X356" s="212"/>
      <c r="Y356" s="212"/>
      <c r="Z356" s="212"/>
      <c r="AA356" s="212"/>
      <c r="AB356" s="207"/>
      <c r="AC356" s="207"/>
      <c r="AD356" s="207"/>
      <c r="AE356" s="207"/>
      <c r="AF356" s="207"/>
      <c r="AG356" s="207"/>
      <c r="AH356" s="207"/>
      <c r="AI356" s="207"/>
      <c r="AJ356" s="207"/>
      <c r="AK356" s="207"/>
      <c r="AL356" s="207"/>
      <c r="AM356" s="207"/>
      <c r="AN356" s="207"/>
      <c r="AO356" s="207"/>
      <c r="AT356" s="207"/>
      <c r="AV356" s="207"/>
    </row>
    <row r="357" spans="1:48">
      <c r="A357" s="213"/>
      <c r="B357" s="212"/>
      <c r="C357" s="212"/>
      <c r="D357" s="212"/>
      <c r="E357" s="212"/>
      <c r="F357" s="212"/>
      <c r="G357" s="212"/>
      <c r="H357" s="212"/>
      <c r="I357" s="212"/>
      <c r="J357" s="212"/>
      <c r="K357" s="212"/>
      <c r="L357" s="212"/>
      <c r="M357" s="212"/>
      <c r="N357" s="212"/>
      <c r="O357" s="212"/>
      <c r="P357" s="212"/>
      <c r="Q357" s="212"/>
      <c r="R357" s="212"/>
      <c r="S357" s="212"/>
      <c r="T357" s="212"/>
      <c r="U357" s="212"/>
      <c r="V357" s="212"/>
      <c r="W357" s="212"/>
      <c r="X357" s="212"/>
      <c r="Y357" s="212"/>
      <c r="Z357" s="212"/>
      <c r="AA357" s="212"/>
      <c r="AB357" s="207"/>
      <c r="AC357" s="207"/>
      <c r="AD357" s="207"/>
      <c r="AE357" s="207"/>
      <c r="AF357" s="207"/>
      <c r="AG357" s="207"/>
      <c r="AH357" s="207"/>
      <c r="AI357" s="207"/>
      <c r="AJ357" s="207"/>
      <c r="AK357" s="207"/>
      <c r="AL357" s="207"/>
      <c r="AM357" s="207"/>
      <c r="AN357" s="207"/>
      <c r="AO357" s="207"/>
      <c r="AT357" s="207"/>
      <c r="AV357" s="207"/>
    </row>
    <row r="358" spans="1:48">
      <c r="A358" s="213"/>
      <c r="B358" s="213"/>
      <c r="C358" s="213"/>
      <c r="D358" s="213"/>
      <c r="E358" s="213"/>
      <c r="F358" s="213"/>
      <c r="G358" s="213"/>
      <c r="H358" s="213"/>
      <c r="I358" s="213"/>
      <c r="J358" s="213"/>
      <c r="K358" s="213"/>
      <c r="L358" s="213"/>
      <c r="M358" s="213"/>
      <c r="N358" s="213"/>
      <c r="O358" s="213"/>
      <c r="P358" s="213"/>
      <c r="Q358" s="213"/>
      <c r="R358" s="213"/>
      <c r="S358" s="213"/>
      <c r="T358" s="213"/>
      <c r="U358" s="213"/>
      <c r="V358" s="213"/>
      <c r="W358" s="212"/>
      <c r="X358" s="213"/>
      <c r="Y358" s="213"/>
      <c r="Z358" s="213"/>
      <c r="AA358" s="213"/>
      <c r="AB358" s="207"/>
      <c r="AC358" s="207"/>
      <c r="AD358" s="207"/>
      <c r="AE358" s="207"/>
      <c r="AF358" s="207"/>
      <c r="AG358" s="207"/>
      <c r="AH358" s="207"/>
      <c r="AI358" s="207"/>
      <c r="AJ358" s="207"/>
      <c r="AK358" s="207"/>
      <c r="AL358" s="207"/>
      <c r="AM358" s="207"/>
      <c r="AN358" s="207"/>
      <c r="AO358" s="207"/>
      <c r="AT358" s="207"/>
      <c r="AV358" s="207"/>
    </row>
    <row r="359" spans="1:48">
      <c r="A359" s="213"/>
      <c r="B359" s="213"/>
      <c r="C359" s="213"/>
      <c r="D359" s="213"/>
      <c r="E359" s="213"/>
      <c r="F359" s="213"/>
      <c r="G359" s="213"/>
      <c r="H359" s="213"/>
      <c r="I359" s="213"/>
      <c r="J359" s="213"/>
      <c r="K359" s="213"/>
      <c r="L359" s="213"/>
      <c r="M359" s="213"/>
      <c r="N359" s="213"/>
      <c r="O359" s="213"/>
      <c r="P359" s="213"/>
      <c r="Q359" s="213"/>
      <c r="R359" s="213"/>
      <c r="S359" s="213"/>
      <c r="T359" s="213"/>
      <c r="U359" s="213"/>
      <c r="V359" s="213"/>
      <c r="W359" s="212"/>
      <c r="X359" s="213"/>
      <c r="Y359" s="213"/>
      <c r="Z359" s="213"/>
      <c r="AA359" s="213"/>
      <c r="AB359" s="207"/>
      <c r="AC359" s="207"/>
      <c r="AD359" s="207"/>
      <c r="AE359" s="207"/>
      <c r="AF359" s="207"/>
      <c r="AG359" s="207"/>
      <c r="AH359" s="207"/>
      <c r="AI359" s="207"/>
      <c r="AJ359" s="207"/>
      <c r="AK359" s="207"/>
      <c r="AL359" s="207"/>
      <c r="AM359" s="207"/>
      <c r="AN359" s="207"/>
      <c r="AO359" s="207"/>
      <c r="AT359" s="207"/>
      <c r="AV359" s="207"/>
    </row>
    <row r="360" spans="1:48">
      <c r="A360" s="213"/>
      <c r="B360" s="213"/>
      <c r="C360" s="213"/>
      <c r="D360" s="213"/>
      <c r="E360" s="213"/>
      <c r="F360" s="213"/>
      <c r="G360" s="213"/>
      <c r="H360" s="213"/>
      <c r="I360" s="213"/>
      <c r="J360" s="213"/>
      <c r="K360" s="213"/>
      <c r="L360" s="213"/>
      <c r="M360" s="213"/>
      <c r="N360" s="213"/>
      <c r="O360" s="213"/>
      <c r="P360" s="213"/>
      <c r="Q360" s="213"/>
      <c r="R360" s="213"/>
      <c r="S360" s="213"/>
      <c r="T360" s="213"/>
      <c r="U360" s="213"/>
      <c r="V360" s="213"/>
      <c r="W360" s="212"/>
      <c r="X360" s="213"/>
      <c r="Y360" s="213"/>
      <c r="Z360" s="213"/>
      <c r="AA360" s="213"/>
      <c r="AB360" s="207"/>
      <c r="AC360" s="207"/>
      <c r="AD360" s="207"/>
      <c r="AE360" s="207"/>
      <c r="AF360" s="207"/>
      <c r="AG360" s="207"/>
      <c r="AH360" s="207"/>
      <c r="AI360" s="207"/>
      <c r="AJ360" s="207"/>
      <c r="AK360" s="207"/>
      <c r="AL360" s="207"/>
      <c r="AM360" s="207"/>
      <c r="AN360" s="207"/>
      <c r="AO360" s="207"/>
      <c r="AT360" s="207"/>
      <c r="AV360" s="207"/>
    </row>
    <row r="361" spans="1:48">
      <c r="A361" s="213"/>
      <c r="B361" s="213"/>
      <c r="C361" s="213"/>
      <c r="D361" s="213"/>
      <c r="E361" s="213"/>
      <c r="F361" s="213"/>
      <c r="G361" s="213"/>
      <c r="H361" s="213"/>
      <c r="I361" s="213"/>
      <c r="J361" s="213"/>
      <c r="K361" s="213"/>
      <c r="L361" s="213"/>
      <c r="M361" s="213"/>
      <c r="N361" s="213"/>
      <c r="O361" s="213"/>
      <c r="P361" s="213"/>
      <c r="Q361" s="213"/>
      <c r="R361" s="213"/>
      <c r="S361" s="213"/>
      <c r="T361" s="213"/>
      <c r="U361" s="213"/>
      <c r="V361" s="213"/>
      <c r="W361" s="212"/>
      <c r="X361" s="213"/>
      <c r="Y361" s="213"/>
      <c r="Z361" s="213"/>
      <c r="AA361" s="213"/>
      <c r="AB361" s="207"/>
      <c r="AC361" s="207"/>
      <c r="AD361" s="207"/>
      <c r="AE361" s="207"/>
      <c r="AF361" s="207"/>
      <c r="AG361" s="207"/>
      <c r="AH361" s="207"/>
      <c r="AI361" s="207"/>
      <c r="AJ361" s="207"/>
      <c r="AK361" s="207"/>
      <c r="AL361" s="207"/>
      <c r="AM361" s="207"/>
      <c r="AN361" s="207"/>
      <c r="AO361" s="207"/>
      <c r="AT361" s="207"/>
      <c r="AV361" s="207"/>
    </row>
    <row r="362" spans="1:48">
      <c r="A362" s="213"/>
      <c r="B362" s="213"/>
      <c r="C362" s="213"/>
      <c r="D362" s="213"/>
      <c r="E362" s="213"/>
      <c r="F362" s="213"/>
      <c r="G362" s="213"/>
      <c r="H362" s="213"/>
      <c r="I362" s="213"/>
      <c r="J362" s="213"/>
      <c r="K362" s="213"/>
      <c r="L362" s="213"/>
      <c r="M362" s="213"/>
      <c r="N362" s="213"/>
      <c r="O362" s="213"/>
      <c r="P362" s="213"/>
      <c r="Q362" s="213"/>
      <c r="R362" s="213"/>
      <c r="S362" s="213"/>
      <c r="T362" s="213"/>
      <c r="U362" s="213"/>
      <c r="V362" s="213"/>
      <c r="W362" s="212"/>
      <c r="X362" s="213"/>
      <c r="Y362" s="213"/>
      <c r="Z362" s="213"/>
      <c r="AA362" s="213"/>
      <c r="AB362" s="207"/>
      <c r="AC362" s="207"/>
      <c r="AD362" s="207"/>
      <c r="AE362" s="207"/>
      <c r="AF362" s="207"/>
      <c r="AG362" s="207"/>
      <c r="AH362" s="207"/>
      <c r="AI362" s="207"/>
      <c r="AJ362" s="207"/>
      <c r="AK362" s="207"/>
      <c r="AL362" s="207"/>
      <c r="AM362" s="207"/>
      <c r="AN362" s="207"/>
      <c r="AO362" s="207"/>
      <c r="AT362" s="207"/>
      <c r="AV362" s="207"/>
    </row>
    <row r="363" spans="1:48">
      <c r="A363" s="213"/>
      <c r="B363" s="213"/>
      <c r="C363" s="213"/>
      <c r="D363" s="213"/>
      <c r="E363" s="213"/>
      <c r="F363" s="213"/>
      <c r="G363" s="213"/>
      <c r="H363" s="213"/>
      <c r="I363" s="213"/>
      <c r="J363" s="213"/>
      <c r="K363" s="213"/>
      <c r="L363" s="213"/>
      <c r="M363" s="213"/>
      <c r="N363" s="213"/>
      <c r="O363" s="213"/>
      <c r="P363" s="213"/>
      <c r="Q363" s="213"/>
      <c r="R363" s="213"/>
      <c r="S363" s="213"/>
      <c r="T363" s="213"/>
      <c r="U363" s="213"/>
      <c r="V363" s="213"/>
      <c r="W363" s="212"/>
      <c r="X363" s="213"/>
      <c r="Y363" s="213"/>
      <c r="Z363" s="213"/>
      <c r="AA363" s="213"/>
      <c r="AB363" s="207"/>
      <c r="AC363" s="207"/>
      <c r="AD363" s="207"/>
      <c r="AE363" s="207"/>
      <c r="AF363" s="207"/>
      <c r="AG363" s="207"/>
      <c r="AH363" s="207"/>
      <c r="AI363" s="207"/>
      <c r="AJ363" s="207"/>
      <c r="AK363" s="207"/>
      <c r="AL363" s="207"/>
      <c r="AM363" s="207"/>
      <c r="AN363" s="207"/>
      <c r="AO363" s="207"/>
      <c r="AT363" s="207"/>
      <c r="AV363" s="207"/>
    </row>
    <row r="364" spans="1:48">
      <c r="A364" s="213"/>
      <c r="B364" s="213"/>
      <c r="C364" s="213"/>
      <c r="D364" s="213"/>
      <c r="E364" s="213"/>
      <c r="F364" s="213"/>
      <c r="G364" s="213"/>
      <c r="H364" s="213"/>
      <c r="I364" s="213"/>
      <c r="J364" s="213"/>
      <c r="K364" s="213"/>
      <c r="L364" s="213"/>
      <c r="M364" s="213"/>
      <c r="N364" s="213"/>
      <c r="O364" s="213"/>
      <c r="P364" s="213"/>
      <c r="Q364" s="213"/>
      <c r="R364" s="213"/>
      <c r="S364" s="213"/>
      <c r="T364" s="213"/>
      <c r="U364" s="213"/>
      <c r="V364" s="213"/>
      <c r="W364" s="212"/>
      <c r="X364" s="213"/>
      <c r="Y364" s="213"/>
      <c r="Z364" s="213"/>
      <c r="AA364" s="213"/>
      <c r="AB364" s="207"/>
      <c r="AC364" s="207"/>
      <c r="AD364" s="207"/>
      <c r="AE364" s="207"/>
      <c r="AF364" s="207"/>
      <c r="AG364" s="207"/>
      <c r="AH364" s="207"/>
      <c r="AI364" s="207"/>
      <c r="AJ364" s="207"/>
      <c r="AK364" s="207"/>
      <c r="AL364" s="207"/>
      <c r="AM364" s="207"/>
      <c r="AN364" s="207"/>
      <c r="AO364" s="207"/>
      <c r="AT364" s="207"/>
      <c r="AV364" s="207"/>
    </row>
    <row r="365" spans="1:48">
      <c r="A365" s="213"/>
      <c r="B365" s="213"/>
      <c r="C365" s="213"/>
      <c r="D365" s="213"/>
      <c r="E365" s="213"/>
      <c r="F365" s="213"/>
      <c r="G365" s="213"/>
      <c r="H365" s="213"/>
      <c r="I365" s="213"/>
      <c r="J365" s="213"/>
      <c r="K365" s="213"/>
      <c r="L365" s="213"/>
      <c r="M365" s="213"/>
      <c r="N365" s="213"/>
      <c r="O365" s="213"/>
      <c r="P365" s="213"/>
      <c r="Q365" s="213"/>
      <c r="R365" s="213"/>
      <c r="S365" s="213"/>
      <c r="T365" s="213"/>
      <c r="U365" s="213"/>
      <c r="V365" s="213"/>
      <c r="W365" s="212"/>
      <c r="X365" s="213"/>
      <c r="Y365" s="213"/>
      <c r="Z365" s="213"/>
      <c r="AA365" s="213"/>
      <c r="AB365" s="207"/>
      <c r="AC365" s="207"/>
      <c r="AD365" s="207"/>
      <c r="AE365" s="207"/>
      <c r="AF365" s="207"/>
      <c r="AG365" s="207"/>
      <c r="AH365" s="207"/>
      <c r="AI365" s="207"/>
      <c r="AJ365" s="207"/>
      <c r="AK365" s="207"/>
      <c r="AL365" s="207"/>
      <c r="AM365" s="207"/>
      <c r="AN365" s="207"/>
      <c r="AO365" s="207"/>
      <c r="AT365" s="207"/>
      <c r="AV365" s="207"/>
    </row>
    <row r="366" spans="1:48">
      <c r="A366" s="213"/>
      <c r="B366" s="213"/>
      <c r="C366" s="213"/>
      <c r="D366" s="213"/>
      <c r="E366" s="213"/>
      <c r="F366" s="213"/>
      <c r="G366" s="213"/>
      <c r="H366" s="213"/>
      <c r="I366" s="213"/>
      <c r="J366" s="213"/>
      <c r="K366" s="213"/>
      <c r="L366" s="213"/>
      <c r="M366" s="213"/>
      <c r="N366" s="213"/>
      <c r="O366" s="213"/>
      <c r="P366" s="213"/>
      <c r="Q366" s="213"/>
      <c r="R366" s="213"/>
      <c r="S366" s="213"/>
      <c r="T366" s="213"/>
      <c r="U366" s="213"/>
      <c r="V366" s="213"/>
      <c r="W366" s="212"/>
      <c r="X366" s="213"/>
      <c r="Y366" s="213"/>
      <c r="Z366" s="213"/>
      <c r="AA366" s="213"/>
      <c r="AB366" s="207"/>
      <c r="AC366" s="207"/>
      <c r="AD366" s="207"/>
      <c r="AE366" s="207"/>
      <c r="AF366" s="207"/>
      <c r="AG366" s="207"/>
      <c r="AH366" s="207"/>
      <c r="AI366" s="207"/>
      <c r="AJ366" s="207"/>
      <c r="AK366" s="207"/>
      <c r="AL366" s="207"/>
      <c r="AM366" s="207"/>
      <c r="AN366" s="207"/>
      <c r="AO366" s="207"/>
      <c r="AT366" s="207"/>
      <c r="AV366" s="207"/>
    </row>
    <row r="367" spans="1:48">
      <c r="A367" s="213"/>
      <c r="B367" s="213"/>
      <c r="C367" s="213"/>
      <c r="D367" s="213"/>
      <c r="E367" s="213"/>
      <c r="F367" s="213"/>
      <c r="G367" s="213"/>
      <c r="H367" s="213"/>
      <c r="I367" s="213"/>
      <c r="J367" s="213"/>
      <c r="K367" s="213"/>
      <c r="L367" s="213"/>
      <c r="M367" s="213"/>
      <c r="N367" s="213"/>
      <c r="O367" s="213"/>
      <c r="P367" s="213"/>
      <c r="Q367" s="213"/>
      <c r="R367" s="213"/>
      <c r="S367" s="213"/>
      <c r="T367" s="213"/>
      <c r="U367" s="213"/>
      <c r="V367" s="213"/>
      <c r="W367" s="212"/>
      <c r="X367" s="213"/>
      <c r="Y367" s="213"/>
      <c r="Z367" s="213"/>
      <c r="AA367" s="213"/>
      <c r="AB367" s="207"/>
      <c r="AC367" s="207"/>
      <c r="AD367" s="207"/>
      <c r="AE367" s="207"/>
      <c r="AF367" s="207"/>
      <c r="AG367" s="207"/>
      <c r="AH367" s="207"/>
      <c r="AI367" s="207"/>
      <c r="AJ367" s="207"/>
      <c r="AK367" s="207"/>
      <c r="AL367" s="207"/>
      <c r="AM367" s="207"/>
      <c r="AN367" s="207"/>
      <c r="AO367" s="207"/>
      <c r="AT367" s="207"/>
      <c r="AV367" s="207"/>
    </row>
    <row r="368" spans="1:48">
      <c r="A368" s="213"/>
      <c r="B368" s="213"/>
      <c r="C368" s="213"/>
      <c r="D368" s="213"/>
      <c r="E368" s="213"/>
      <c r="F368" s="213"/>
      <c r="G368" s="213"/>
      <c r="H368" s="213"/>
      <c r="I368" s="213"/>
      <c r="J368" s="213"/>
      <c r="K368" s="213"/>
      <c r="L368" s="213"/>
      <c r="M368" s="213"/>
      <c r="N368" s="213"/>
      <c r="O368" s="213"/>
      <c r="P368" s="213"/>
      <c r="Q368" s="213"/>
      <c r="R368" s="213"/>
      <c r="S368" s="213"/>
      <c r="T368" s="213"/>
      <c r="U368" s="213"/>
      <c r="V368" s="213"/>
      <c r="W368" s="212"/>
      <c r="X368" s="213"/>
      <c r="Y368" s="213"/>
      <c r="Z368" s="213"/>
      <c r="AA368" s="213"/>
      <c r="AB368" s="207"/>
      <c r="AC368" s="207"/>
      <c r="AD368" s="207"/>
      <c r="AE368" s="207"/>
      <c r="AF368" s="207"/>
      <c r="AG368" s="207"/>
      <c r="AH368" s="207"/>
      <c r="AI368" s="207"/>
      <c r="AJ368" s="207"/>
      <c r="AK368" s="207"/>
      <c r="AL368" s="207"/>
      <c r="AM368" s="207"/>
      <c r="AN368" s="207"/>
      <c r="AO368" s="207"/>
      <c r="AT368" s="207"/>
      <c r="AV368" s="207"/>
    </row>
    <row r="369" spans="1:49">
      <c r="A369" s="213"/>
      <c r="B369" s="213"/>
      <c r="C369" s="213"/>
      <c r="D369" s="213"/>
      <c r="E369" s="213"/>
      <c r="F369" s="213"/>
      <c r="G369" s="213"/>
      <c r="H369" s="213"/>
      <c r="I369" s="213"/>
      <c r="J369" s="213"/>
      <c r="K369" s="213"/>
      <c r="L369" s="213"/>
      <c r="M369" s="213"/>
      <c r="N369" s="213"/>
      <c r="O369" s="213"/>
      <c r="P369" s="213"/>
      <c r="Q369" s="213"/>
      <c r="R369" s="213"/>
      <c r="S369" s="213"/>
      <c r="T369" s="213"/>
      <c r="U369" s="213"/>
      <c r="V369" s="213"/>
      <c r="W369" s="212"/>
      <c r="X369" s="213"/>
      <c r="Y369" s="213"/>
      <c r="Z369" s="213"/>
      <c r="AA369" s="213"/>
      <c r="AB369" s="207"/>
      <c r="AC369" s="207"/>
      <c r="AD369" s="207"/>
      <c r="AE369" s="207"/>
      <c r="AF369" s="207"/>
      <c r="AG369" s="207"/>
      <c r="AH369" s="207"/>
      <c r="AI369" s="207"/>
      <c r="AJ369" s="207"/>
      <c r="AK369" s="207"/>
      <c r="AL369" s="207"/>
      <c r="AM369" s="207"/>
      <c r="AN369" s="207"/>
      <c r="AO369" s="207"/>
      <c r="AT369" s="207"/>
      <c r="AV369" s="207"/>
    </row>
    <row r="370" spans="1:49">
      <c r="A370" s="213"/>
      <c r="B370" s="213"/>
      <c r="C370" s="213"/>
      <c r="D370" s="213"/>
      <c r="E370" s="213"/>
      <c r="F370" s="213"/>
      <c r="G370" s="213"/>
      <c r="H370" s="213"/>
      <c r="I370" s="213"/>
      <c r="J370" s="213"/>
      <c r="K370" s="213"/>
      <c r="L370" s="213"/>
      <c r="M370" s="213"/>
      <c r="N370" s="213"/>
      <c r="O370" s="213"/>
      <c r="P370" s="213"/>
      <c r="Q370" s="213"/>
      <c r="R370" s="213"/>
      <c r="S370" s="213"/>
      <c r="T370" s="213"/>
      <c r="U370" s="213"/>
      <c r="V370" s="213"/>
      <c r="W370" s="212"/>
      <c r="X370" s="213"/>
      <c r="Y370" s="213"/>
      <c r="Z370" s="213"/>
      <c r="AA370" s="213"/>
      <c r="AB370" s="207"/>
      <c r="AC370" s="207"/>
      <c r="AD370" s="207"/>
      <c r="AE370" s="207"/>
      <c r="AF370" s="207"/>
      <c r="AG370" s="207"/>
      <c r="AH370" s="207"/>
      <c r="AI370" s="207"/>
      <c r="AJ370" s="207"/>
      <c r="AK370" s="207"/>
      <c r="AL370" s="207"/>
      <c r="AM370" s="207"/>
      <c r="AN370" s="207"/>
      <c r="AO370" s="207"/>
      <c r="AT370" s="207"/>
      <c r="AV370" s="207"/>
    </row>
    <row r="371" spans="1:49">
      <c r="A371" s="213"/>
      <c r="B371" s="213"/>
      <c r="C371" s="213"/>
      <c r="D371" s="213"/>
      <c r="E371" s="213"/>
      <c r="F371" s="213"/>
      <c r="G371" s="213"/>
      <c r="H371" s="213"/>
      <c r="I371" s="213"/>
      <c r="J371" s="213"/>
      <c r="K371" s="213"/>
      <c r="L371" s="213"/>
      <c r="M371" s="213"/>
      <c r="N371" s="213"/>
      <c r="O371" s="213"/>
      <c r="P371" s="213"/>
      <c r="Q371" s="213"/>
      <c r="R371" s="213"/>
      <c r="S371" s="213"/>
      <c r="T371" s="213"/>
      <c r="U371" s="213"/>
      <c r="V371" s="213"/>
      <c r="W371" s="212"/>
      <c r="X371" s="213"/>
      <c r="Y371" s="213"/>
      <c r="Z371" s="213"/>
      <c r="AA371" s="213"/>
      <c r="AB371" s="207"/>
      <c r="AC371" s="207"/>
      <c r="AD371" s="207"/>
      <c r="AE371" s="207"/>
      <c r="AF371" s="207"/>
      <c r="AG371" s="207"/>
      <c r="AH371" s="207"/>
      <c r="AI371" s="207"/>
      <c r="AJ371" s="207"/>
      <c r="AK371" s="207"/>
      <c r="AL371" s="207"/>
      <c r="AM371" s="207"/>
      <c r="AN371" s="207"/>
      <c r="AO371" s="207"/>
      <c r="AT371" s="207"/>
      <c r="AV371" s="207"/>
    </row>
    <row r="372" spans="1:49">
      <c r="A372" s="213"/>
      <c r="B372" s="213"/>
      <c r="C372" s="213"/>
      <c r="D372" s="213"/>
      <c r="E372" s="213"/>
      <c r="F372" s="213"/>
      <c r="G372" s="213"/>
      <c r="H372" s="213"/>
      <c r="I372" s="213"/>
      <c r="J372" s="213"/>
      <c r="K372" s="213"/>
      <c r="L372" s="213"/>
      <c r="M372" s="213"/>
      <c r="N372" s="213"/>
      <c r="O372" s="213"/>
      <c r="P372" s="213"/>
      <c r="Q372" s="213"/>
      <c r="R372" s="213"/>
      <c r="S372" s="213"/>
      <c r="T372" s="213"/>
      <c r="U372" s="213"/>
      <c r="V372" s="213"/>
      <c r="W372" s="212"/>
      <c r="X372" s="213"/>
      <c r="Y372" s="213"/>
      <c r="Z372" s="213"/>
      <c r="AA372" s="213"/>
      <c r="AB372" s="207"/>
      <c r="AC372" s="207"/>
      <c r="AD372" s="207"/>
      <c r="AE372" s="207"/>
      <c r="AF372" s="207"/>
      <c r="AG372" s="207"/>
      <c r="AH372" s="207"/>
      <c r="AI372" s="207"/>
      <c r="AJ372" s="207"/>
      <c r="AK372" s="207"/>
      <c r="AL372" s="207"/>
      <c r="AM372" s="207"/>
      <c r="AN372" s="207"/>
      <c r="AO372" s="207"/>
      <c r="AT372" s="207"/>
      <c r="AV372" s="207"/>
    </row>
    <row r="373" spans="1:49">
      <c r="A373" s="213"/>
      <c r="B373" s="213"/>
      <c r="C373" s="213"/>
      <c r="D373" s="213"/>
      <c r="E373" s="213"/>
      <c r="F373" s="213"/>
      <c r="G373" s="213"/>
      <c r="H373" s="213"/>
      <c r="I373" s="213"/>
      <c r="J373" s="213"/>
      <c r="K373" s="213"/>
      <c r="L373" s="213"/>
      <c r="M373" s="213"/>
      <c r="N373" s="213"/>
      <c r="O373" s="213"/>
      <c r="P373" s="213"/>
      <c r="Q373" s="213"/>
      <c r="R373" s="213"/>
      <c r="S373" s="213"/>
      <c r="T373" s="213"/>
      <c r="U373" s="213"/>
      <c r="V373" s="213"/>
      <c r="W373" s="212"/>
      <c r="X373" s="213"/>
      <c r="Y373" s="213"/>
      <c r="Z373" s="213"/>
      <c r="AA373" s="213"/>
      <c r="AB373" s="207"/>
      <c r="AC373" s="207"/>
      <c r="AD373" s="207"/>
      <c r="AE373" s="207"/>
      <c r="AF373" s="207"/>
      <c r="AG373" s="207"/>
      <c r="AH373" s="207"/>
      <c r="AI373" s="207"/>
      <c r="AJ373" s="207"/>
      <c r="AK373" s="207"/>
      <c r="AL373" s="207"/>
      <c r="AM373" s="207"/>
      <c r="AN373" s="207"/>
      <c r="AO373" s="207"/>
      <c r="AT373" s="207"/>
      <c r="AV373" s="207"/>
    </row>
    <row r="374" spans="1:49">
      <c r="A374" s="213"/>
      <c r="B374" s="213"/>
      <c r="C374" s="213"/>
      <c r="D374" s="213"/>
      <c r="E374" s="213"/>
      <c r="F374" s="213"/>
      <c r="G374" s="213"/>
      <c r="H374" s="213"/>
      <c r="I374" s="213"/>
      <c r="J374" s="213"/>
      <c r="K374" s="213"/>
      <c r="L374" s="213"/>
      <c r="M374" s="213"/>
      <c r="N374" s="213"/>
      <c r="O374" s="213"/>
      <c r="P374" s="213"/>
      <c r="Q374" s="213"/>
      <c r="R374" s="213"/>
      <c r="S374" s="213"/>
      <c r="T374" s="213"/>
      <c r="U374" s="213"/>
      <c r="V374" s="213"/>
      <c r="W374" s="212"/>
      <c r="X374" s="213"/>
      <c r="Y374" s="213"/>
      <c r="Z374" s="213"/>
      <c r="AA374" s="213"/>
      <c r="AB374" s="207"/>
      <c r="AC374" s="207"/>
      <c r="AD374" s="207"/>
      <c r="AE374" s="207"/>
      <c r="AF374" s="207"/>
      <c r="AG374" s="207"/>
      <c r="AH374" s="207"/>
      <c r="AI374" s="207"/>
      <c r="AJ374" s="207"/>
      <c r="AK374" s="207"/>
      <c r="AL374" s="207"/>
      <c r="AM374" s="207"/>
      <c r="AN374" s="207"/>
      <c r="AO374" s="207"/>
      <c r="AT374" s="207"/>
      <c r="AV374" s="207"/>
    </row>
    <row r="375" spans="1:49">
      <c r="A375" s="213"/>
      <c r="B375" s="213"/>
      <c r="C375" s="213"/>
      <c r="D375" s="213"/>
      <c r="E375" s="213"/>
      <c r="F375" s="213"/>
      <c r="G375" s="213"/>
      <c r="H375" s="213"/>
      <c r="I375" s="213"/>
      <c r="J375" s="213"/>
      <c r="K375" s="213"/>
      <c r="L375" s="213"/>
      <c r="M375" s="213"/>
      <c r="N375" s="213"/>
      <c r="O375" s="213"/>
      <c r="P375" s="213"/>
      <c r="Q375" s="213"/>
      <c r="R375" s="213"/>
      <c r="S375" s="213"/>
      <c r="T375" s="213"/>
      <c r="U375" s="213"/>
      <c r="V375" s="213"/>
      <c r="W375" s="212"/>
      <c r="X375" s="213"/>
      <c r="Y375" s="213"/>
      <c r="Z375" s="213"/>
      <c r="AA375" s="213"/>
      <c r="AB375" s="207"/>
      <c r="AC375" s="207"/>
      <c r="AD375" s="207"/>
      <c r="AE375" s="207"/>
      <c r="AF375" s="207"/>
      <c r="AG375" s="207"/>
      <c r="AH375" s="207"/>
      <c r="AI375" s="207"/>
      <c r="AJ375" s="207"/>
      <c r="AK375" s="207"/>
      <c r="AL375" s="207"/>
      <c r="AM375" s="207"/>
      <c r="AN375" s="207"/>
      <c r="AO375" s="207"/>
      <c r="AT375" s="207"/>
      <c r="AV375" s="207"/>
    </row>
    <row r="376" spans="1:49">
      <c r="A376" s="213"/>
      <c r="B376" s="213"/>
      <c r="C376" s="213"/>
      <c r="D376" s="213"/>
      <c r="E376" s="213"/>
      <c r="F376" s="213"/>
      <c r="G376" s="213"/>
      <c r="H376" s="213"/>
      <c r="I376" s="213"/>
      <c r="J376" s="213"/>
      <c r="K376" s="213"/>
      <c r="L376" s="213"/>
      <c r="M376" s="213"/>
      <c r="N376" s="213"/>
      <c r="O376" s="213"/>
      <c r="P376" s="213"/>
      <c r="Q376" s="213"/>
      <c r="R376" s="213"/>
      <c r="S376" s="213"/>
      <c r="T376" s="213"/>
      <c r="U376" s="213"/>
      <c r="V376" s="213"/>
      <c r="W376" s="212"/>
      <c r="X376" s="213"/>
      <c r="Y376" s="213"/>
      <c r="Z376" s="213"/>
      <c r="AA376" s="213"/>
      <c r="AB376" s="207"/>
      <c r="AC376" s="207"/>
      <c r="AD376" s="207"/>
      <c r="AE376" s="207"/>
      <c r="AF376" s="207"/>
      <c r="AG376" s="207"/>
      <c r="AH376" s="207"/>
      <c r="AI376" s="207"/>
      <c r="AJ376" s="207"/>
      <c r="AK376" s="207"/>
      <c r="AL376" s="207"/>
      <c r="AM376" s="207"/>
      <c r="AN376" s="207"/>
      <c r="AO376" s="207"/>
      <c r="AT376" s="207"/>
      <c r="AV376" s="207"/>
    </row>
    <row r="377" spans="1:49">
      <c r="A377" s="213"/>
      <c r="B377" s="213"/>
      <c r="C377" s="213"/>
      <c r="D377" s="213"/>
      <c r="E377" s="213"/>
      <c r="F377" s="213"/>
      <c r="G377" s="213"/>
      <c r="H377" s="213"/>
      <c r="I377" s="213"/>
      <c r="J377" s="213"/>
      <c r="K377" s="213"/>
      <c r="L377" s="213"/>
      <c r="M377" s="213"/>
      <c r="N377" s="213"/>
      <c r="O377" s="213"/>
      <c r="P377" s="213"/>
      <c r="Q377" s="213"/>
      <c r="R377" s="213"/>
      <c r="S377" s="213"/>
      <c r="T377" s="213"/>
      <c r="U377" s="213"/>
      <c r="V377" s="213"/>
      <c r="W377" s="212"/>
      <c r="X377" s="213"/>
      <c r="Y377" s="213"/>
      <c r="Z377" s="213"/>
      <c r="AA377" s="213"/>
      <c r="AB377" s="207"/>
      <c r="AC377" s="207"/>
      <c r="AD377" s="207"/>
      <c r="AE377" s="207"/>
      <c r="AF377" s="207"/>
      <c r="AG377" s="207"/>
      <c r="AH377" s="207"/>
      <c r="AI377" s="207"/>
      <c r="AJ377" s="207"/>
      <c r="AK377" s="207"/>
      <c r="AL377" s="207"/>
      <c r="AM377" s="207"/>
      <c r="AN377" s="207"/>
      <c r="AO377" s="207"/>
      <c r="AT377" s="207"/>
      <c r="AV377" s="207"/>
      <c r="AW377" s="219"/>
    </row>
    <row r="378" spans="1:49">
      <c r="A378" s="213"/>
      <c r="B378" s="213"/>
      <c r="C378" s="213"/>
      <c r="D378" s="213"/>
      <c r="E378" s="213"/>
      <c r="F378" s="213"/>
      <c r="G378" s="213"/>
      <c r="H378" s="213"/>
      <c r="I378" s="213"/>
      <c r="J378" s="213"/>
      <c r="K378" s="213"/>
      <c r="L378" s="213"/>
      <c r="M378" s="213"/>
      <c r="N378" s="213"/>
      <c r="O378" s="213"/>
      <c r="P378" s="213"/>
      <c r="Q378" s="213"/>
      <c r="R378" s="213"/>
      <c r="S378" s="213"/>
      <c r="T378" s="213"/>
      <c r="U378" s="213"/>
      <c r="V378" s="213"/>
      <c r="W378" s="212"/>
      <c r="X378" s="213"/>
      <c r="Y378" s="213"/>
      <c r="Z378" s="213"/>
      <c r="AA378" s="213"/>
      <c r="AB378" s="207"/>
      <c r="AC378" s="207"/>
      <c r="AD378" s="207"/>
      <c r="AE378" s="207"/>
      <c r="AF378" s="207"/>
      <c r="AG378" s="207"/>
      <c r="AH378" s="207"/>
      <c r="AI378" s="207"/>
      <c r="AJ378" s="207"/>
      <c r="AK378" s="207"/>
      <c r="AL378" s="207"/>
      <c r="AM378" s="207"/>
      <c r="AN378" s="207"/>
      <c r="AO378" s="207"/>
      <c r="AT378" s="207"/>
      <c r="AV378" s="207"/>
      <c r="AW378" s="219"/>
    </row>
    <row r="379" spans="1:49">
      <c r="A379" s="213"/>
      <c r="B379" s="213"/>
      <c r="C379" s="213"/>
      <c r="D379" s="213"/>
      <c r="E379" s="213"/>
      <c r="F379" s="213"/>
      <c r="G379" s="213"/>
      <c r="H379" s="213"/>
      <c r="I379" s="213"/>
      <c r="J379" s="213"/>
      <c r="K379" s="213"/>
      <c r="L379" s="213"/>
      <c r="M379" s="213"/>
      <c r="N379" s="213"/>
      <c r="O379" s="213"/>
      <c r="P379" s="213"/>
      <c r="Q379" s="213"/>
      <c r="R379" s="213"/>
      <c r="S379" s="213"/>
      <c r="T379" s="213"/>
      <c r="U379" s="213"/>
      <c r="V379" s="213"/>
      <c r="W379" s="212"/>
      <c r="X379" s="213"/>
      <c r="Y379" s="213"/>
      <c r="Z379" s="213"/>
      <c r="AA379" s="213"/>
      <c r="AB379" s="207"/>
      <c r="AC379" s="207"/>
      <c r="AD379" s="207"/>
      <c r="AE379" s="207"/>
      <c r="AF379" s="207"/>
      <c r="AG379" s="207"/>
      <c r="AH379" s="207"/>
      <c r="AI379" s="207"/>
      <c r="AJ379" s="207"/>
      <c r="AK379" s="207"/>
      <c r="AL379" s="207"/>
      <c r="AM379" s="207"/>
      <c r="AN379" s="207"/>
      <c r="AO379" s="207"/>
      <c r="AT379" s="207"/>
      <c r="AV379" s="207"/>
      <c r="AW379" s="219"/>
    </row>
    <row r="380" spans="1:49">
      <c r="A380" s="213"/>
      <c r="B380" s="213"/>
      <c r="C380" s="213"/>
      <c r="D380" s="213"/>
      <c r="E380" s="213"/>
      <c r="F380" s="213"/>
      <c r="G380" s="213"/>
      <c r="H380" s="213"/>
      <c r="I380" s="213"/>
      <c r="J380" s="213"/>
      <c r="K380" s="213"/>
      <c r="L380" s="213"/>
      <c r="M380" s="213"/>
      <c r="N380" s="213"/>
      <c r="O380" s="213"/>
      <c r="P380" s="213"/>
      <c r="Q380" s="213"/>
      <c r="R380" s="213"/>
      <c r="S380" s="213"/>
      <c r="T380" s="213"/>
      <c r="U380" s="213"/>
      <c r="V380" s="213"/>
      <c r="W380" s="212"/>
      <c r="X380" s="213"/>
      <c r="Y380" s="213"/>
      <c r="Z380" s="213"/>
      <c r="AA380" s="213"/>
      <c r="AB380" s="207"/>
      <c r="AC380" s="207"/>
      <c r="AD380" s="207"/>
      <c r="AE380" s="207"/>
      <c r="AF380" s="207"/>
      <c r="AG380" s="207"/>
      <c r="AH380" s="207"/>
      <c r="AI380" s="207"/>
      <c r="AJ380" s="207"/>
      <c r="AK380" s="207"/>
      <c r="AL380" s="207"/>
      <c r="AM380" s="207"/>
      <c r="AN380" s="207"/>
      <c r="AO380" s="207"/>
      <c r="AT380" s="207"/>
      <c r="AV380" s="207"/>
    </row>
    <row r="381" spans="1:49">
      <c r="A381" s="213"/>
      <c r="B381" s="213"/>
      <c r="C381" s="213"/>
      <c r="D381" s="213"/>
      <c r="E381" s="213"/>
      <c r="F381" s="213"/>
      <c r="G381" s="213"/>
      <c r="H381" s="213"/>
      <c r="I381" s="213"/>
      <c r="J381" s="213"/>
      <c r="K381" s="213"/>
      <c r="L381" s="213"/>
      <c r="M381" s="213"/>
      <c r="N381" s="213"/>
      <c r="O381" s="213"/>
      <c r="P381" s="213"/>
      <c r="Q381" s="213"/>
      <c r="R381" s="213"/>
      <c r="S381" s="213"/>
      <c r="T381" s="213"/>
      <c r="U381" s="213"/>
      <c r="V381" s="213"/>
      <c r="W381" s="212"/>
      <c r="X381" s="213"/>
      <c r="Y381" s="213"/>
      <c r="Z381" s="213"/>
      <c r="AA381" s="213"/>
      <c r="AB381" s="207"/>
      <c r="AC381" s="207"/>
      <c r="AD381" s="207"/>
      <c r="AE381" s="207"/>
      <c r="AF381" s="207"/>
      <c r="AG381" s="207"/>
      <c r="AH381" s="207"/>
      <c r="AI381" s="207"/>
      <c r="AJ381" s="207"/>
      <c r="AK381" s="207"/>
      <c r="AL381" s="207"/>
      <c r="AM381" s="207"/>
      <c r="AN381" s="207"/>
      <c r="AO381" s="207"/>
      <c r="AT381" s="207"/>
    </row>
    <row r="382" spans="1:49">
      <c r="A382" s="213"/>
      <c r="B382" s="213"/>
      <c r="C382" s="213"/>
      <c r="D382" s="213"/>
      <c r="E382" s="213"/>
      <c r="F382" s="213"/>
      <c r="G382" s="213"/>
      <c r="H382" s="213"/>
      <c r="I382" s="213"/>
      <c r="J382" s="213"/>
      <c r="K382" s="213"/>
      <c r="L382" s="213"/>
      <c r="M382" s="213"/>
      <c r="N382" s="213"/>
      <c r="O382" s="213"/>
      <c r="P382" s="213"/>
      <c r="Q382" s="213"/>
      <c r="R382" s="213"/>
      <c r="S382" s="213"/>
      <c r="T382" s="213"/>
      <c r="U382" s="213"/>
      <c r="V382" s="213"/>
      <c r="W382" s="212"/>
      <c r="X382" s="213"/>
      <c r="Y382" s="213"/>
      <c r="Z382" s="213"/>
      <c r="AA382" s="213"/>
      <c r="AB382" s="207"/>
      <c r="AC382" s="207"/>
      <c r="AD382" s="207"/>
      <c r="AE382" s="207"/>
      <c r="AF382" s="207"/>
      <c r="AG382" s="207"/>
      <c r="AH382" s="207"/>
      <c r="AI382" s="207"/>
      <c r="AJ382" s="207"/>
      <c r="AK382" s="207"/>
      <c r="AL382" s="207"/>
      <c r="AM382" s="207"/>
      <c r="AN382" s="207"/>
      <c r="AO382" s="207"/>
      <c r="AT382" s="207"/>
    </row>
    <row r="383" spans="1:49">
      <c r="A383" s="213"/>
      <c r="B383" s="213"/>
      <c r="C383" s="213"/>
      <c r="D383" s="213"/>
      <c r="E383" s="213"/>
      <c r="F383" s="213"/>
      <c r="G383" s="213"/>
      <c r="H383" s="213"/>
      <c r="I383" s="213"/>
      <c r="J383" s="213"/>
      <c r="K383" s="213"/>
      <c r="L383" s="213"/>
      <c r="M383" s="213"/>
      <c r="N383" s="213"/>
      <c r="O383" s="213"/>
      <c r="P383" s="213"/>
      <c r="Q383" s="213"/>
      <c r="R383" s="213"/>
      <c r="S383" s="213"/>
      <c r="T383" s="213"/>
      <c r="U383" s="213"/>
      <c r="V383" s="213"/>
      <c r="W383" s="212"/>
      <c r="X383" s="213"/>
      <c r="Y383" s="213"/>
      <c r="Z383" s="213"/>
      <c r="AA383" s="213"/>
      <c r="AB383" s="207"/>
      <c r="AC383" s="207"/>
      <c r="AD383" s="207"/>
      <c r="AE383" s="207"/>
      <c r="AF383" s="207"/>
      <c r="AG383" s="207"/>
      <c r="AH383" s="207"/>
      <c r="AI383" s="207"/>
      <c r="AJ383" s="207"/>
      <c r="AK383" s="207"/>
      <c r="AL383" s="207"/>
      <c r="AM383" s="207"/>
      <c r="AN383" s="207"/>
      <c r="AO383" s="207"/>
      <c r="AT383" s="207"/>
    </row>
    <row r="384" spans="1:49">
      <c r="A384" s="213"/>
      <c r="B384" s="213"/>
      <c r="C384" s="213"/>
      <c r="D384" s="213"/>
      <c r="E384" s="213"/>
      <c r="F384" s="213"/>
      <c r="G384" s="213"/>
      <c r="H384" s="213"/>
      <c r="I384" s="213"/>
      <c r="J384" s="213"/>
      <c r="K384" s="213"/>
      <c r="L384" s="213"/>
      <c r="M384" s="213"/>
      <c r="N384" s="213"/>
      <c r="O384" s="213"/>
      <c r="P384" s="213"/>
      <c r="Q384" s="213"/>
      <c r="R384" s="213"/>
      <c r="S384" s="213"/>
      <c r="T384" s="213"/>
      <c r="U384" s="213"/>
      <c r="V384" s="213"/>
      <c r="W384" s="212"/>
      <c r="X384" s="213"/>
      <c r="Y384" s="213"/>
      <c r="Z384" s="213"/>
      <c r="AA384" s="213"/>
      <c r="AB384" s="207"/>
      <c r="AC384" s="207"/>
      <c r="AD384" s="207"/>
      <c r="AE384" s="207"/>
      <c r="AF384" s="207"/>
      <c r="AG384" s="207"/>
      <c r="AH384" s="207"/>
      <c r="AI384" s="207"/>
      <c r="AJ384" s="207"/>
      <c r="AK384" s="207"/>
      <c r="AL384" s="207"/>
      <c r="AM384" s="207"/>
      <c r="AN384" s="207"/>
      <c r="AO384" s="207"/>
    </row>
    <row r="385" spans="1:41">
      <c r="A385" s="212"/>
      <c r="B385" s="212"/>
      <c r="C385" s="212"/>
      <c r="D385" s="212"/>
      <c r="E385" s="212"/>
      <c r="F385" s="212"/>
      <c r="G385" s="212"/>
      <c r="H385" s="212"/>
      <c r="I385" s="212"/>
      <c r="J385" s="212"/>
      <c r="K385" s="212"/>
      <c r="L385" s="212"/>
      <c r="M385" s="212"/>
      <c r="N385" s="212"/>
      <c r="O385" s="212"/>
      <c r="P385" s="212"/>
      <c r="Q385" s="212"/>
      <c r="R385" s="212"/>
      <c r="S385" s="212"/>
      <c r="T385" s="212"/>
      <c r="U385" s="212"/>
      <c r="V385" s="212"/>
      <c r="W385" s="212"/>
      <c r="X385" s="213"/>
      <c r="Y385" s="213"/>
      <c r="Z385" s="213"/>
      <c r="AA385" s="213"/>
      <c r="AB385" s="207"/>
      <c r="AC385" s="207"/>
      <c r="AD385" s="207"/>
      <c r="AE385" s="207"/>
      <c r="AF385" s="207"/>
      <c r="AG385" s="207"/>
      <c r="AH385" s="207"/>
      <c r="AI385" s="207"/>
      <c r="AJ385" s="207"/>
      <c r="AK385" s="207"/>
      <c r="AL385" s="207"/>
      <c r="AM385" s="207"/>
      <c r="AN385" s="207"/>
      <c r="AO385" s="207"/>
    </row>
    <row r="386" spans="1:41">
      <c r="A386" s="212"/>
      <c r="B386" s="212"/>
      <c r="C386" s="212"/>
      <c r="D386" s="212"/>
      <c r="E386" s="212"/>
      <c r="F386" s="212"/>
      <c r="G386" s="212"/>
      <c r="H386" s="212"/>
      <c r="I386" s="212"/>
      <c r="J386" s="212"/>
      <c r="K386" s="212"/>
      <c r="L386" s="212"/>
      <c r="M386" s="212"/>
      <c r="N386" s="212"/>
      <c r="O386" s="212"/>
      <c r="P386" s="212"/>
      <c r="Q386" s="212"/>
      <c r="R386" s="212"/>
      <c r="S386" s="212"/>
      <c r="T386" s="212"/>
      <c r="U386" s="212"/>
      <c r="V386" s="212"/>
      <c r="W386" s="212"/>
      <c r="X386" s="213"/>
      <c r="Y386" s="212"/>
      <c r="Z386" s="212"/>
      <c r="AA386" s="212"/>
    </row>
    <row r="387" spans="1:41">
      <c r="A387" s="212"/>
      <c r="B387" s="212"/>
      <c r="C387" s="212"/>
      <c r="D387" s="212"/>
      <c r="E387" s="212"/>
      <c r="F387" s="212"/>
      <c r="G387" s="212"/>
      <c r="H387" s="212"/>
      <c r="I387" s="212"/>
      <c r="J387" s="212"/>
      <c r="K387" s="212"/>
      <c r="L387" s="212"/>
      <c r="M387" s="212"/>
      <c r="N387" s="212"/>
      <c r="O387" s="212"/>
      <c r="P387" s="212"/>
      <c r="Q387" s="212"/>
      <c r="R387" s="212"/>
      <c r="S387" s="212"/>
      <c r="T387" s="212"/>
      <c r="U387" s="212"/>
      <c r="V387" s="212"/>
      <c r="W387" s="212"/>
      <c r="X387" s="213"/>
      <c r="Y387" s="212"/>
      <c r="Z387" s="212"/>
      <c r="AA387" s="212"/>
    </row>
    <row r="388" spans="1:41">
      <c r="A388" s="212"/>
      <c r="B388" s="212"/>
      <c r="C388" s="212"/>
      <c r="D388" s="212"/>
      <c r="E388" s="212"/>
      <c r="F388" s="212"/>
      <c r="G388" s="212"/>
      <c r="H388" s="212"/>
      <c r="I388" s="212"/>
      <c r="J388" s="212"/>
      <c r="K388" s="212"/>
      <c r="L388" s="212"/>
      <c r="M388" s="212"/>
      <c r="N388" s="212"/>
      <c r="O388" s="212"/>
      <c r="P388" s="212"/>
      <c r="Q388" s="212"/>
      <c r="R388" s="212"/>
      <c r="S388" s="212"/>
      <c r="T388" s="212"/>
      <c r="U388" s="212"/>
      <c r="V388" s="212"/>
      <c r="W388" s="212"/>
      <c r="X388" s="213"/>
      <c r="Y388" s="212"/>
      <c r="Z388" s="212"/>
      <c r="AA388" s="212"/>
    </row>
    <row r="389" spans="1:41">
      <c r="A389" s="212"/>
      <c r="B389" s="212"/>
      <c r="C389" s="212"/>
      <c r="D389" s="212"/>
      <c r="E389" s="212"/>
      <c r="F389" s="212"/>
      <c r="G389" s="212"/>
      <c r="H389" s="212"/>
      <c r="I389" s="212"/>
      <c r="J389" s="212"/>
      <c r="K389" s="212"/>
      <c r="L389" s="212"/>
      <c r="M389" s="212"/>
      <c r="N389" s="212"/>
      <c r="O389" s="212"/>
      <c r="P389" s="212"/>
      <c r="Q389" s="212"/>
      <c r="R389" s="212"/>
      <c r="S389" s="212"/>
      <c r="T389" s="212"/>
      <c r="U389" s="212"/>
      <c r="V389" s="212"/>
      <c r="W389" s="212"/>
      <c r="X389" s="213"/>
      <c r="Y389" s="212"/>
      <c r="Z389" s="212"/>
      <c r="AA389" s="212"/>
    </row>
    <row r="390" spans="1:41">
      <c r="A390" s="212"/>
      <c r="B390" s="212"/>
      <c r="C390" s="212"/>
      <c r="D390" s="212"/>
      <c r="E390" s="212"/>
      <c r="F390" s="212"/>
      <c r="G390" s="212"/>
      <c r="H390" s="212"/>
      <c r="I390" s="212"/>
      <c r="J390" s="212"/>
      <c r="K390" s="212"/>
      <c r="L390" s="212"/>
      <c r="M390" s="212"/>
      <c r="N390" s="212"/>
      <c r="O390" s="212"/>
      <c r="P390" s="212"/>
      <c r="Q390" s="212"/>
      <c r="R390" s="212"/>
      <c r="S390" s="212"/>
      <c r="T390" s="212"/>
      <c r="U390" s="212"/>
      <c r="V390" s="212"/>
      <c r="W390" s="212"/>
      <c r="X390" s="213"/>
      <c r="Y390" s="212"/>
      <c r="Z390" s="212"/>
      <c r="AA390" s="212"/>
    </row>
    <row r="391" spans="1:41">
      <c r="A391" s="212"/>
      <c r="B391" s="212"/>
      <c r="C391" s="212"/>
      <c r="D391" s="212"/>
      <c r="E391" s="212"/>
      <c r="F391" s="212"/>
      <c r="G391" s="212"/>
      <c r="H391" s="212"/>
      <c r="I391" s="212"/>
      <c r="J391" s="212"/>
      <c r="K391" s="212"/>
      <c r="L391" s="212"/>
      <c r="M391" s="212"/>
      <c r="N391" s="212"/>
      <c r="O391" s="212"/>
      <c r="P391" s="212"/>
      <c r="Q391" s="212"/>
      <c r="R391" s="212"/>
      <c r="S391" s="212"/>
      <c r="T391" s="212"/>
      <c r="U391" s="212"/>
      <c r="V391" s="212"/>
      <c r="W391" s="212"/>
      <c r="X391" s="213"/>
      <c r="Y391" s="212"/>
      <c r="Z391" s="212"/>
      <c r="AA391" s="212"/>
    </row>
    <row r="392" spans="1:41">
      <c r="A392" s="212"/>
      <c r="B392" s="212"/>
      <c r="C392" s="212"/>
      <c r="D392" s="212"/>
      <c r="E392" s="212"/>
      <c r="F392" s="212"/>
      <c r="G392" s="212"/>
      <c r="H392" s="212"/>
      <c r="I392" s="212"/>
      <c r="J392" s="212"/>
      <c r="K392" s="212"/>
      <c r="L392" s="212"/>
      <c r="M392" s="212"/>
      <c r="N392" s="212"/>
      <c r="O392" s="212"/>
      <c r="P392" s="212"/>
      <c r="Q392" s="212"/>
      <c r="R392" s="212"/>
      <c r="S392" s="212"/>
      <c r="T392" s="212"/>
      <c r="U392" s="212"/>
      <c r="V392" s="212"/>
      <c r="W392" s="212"/>
      <c r="X392" s="213"/>
      <c r="Y392" s="212"/>
      <c r="Z392" s="212"/>
      <c r="AA392" s="212"/>
    </row>
    <row r="393" spans="1:41">
      <c r="A393" s="212"/>
      <c r="B393" s="212"/>
      <c r="C393" s="212"/>
      <c r="D393" s="212"/>
      <c r="E393" s="212"/>
      <c r="F393" s="212"/>
      <c r="G393" s="212"/>
      <c r="H393" s="212"/>
      <c r="I393" s="212"/>
      <c r="J393" s="212"/>
      <c r="K393" s="212"/>
      <c r="L393" s="212"/>
      <c r="M393" s="212"/>
      <c r="N393" s="212"/>
      <c r="O393" s="212"/>
      <c r="P393" s="212"/>
      <c r="Q393" s="212"/>
      <c r="R393" s="212"/>
      <c r="S393" s="212"/>
      <c r="T393" s="212"/>
      <c r="U393" s="212"/>
      <c r="V393" s="212"/>
      <c r="W393" s="212"/>
      <c r="X393" s="213"/>
      <c r="Y393" s="212"/>
      <c r="Z393" s="212"/>
      <c r="AA393" s="212"/>
    </row>
    <row r="394" spans="1:41">
      <c r="A394" s="212"/>
      <c r="B394" s="212"/>
      <c r="C394" s="212"/>
      <c r="D394" s="212"/>
      <c r="E394" s="212"/>
      <c r="F394" s="212"/>
      <c r="G394" s="212"/>
      <c r="H394" s="212"/>
      <c r="I394" s="212"/>
      <c r="J394" s="212"/>
      <c r="K394" s="212"/>
      <c r="L394" s="212"/>
      <c r="M394" s="212"/>
      <c r="N394" s="212"/>
      <c r="O394" s="212"/>
      <c r="P394" s="212"/>
      <c r="Q394" s="212"/>
      <c r="R394" s="212"/>
      <c r="S394" s="212"/>
      <c r="T394" s="212"/>
      <c r="U394" s="212"/>
      <c r="V394" s="212"/>
      <c r="W394" s="212"/>
      <c r="X394" s="213"/>
      <c r="Y394" s="212"/>
      <c r="Z394" s="212"/>
      <c r="AA394" s="212"/>
    </row>
    <row r="395" spans="1:41">
      <c r="A395" s="212"/>
      <c r="B395" s="212"/>
      <c r="C395" s="212"/>
      <c r="D395" s="212"/>
      <c r="E395" s="212"/>
      <c r="F395" s="212"/>
      <c r="G395" s="212"/>
      <c r="H395" s="212"/>
      <c r="I395" s="212"/>
      <c r="J395" s="212"/>
      <c r="K395" s="212"/>
      <c r="L395" s="212"/>
      <c r="M395" s="212"/>
      <c r="N395" s="212"/>
      <c r="O395" s="212"/>
      <c r="P395" s="212"/>
      <c r="Q395" s="212"/>
      <c r="R395" s="212"/>
      <c r="S395" s="212"/>
      <c r="T395" s="212"/>
      <c r="U395" s="212"/>
      <c r="V395" s="212"/>
      <c r="W395" s="212"/>
      <c r="X395" s="213"/>
      <c r="Y395" s="212"/>
      <c r="Z395" s="212"/>
      <c r="AA395" s="212"/>
    </row>
    <row r="396" spans="1:41">
      <c r="A396" s="212"/>
      <c r="B396" s="212"/>
      <c r="C396" s="212"/>
      <c r="D396" s="212"/>
      <c r="E396" s="212"/>
      <c r="F396" s="212"/>
      <c r="G396" s="212"/>
      <c r="H396" s="212"/>
      <c r="I396" s="212"/>
      <c r="J396" s="212"/>
      <c r="K396" s="212"/>
      <c r="L396" s="212"/>
      <c r="M396" s="212"/>
      <c r="N396" s="212"/>
      <c r="O396" s="212"/>
      <c r="P396" s="212"/>
      <c r="Q396" s="212"/>
      <c r="R396" s="212"/>
      <c r="S396" s="212"/>
      <c r="T396" s="212"/>
      <c r="U396" s="212"/>
      <c r="V396" s="212"/>
      <c r="W396" s="212"/>
      <c r="X396" s="213"/>
      <c r="Y396" s="212"/>
      <c r="Z396" s="212"/>
      <c r="AA396" s="212"/>
    </row>
    <row r="397" spans="1:41">
      <c r="A397" s="212"/>
      <c r="B397" s="212"/>
      <c r="C397" s="212"/>
      <c r="D397" s="212"/>
      <c r="E397" s="212"/>
      <c r="F397" s="212"/>
      <c r="G397" s="212"/>
      <c r="H397" s="212"/>
      <c r="I397" s="212"/>
      <c r="J397" s="212"/>
      <c r="K397" s="212"/>
      <c r="L397" s="212"/>
      <c r="M397" s="212"/>
      <c r="N397" s="212"/>
      <c r="O397" s="212"/>
      <c r="P397" s="212"/>
      <c r="Q397" s="212"/>
      <c r="R397" s="212"/>
      <c r="S397" s="212"/>
      <c r="T397" s="212"/>
      <c r="U397" s="212"/>
      <c r="V397" s="212"/>
      <c r="W397" s="212"/>
      <c r="X397" s="213"/>
      <c r="Y397" s="212"/>
      <c r="Z397" s="212"/>
      <c r="AA397" s="212"/>
    </row>
    <row r="398" spans="1:41">
      <c r="A398" s="212"/>
      <c r="B398" s="212"/>
      <c r="C398" s="212"/>
      <c r="D398" s="212"/>
      <c r="E398" s="212"/>
      <c r="F398" s="212"/>
      <c r="G398" s="212"/>
      <c r="H398" s="212"/>
      <c r="I398" s="212"/>
      <c r="J398" s="212"/>
      <c r="K398" s="212"/>
      <c r="L398" s="212"/>
      <c r="M398" s="212"/>
      <c r="N398" s="212"/>
      <c r="O398" s="212"/>
      <c r="P398" s="212"/>
      <c r="Q398" s="212"/>
      <c r="R398" s="212"/>
      <c r="S398" s="212"/>
      <c r="T398" s="212"/>
      <c r="U398" s="212"/>
      <c r="V398" s="212"/>
      <c r="W398" s="212"/>
      <c r="X398" s="213"/>
      <c r="Y398" s="212"/>
      <c r="Z398" s="212"/>
      <c r="AA398" s="212"/>
    </row>
    <row r="399" spans="1:41">
      <c r="A399" s="212"/>
      <c r="B399" s="212"/>
      <c r="C399" s="212"/>
      <c r="D399" s="212"/>
      <c r="E399" s="212"/>
      <c r="F399" s="212"/>
      <c r="G399" s="212"/>
      <c r="H399" s="212"/>
      <c r="I399" s="212"/>
      <c r="J399" s="212"/>
      <c r="K399" s="212"/>
      <c r="L399" s="212"/>
      <c r="M399" s="212"/>
      <c r="N399" s="212"/>
      <c r="O399" s="212"/>
      <c r="P399" s="212"/>
      <c r="Q399" s="212"/>
      <c r="R399" s="212"/>
      <c r="S399" s="212"/>
      <c r="T399" s="212"/>
      <c r="U399" s="212"/>
      <c r="V399" s="212"/>
      <c r="W399" s="212"/>
      <c r="X399" s="213"/>
      <c r="Y399" s="212"/>
      <c r="Z399" s="212"/>
      <c r="AA399" s="212"/>
    </row>
    <row r="402" spans="1:27">
      <c r="A402" s="213"/>
      <c r="B402" s="212"/>
      <c r="C402" s="212"/>
      <c r="D402" s="212"/>
      <c r="E402" s="212"/>
      <c r="F402" s="212"/>
      <c r="G402" s="212"/>
      <c r="H402" s="212"/>
      <c r="I402" s="212"/>
      <c r="J402" s="212"/>
      <c r="K402" s="212"/>
      <c r="L402" s="212"/>
      <c r="M402" s="212"/>
      <c r="N402" s="212"/>
      <c r="O402" s="212"/>
      <c r="P402" s="212"/>
      <c r="Q402" s="212"/>
      <c r="R402" s="212"/>
      <c r="S402" s="212"/>
      <c r="T402" s="212"/>
      <c r="U402" s="212"/>
      <c r="V402" s="212"/>
      <c r="W402" s="212"/>
      <c r="X402" s="212"/>
      <c r="Y402" s="212"/>
      <c r="Z402" s="212"/>
      <c r="AA402" s="212"/>
    </row>
    <row r="403" spans="1:27">
      <c r="A403" s="213"/>
      <c r="B403" s="212"/>
      <c r="C403" s="212"/>
      <c r="D403" s="212"/>
      <c r="E403" s="212"/>
      <c r="F403" s="212"/>
      <c r="G403" s="212"/>
      <c r="H403" s="212"/>
      <c r="I403" s="212"/>
      <c r="J403" s="212"/>
      <c r="K403" s="212"/>
      <c r="L403" s="212"/>
      <c r="M403" s="212"/>
      <c r="N403" s="212"/>
      <c r="O403" s="212"/>
      <c r="P403" s="212"/>
      <c r="Q403" s="212"/>
      <c r="R403" s="212"/>
      <c r="S403" s="212"/>
      <c r="T403" s="212"/>
      <c r="U403" s="212"/>
      <c r="V403" s="212"/>
      <c r="W403" s="212"/>
      <c r="X403" s="212"/>
      <c r="Y403" s="212"/>
      <c r="Z403" s="212"/>
      <c r="AA403" s="212"/>
    </row>
    <row r="404" spans="1:27">
      <c r="A404" s="213"/>
      <c r="B404" s="212"/>
      <c r="C404" s="212"/>
      <c r="D404" s="212"/>
      <c r="E404" s="212"/>
      <c r="F404" s="212"/>
      <c r="G404" s="212"/>
      <c r="H404" s="212"/>
      <c r="I404" s="212"/>
      <c r="J404" s="212"/>
      <c r="K404" s="212"/>
      <c r="L404" s="212"/>
      <c r="M404" s="212"/>
      <c r="N404" s="212"/>
      <c r="O404" s="212"/>
      <c r="P404" s="212"/>
      <c r="Q404" s="212"/>
      <c r="R404" s="212"/>
      <c r="S404" s="212"/>
      <c r="T404" s="212"/>
      <c r="U404" s="212"/>
      <c r="V404" s="212"/>
      <c r="W404" s="212"/>
      <c r="X404" s="212"/>
      <c r="Y404" s="212"/>
      <c r="Z404" s="212"/>
      <c r="AA404" s="212"/>
    </row>
    <row r="405" spans="1:27">
      <c r="A405" s="213"/>
      <c r="B405" s="212"/>
      <c r="C405" s="212"/>
      <c r="D405" s="212"/>
      <c r="E405" s="212"/>
      <c r="F405" s="212"/>
      <c r="G405" s="212"/>
      <c r="H405" s="212"/>
      <c r="I405" s="212"/>
      <c r="J405" s="212"/>
      <c r="K405" s="212"/>
      <c r="L405" s="212"/>
      <c r="M405" s="212"/>
      <c r="N405" s="212"/>
      <c r="O405" s="212"/>
      <c r="P405" s="212"/>
      <c r="Q405" s="212"/>
      <c r="R405" s="212"/>
      <c r="S405" s="212"/>
      <c r="T405" s="212"/>
      <c r="U405" s="212"/>
      <c r="V405" s="212"/>
      <c r="W405" s="212"/>
      <c r="X405" s="212"/>
      <c r="Y405" s="212"/>
      <c r="Z405" s="212"/>
      <c r="AA405" s="212"/>
    </row>
    <row r="406" spans="1:27">
      <c r="A406" s="213"/>
      <c r="B406" s="212"/>
      <c r="C406" s="212"/>
      <c r="D406" s="212"/>
      <c r="E406" s="212"/>
      <c r="F406" s="212"/>
      <c r="G406" s="212"/>
      <c r="H406" s="212"/>
      <c r="I406" s="212"/>
      <c r="J406" s="212"/>
      <c r="K406" s="212"/>
      <c r="L406" s="212"/>
      <c r="M406" s="212"/>
      <c r="N406" s="212"/>
      <c r="O406" s="212"/>
      <c r="P406" s="212"/>
      <c r="Q406" s="212"/>
      <c r="R406" s="212"/>
      <c r="S406" s="212"/>
      <c r="T406" s="212"/>
      <c r="U406" s="212"/>
      <c r="V406" s="212"/>
      <c r="W406" s="212"/>
      <c r="X406" s="212"/>
      <c r="Y406" s="212"/>
      <c r="Z406" s="212"/>
      <c r="AA406" s="212"/>
    </row>
    <row r="407" spans="1:27" ht="16.5" customHeight="1">
      <c r="A407" s="213"/>
      <c r="B407" s="212"/>
      <c r="C407" s="217" t="s">
        <v>2151</v>
      </c>
      <c r="D407" s="212"/>
      <c r="E407" s="212"/>
      <c r="F407" s="212"/>
      <c r="G407" s="212"/>
      <c r="H407" s="212"/>
      <c r="I407" s="212"/>
      <c r="J407" s="212"/>
      <c r="K407" s="212"/>
      <c r="L407" s="212"/>
      <c r="M407" s="212"/>
      <c r="N407" s="212"/>
      <c r="O407" s="212"/>
      <c r="P407" s="212"/>
      <c r="Q407" s="212"/>
      <c r="R407" s="212"/>
      <c r="S407" s="212"/>
      <c r="T407" s="212"/>
      <c r="U407" s="212"/>
      <c r="V407" s="212"/>
      <c r="W407" s="212"/>
      <c r="X407" s="212"/>
      <c r="Y407" s="212"/>
      <c r="Z407" s="212"/>
      <c r="AA407" s="212"/>
    </row>
    <row r="408" spans="1:27" ht="16.5" customHeight="1">
      <c r="A408" s="213"/>
      <c r="B408" s="212"/>
      <c r="C408" s="217"/>
      <c r="D408" s="212"/>
      <c r="E408" s="212"/>
      <c r="F408" s="212"/>
      <c r="G408" s="212"/>
      <c r="H408" s="212"/>
      <c r="I408" s="212"/>
      <c r="J408" s="212"/>
      <c r="K408" s="212"/>
      <c r="L408" s="212"/>
      <c r="M408" s="212"/>
      <c r="N408" s="212"/>
      <c r="O408" s="212"/>
      <c r="P408" s="212"/>
      <c r="Q408" s="212"/>
      <c r="R408" s="212"/>
      <c r="S408" s="212"/>
      <c r="T408" s="212"/>
      <c r="U408" s="212"/>
      <c r="V408" s="212"/>
      <c r="W408" s="212"/>
      <c r="X408" s="212"/>
      <c r="Y408" s="212"/>
      <c r="Z408" s="212"/>
      <c r="AA408" s="212"/>
    </row>
    <row r="409" spans="1:27">
      <c r="A409" s="213"/>
      <c r="B409" s="212"/>
      <c r="C409" s="212"/>
      <c r="D409" s="212"/>
      <c r="E409" s="212"/>
      <c r="F409" s="212"/>
      <c r="G409" s="212"/>
      <c r="H409" s="212"/>
      <c r="I409" s="212"/>
      <c r="J409" s="212"/>
      <c r="K409" s="212"/>
      <c r="L409" s="212"/>
      <c r="M409" s="212"/>
      <c r="N409" s="212"/>
      <c r="O409" s="212"/>
      <c r="P409" s="212"/>
      <c r="Q409" s="212"/>
      <c r="R409" s="212"/>
      <c r="S409" s="212"/>
      <c r="T409" s="212"/>
      <c r="U409" s="212"/>
      <c r="V409" s="212"/>
      <c r="W409" s="212"/>
      <c r="X409" s="212"/>
      <c r="Y409" s="212"/>
      <c r="Z409" s="212"/>
      <c r="AA409" s="212"/>
    </row>
    <row r="410" spans="1:27">
      <c r="A410" s="213"/>
      <c r="B410" s="212"/>
      <c r="C410" s="212"/>
      <c r="D410" s="212"/>
      <c r="E410" s="212"/>
      <c r="F410" s="212"/>
      <c r="G410" s="212"/>
      <c r="H410" s="212"/>
      <c r="I410" s="212"/>
      <c r="J410" s="212"/>
      <c r="K410" s="212"/>
      <c r="L410" s="212"/>
      <c r="M410" s="212"/>
      <c r="N410" s="212"/>
      <c r="O410" s="212"/>
      <c r="P410" s="212"/>
      <c r="Q410" s="212"/>
      <c r="R410" s="212"/>
      <c r="S410" s="212"/>
      <c r="T410" s="212"/>
      <c r="U410" s="212"/>
      <c r="V410" s="212"/>
      <c r="W410" s="212"/>
      <c r="X410" s="212"/>
      <c r="Y410" s="212"/>
      <c r="Z410" s="212"/>
      <c r="AA410" s="212"/>
    </row>
    <row r="411" spans="1:27">
      <c r="A411" s="213"/>
      <c r="B411" s="212"/>
      <c r="C411" s="212"/>
      <c r="D411" s="212"/>
      <c r="E411" s="212"/>
      <c r="F411" s="212"/>
      <c r="G411" s="212"/>
      <c r="H411" s="212"/>
      <c r="I411" s="212"/>
      <c r="J411" s="212"/>
      <c r="K411" s="212"/>
      <c r="L411" s="213"/>
      <c r="M411" s="212"/>
      <c r="N411" s="212"/>
      <c r="O411" s="212"/>
      <c r="P411" s="212"/>
      <c r="Q411" s="212"/>
      <c r="R411" s="212"/>
      <c r="S411" s="212"/>
      <c r="T411" s="212"/>
      <c r="U411" s="212"/>
      <c r="V411" s="212"/>
      <c r="W411" s="212"/>
      <c r="X411" s="212"/>
      <c r="Y411" s="212"/>
      <c r="Z411" s="212"/>
      <c r="AA411" s="212"/>
    </row>
    <row r="412" spans="1:27">
      <c r="A412" s="213"/>
      <c r="B412" s="212"/>
      <c r="C412" s="212"/>
      <c r="D412" s="212"/>
      <c r="E412" s="212"/>
      <c r="F412" s="212"/>
      <c r="G412" s="212"/>
      <c r="H412" s="212"/>
      <c r="I412" s="212"/>
      <c r="J412" s="212"/>
      <c r="K412" s="212"/>
      <c r="L412" s="213"/>
      <c r="M412" s="212"/>
      <c r="N412" s="212"/>
      <c r="O412" s="212"/>
      <c r="P412" s="212"/>
      <c r="Q412" s="212"/>
      <c r="R412" s="212"/>
      <c r="S412" s="212"/>
      <c r="T412" s="212"/>
      <c r="U412" s="212"/>
      <c r="V412" s="212"/>
      <c r="W412" s="212"/>
      <c r="X412" s="212"/>
      <c r="Y412" s="212"/>
      <c r="Z412" s="212"/>
      <c r="AA412" s="212"/>
    </row>
    <row r="413" spans="1:27">
      <c r="A413" s="213"/>
      <c r="B413" s="212"/>
      <c r="C413" s="212"/>
      <c r="D413" s="212"/>
      <c r="E413" s="212"/>
      <c r="F413" s="212"/>
      <c r="G413" s="212"/>
      <c r="H413" s="212"/>
      <c r="I413" s="212"/>
      <c r="J413" s="212"/>
      <c r="K413" s="212"/>
      <c r="L413" s="213"/>
      <c r="M413" s="212"/>
      <c r="N413" s="212"/>
      <c r="O413" s="212"/>
      <c r="P413" s="212"/>
      <c r="Q413" s="212"/>
      <c r="R413" s="212"/>
      <c r="S413" s="212"/>
      <c r="T413" s="212"/>
      <c r="U413" s="212"/>
      <c r="V413" s="212"/>
      <c r="W413" s="212"/>
      <c r="X413" s="212"/>
      <c r="Y413" s="212"/>
      <c r="Z413" s="212"/>
      <c r="AA413" s="212"/>
    </row>
    <row r="414" spans="1:27">
      <c r="A414" s="213"/>
      <c r="B414" s="212"/>
      <c r="C414" s="212"/>
      <c r="D414" s="212"/>
      <c r="E414" s="212"/>
      <c r="F414" s="212"/>
      <c r="G414" s="212"/>
      <c r="H414" s="212"/>
      <c r="I414" s="212"/>
      <c r="J414" s="212"/>
      <c r="K414" s="212"/>
      <c r="L414" s="212"/>
      <c r="M414" s="212"/>
      <c r="N414" s="212"/>
      <c r="O414" s="212"/>
      <c r="P414" s="212"/>
      <c r="Q414" s="212"/>
      <c r="R414" s="212"/>
      <c r="S414" s="212"/>
      <c r="T414" s="212"/>
      <c r="U414" s="212"/>
      <c r="V414" s="212"/>
      <c r="W414" s="212"/>
      <c r="X414" s="212"/>
      <c r="Y414" s="212"/>
      <c r="Z414" s="212"/>
      <c r="AA414" s="212"/>
    </row>
    <row r="415" spans="1:27">
      <c r="A415" s="213"/>
      <c r="B415" s="212"/>
      <c r="C415" s="212"/>
      <c r="D415" s="212"/>
      <c r="E415" s="212"/>
      <c r="F415" s="212"/>
      <c r="G415" s="212"/>
      <c r="H415" s="212"/>
      <c r="I415" s="212"/>
      <c r="J415" s="212"/>
      <c r="K415" s="212"/>
      <c r="L415" s="212"/>
      <c r="M415" s="212"/>
      <c r="N415" s="212"/>
      <c r="O415" s="212"/>
      <c r="P415" s="212"/>
      <c r="Q415" s="212"/>
      <c r="R415" s="212"/>
      <c r="S415" s="212"/>
      <c r="T415" s="212"/>
      <c r="U415" s="212"/>
      <c r="V415" s="212"/>
      <c r="W415" s="212"/>
      <c r="X415" s="212"/>
      <c r="Y415" s="212"/>
      <c r="Z415" s="212"/>
      <c r="AA415" s="212"/>
    </row>
    <row r="416" spans="1:27">
      <c r="A416" s="213"/>
      <c r="B416" s="212"/>
      <c r="C416" s="212"/>
      <c r="D416" s="212"/>
      <c r="E416" s="212"/>
      <c r="F416" s="212"/>
      <c r="G416" s="212"/>
      <c r="H416" s="212"/>
      <c r="I416" s="212"/>
      <c r="J416" s="212"/>
      <c r="K416" s="212"/>
      <c r="L416" s="212"/>
      <c r="M416" s="212"/>
      <c r="N416" s="212"/>
      <c r="O416" s="212"/>
      <c r="P416" s="212"/>
      <c r="Q416" s="212"/>
      <c r="R416" s="212"/>
      <c r="S416" s="212"/>
      <c r="T416" s="212"/>
      <c r="U416" s="212"/>
      <c r="V416" s="212"/>
      <c r="W416" s="212"/>
      <c r="X416" s="212"/>
      <c r="Y416" s="212"/>
      <c r="Z416" s="212"/>
      <c r="AA416" s="212"/>
    </row>
    <row r="417" spans="1:27">
      <c r="A417" s="213"/>
      <c r="B417" s="212"/>
      <c r="C417" s="212"/>
      <c r="D417" s="212"/>
      <c r="E417" s="212"/>
      <c r="F417" s="212"/>
      <c r="G417" s="212"/>
      <c r="H417" s="212"/>
      <c r="I417" s="212"/>
      <c r="J417" s="212"/>
      <c r="K417" s="212"/>
      <c r="L417" s="212"/>
      <c r="M417" s="212"/>
      <c r="N417" s="212"/>
      <c r="O417" s="212"/>
      <c r="P417" s="212"/>
      <c r="Q417" s="212"/>
      <c r="R417" s="212"/>
      <c r="S417" s="212"/>
      <c r="T417" s="212"/>
      <c r="U417" s="212"/>
      <c r="V417" s="212"/>
      <c r="W417" s="212"/>
      <c r="X417" s="212"/>
      <c r="Y417" s="212"/>
      <c r="Z417" s="212"/>
      <c r="AA417" s="212"/>
    </row>
    <row r="418" spans="1:27">
      <c r="A418" s="213"/>
      <c r="B418" s="212"/>
      <c r="C418" s="212"/>
      <c r="D418" s="212"/>
      <c r="E418" s="212"/>
      <c r="F418" s="212"/>
      <c r="G418" s="212"/>
      <c r="H418" s="212"/>
      <c r="I418" s="212"/>
      <c r="J418" s="212"/>
      <c r="K418" s="212"/>
      <c r="L418" s="212"/>
      <c r="M418" s="212"/>
      <c r="N418" s="212"/>
      <c r="O418" s="212"/>
      <c r="P418" s="212"/>
      <c r="Q418" s="212"/>
      <c r="R418" s="212"/>
      <c r="S418" s="212"/>
      <c r="T418" s="212"/>
      <c r="U418" s="212"/>
      <c r="V418" s="212"/>
      <c r="W418" s="212"/>
      <c r="X418" s="212"/>
      <c r="Y418" s="212"/>
      <c r="Z418" s="212"/>
      <c r="AA418" s="212"/>
    </row>
    <row r="419" spans="1:27">
      <c r="A419" s="213"/>
      <c r="B419" s="212"/>
      <c r="C419" s="212"/>
      <c r="D419" s="212"/>
      <c r="E419" s="212"/>
      <c r="F419" s="212"/>
      <c r="G419" s="212"/>
      <c r="H419" s="212"/>
      <c r="I419" s="212"/>
      <c r="J419" s="212"/>
      <c r="K419" s="212"/>
      <c r="L419" s="212"/>
      <c r="M419" s="212"/>
      <c r="N419" s="212"/>
      <c r="O419" s="212"/>
      <c r="P419" s="212"/>
      <c r="Q419" s="212"/>
      <c r="R419" s="212"/>
      <c r="S419" s="212"/>
      <c r="T419" s="212"/>
      <c r="U419" s="212"/>
      <c r="V419" s="212"/>
      <c r="W419" s="212"/>
      <c r="X419" s="212"/>
      <c r="Y419" s="212"/>
      <c r="Z419" s="212"/>
      <c r="AA419" s="212"/>
    </row>
    <row r="420" spans="1:27">
      <c r="A420" s="213"/>
      <c r="B420" s="212"/>
      <c r="C420" s="212"/>
      <c r="D420" s="212"/>
      <c r="E420" s="212"/>
      <c r="F420" s="212"/>
      <c r="G420" s="212"/>
      <c r="H420" s="212"/>
      <c r="I420" s="212"/>
      <c r="J420" s="212"/>
      <c r="K420" s="212"/>
      <c r="L420" s="212"/>
      <c r="M420" s="212"/>
      <c r="N420" s="212"/>
      <c r="O420" s="212"/>
      <c r="P420" s="212"/>
      <c r="Q420" s="212"/>
      <c r="R420" s="212"/>
      <c r="S420" s="212"/>
      <c r="T420" s="212"/>
      <c r="U420" s="212"/>
      <c r="V420" s="212"/>
      <c r="W420" s="212"/>
      <c r="X420" s="212"/>
      <c r="Y420" s="212"/>
      <c r="Z420" s="212"/>
      <c r="AA420" s="212"/>
    </row>
    <row r="421" spans="1:27">
      <c r="A421" s="213"/>
      <c r="B421" s="212"/>
      <c r="C421" s="212"/>
      <c r="D421" s="212"/>
      <c r="E421" s="212"/>
      <c r="F421" s="212"/>
      <c r="G421" s="212"/>
      <c r="H421" s="212"/>
      <c r="I421" s="212"/>
      <c r="J421" s="212"/>
      <c r="K421" s="212"/>
      <c r="L421" s="212"/>
      <c r="M421" s="212"/>
      <c r="N421" s="212"/>
      <c r="O421" s="212"/>
      <c r="P421" s="212"/>
      <c r="Q421" s="212"/>
      <c r="R421" s="212"/>
      <c r="S421" s="212"/>
      <c r="T421" s="212"/>
      <c r="U421" s="212"/>
      <c r="V421" s="212"/>
      <c r="W421" s="212"/>
      <c r="X421" s="212"/>
      <c r="Y421" s="212"/>
      <c r="Z421" s="212"/>
      <c r="AA421" s="212"/>
    </row>
    <row r="422" spans="1:27">
      <c r="A422" s="213"/>
      <c r="B422" s="212"/>
      <c r="C422" s="212"/>
      <c r="D422" s="212"/>
      <c r="E422" s="212"/>
      <c r="F422" s="212"/>
      <c r="G422" s="212"/>
      <c r="H422" s="212"/>
      <c r="I422" s="212"/>
      <c r="J422" s="212"/>
      <c r="K422" s="212"/>
      <c r="L422" s="212"/>
      <c r="M422" s="212"/>
      <c r="N422" s="212"/>
      <c r="O422" s="212"/>
      <c r="P422" s="212"/>
      <c r="Q422" s="212"/>
      <c r="R422" s="212"/>
      <c r="S422" s="212"/>
      <c r="T422" s="212"/>
      <c r="U422" s="212"/>
      <c r="V422" s="212"/>
      <c r="W422" s="212"/>
      <c r="X422" s="212"/>
      <c r="Y422" s="212"/>
      <c r="Z422" s="212"/>
      <c r="AA422" s="212"/>
    </row>
    <row r="423" spans="1:27">
      <c r="A423" s="213"/>
      <c r="B423" s="212"/>
      <c r="C423" s="212"/>
      <c r="D423" s="212"/>
      <c r="E423" s="212"/>
      <c r="F423" s="212"/>
      <c r="G423" s="212"/>
      <c r="H423" s="212"/>
      <c r="I423" s="212"/>
      <c r="J423" s="212"/>
      <c r="K423" s="212"/>
      <c r="L423" s="212"/>
      <c r="M423" s="212"/>
      <c r="N423" s="212"/>
      <c r="O423" s="212"/>
      <c r="P423" s="212"/>
      <c r="Q423" s="212"/>
      <c r="R423" s="212"/>
      <c r="S423" s="212"/>
      <c r="T423" s="212"/>
      <c r="U423" s="212"/>
      <c r="V423" s="212"/>
      <c r="W423" s="212"/>
      <c r="X423" s="212"/>
      <c r="Y423" s="212"/>
      <c r="Z423" s="212"/>
      <c r="AA423" s="212"/>
    </row>
    <row r="424" spans="1:27">
      <c r="A424" s="213"/>
      <c r="B424" s="212"/>
      <c r="C424" s="212"/>
      <c r="D424" s="212"/>
      <c r="E424" s="212"/>
      <c r="F424" s="212"/>
      <c r="G424" s="212"/>
      <c r="H424" s="212"/>
      <c r="I424" s="212"/>
      <c r="J424" s="212"/>
      <c r="K424" s="212"/>
      <c r="L424" s="212"/>
      <c r="M424" s="212"/>
      <c r="N424" s="212"/>
      <c r="O424" s="212"/>
      <c r="P424" s="212"/>
      <c r="Q424" s="212"/>
      <c r="R424" s="212"/>
      <c r="S424" s="212"/>
      <c r="T424" s="212"/>
      <c r="U424" s="212"/>
      <c r="V424" s="212"/>
      <c r="W424" s="212"/>
      <c r="X424" s="212"/>
      <c r="Y424" s="212"/>
      <c r="Z424" s="212"/>
      <c r="AA424" s="212"/>
    </row>
    <row r="425" spans="1:27">
      <c r="A425" s="213"/>
      <c r="B425" s="212"/>
      <c r="C425" s="212"/>
      <c r="D425" s="212"/>
      <c r="E425" s="212"/>
      <c r="F425" s="212"/>
      <c r="G425" s="212"/>
      <c r="H425" s="212"/>
      <c r="I425" s="212"/>
      <c r="J425" s="212"/>
      <c r="K425" s="212"/>
      <c r="L425" s="212"/>
      <c r="M425" s="212"/>
      <c r="N425" s="212"/>
      <c r="O425" s="212"/>
      <c r="P425" s="212"/>
      <c r="Q425" s="212"/>
      <c r="R425" s="212"/>
      <c r="S425" s="212"/>
      <c r="T425" s="212"/>
      <c r="U425" s="212"/>
      <c r="V425" s="212"/>
      <c r="W425" s="212"/>
      <c r="X425" s="212"/>
      <c r="Y425" s="212"/>
      <c r="Z425" s="212"/>
      <c r="AA425" s="212"/>
    </row>
    <row r="426" spans="1:27">
      <c r="A426" s="213"/>
      <c r="B426" s="212"/>
      <c r="C426" s="212"/>
      <c r="D426" s="212"/>
      <c r="E426" s="212"/>
      <c r="F426" s="212"/>
      <c r="G426" s="212"/>
      <c r="H426" s="212"/>
      <c r="I426" s="212"/>
      <c r="J426" s="212"/>
      <c r="K426" s="212"/>
      <c r="L426" s="212"/>
      <c r="M426" s="212"/>
      <c r="N426" s="212"/>
      <c r="O426" s="212"/>
      <c r="P426" s="212"/>
      <c r="Q426" s="212"/>
      <c r="R426" s="212"/>
      <c r="S426" s="212"/>
      <c r="T426" s="212"/>
      <c r="U426" s="212"/>
      <c r="V426" s="212"/>
      <c r="W426" s="212"/>
      <c r="X426" s="212"/>
      <c r="Y426" s="212"/>
      <c r="Z426" s="212"/>
      <c r="AA426" s="212"/>
    </row>
    <row r="427" spans="1:27">
      <c r="A427" s="213"/>
      <c r="B427" s="212"/>
      <c r="C427" s="212"/>
      <c r="D427" s="212"/>
      <c r="E427" s="212"/>
      <c r="F427" s="212"/>
      <c r="G427" s="212"/>
      <c r="H427" s="212"/>
      <c r="I427" s="212"/>
      <c r="J427" s="212"/>
      <c r="K427" s="212"/>
      <c r="L427" s="212"/>
      <c r="M427" s="212"/>
      <c r="N427" s="212"/>
      <c r="O427" s="212"/>
      <c r="P427" s="212"/>
      <c r="Q427" s="212"/>
      <c r="R427" s="212"/>
      <c r="S427" s="212"/>
      <c r="T427" s="212"/>
      <c r="U427" s="212"/>
      <c r="V427" s="212"/>
      <c r="W427" s="212"/>
      <c r="X427" s="212"/>
      <c r="Y427" s="212"/>
      <c r="Z427" s="212"/>
      <c r="AA427" s="212"/>
    </row>
    <row r="428" spans="1:27">
      <c r="A428" s="213"/>
      <c r="B428" s="212"/>
      <c r="C428" s="212"/>
      <c r="D428" s="212"/>
      <c r="E428" s="212"/>
      <c r="F428" s="212"/>
      <c r="G428" s="212"/>
      <c r="H428" s="212"/>
      <c r="I428" s="212"/>
      <c r="J428" s="212"/>
      <c r="K428" s="212"/>
      <c r="L428" s="212"/>
      <c r="M428" s="212"/>
      <c r="N428" s="212"/>
      <c r="O428" s="212"/>
      <c r="P428" s="212"/>
      <c r="Q428" s="212"/>
      <c r="R428" s="212"/>
      <c r="S428" s="212"/>
      <c r="T428" s="212"/>
      <c r="U428" s="212"/>
      <c r="V428" s="212"/>
      <c r="W428" s="212"/>
      <c r="X428" s="212"/>
      <c r="Y428" s="212"/>
      <c r="Z428" s="212"/>
      <c r="AA428" s="212"/>
    </row>
    <row r="429" spans="1:27">
      <c r="A429" s="213"/>
      <c r="B429" s="212"/>
      <c r="C429" s="212"/>
      <c r="D429" s="212"/>
      <c r="E429" s="212"/>
      <c r="F429" s="212"/>
      <c r="G429" s="212"/>
      <c r="H429" s="212"/>
      <c r="I429" s="212"/>
      <c r="J429" s="212"/>
      <c r="K429" s="212"/>
      <c r="L429" s="212"/>
      <c r="M429" s="212"/>
      <c r="N429" s="212"/>
      <c r="O429" s="212"/>
      <c r="P429" s="212"/>
      <c r="Q429" s="212"/>
      <c r="R429" s="212"/>
      <c r="S429" s="212"/>
      <c r="T429" s="212"/>
      <c r="U429" s="212"/>
      <c r="V429" s="212"/>
      <c r="W429" s="212"/>
      <c r="X429" s="212"/>
      <c r="Y429" s="212"/>
      <c r="Z429" s="212"/>
      <c r="AA429" s="212"/>
    </row>
    <row r="430" spans="1:27">
      <c r="A430" s="213"/>
      <c r="B430" s="212"/>
      <c r="C430" s="212"/>
      <c r="D430" s="212"/>
      <c r="E430" s="212"/>
      <c r="F430" s="212"/>
      <c r="G430" s="212"/>
      <c r="H430" s="212"/>
      <c r="I430" s="212"/>
      <c r="J430" s="212"/>
      <c r="K430" s="212"/>
      <c r="L430" s="212"/>
      <c r="M430" s="212"/>
      <c r="N430" s="212"/>
      <c r="O430" s="212"/>
      <c r="P430" s="212"/>
      <c r="Q430" s="212"/>
      <c r="R430" s="212"/>
      <c r="S430" s="212"/>
      <c r="T430" s="212"/>
      <c r="U430" s="212"/>
      <c r="V430" s="212"/>
      <c r="W430" s="212"/>
      <c r="X430" s="212"/>
      <c r="Y430" s="212"/>
      <c r="Z430" s="212"/>
      <c r="AA430" s="212"/>
    </row>
    <row r="431" spans="1:27" ht="29.25" customHeight="1">
      <c r="A431" s="213"/>
      <c r="B431" s="212"/>
      <c r="C431" s="212"/>
      <c r="D431" s="212"/>
      <c r="E431" s="212"/>
      <c r="F431" s="212"/>
      <c r="G431" s="212"/>
      <c r="H431" s="212"/>
      <c r="I431" s="212"/>
      <c r="J431" s="212"/>
      <c r="K431" s="212"/>
      <c r="L431" s="212"/>
      <c r="M431" s="212"/>
      <c r="N431" s="212"/>
      <c r="O431" s="212"/>
      <c r="P431" s="212"/>
      <c r="Q431" s="212"/>
      <c r="R431" s="212"/>
      <c r="S431" s="212"/>
      <c r="T431" s="212"/>
      <c r="U431" s="212"/>
      <c r="V431" s="212"/>
      <c r="W431" s="212"/>
      <c r="X431" s="212"/>
      <c r="Y431" s="212"/>
      <c r="Z431" s="212"/>
      <c r="AA431" s="212"/>
    </row>
    <row r="432" spans="1:27">
      <c r="A432" s="213"/>
      <c r="B432" s="212"/>
      <c r="C432" s="212"/>
      <c r="D432" s="212"/>
      <c r="E432" s="212"/>
      <c r="F432" s="212"/>
      <c r="G432" s="212"/>
      <c r="H432" s="212"/>
      <c r="I432" s="212"/>
      <c r="J432" s="212"/>
      <c r="K432" s="212"/>
      <c r="L432" s="212"/>
      <c r="M432" s="212"/>
      <c r="N432" s="212"/>
      <c r="O432" s="212"/>
      <c r="P432" s="212"/>
      <c r="Q432" s="212"/>
      <c r="R432" s="212"/>
      <c r="S432" s="212"/>
      <c r="T432" s="212"/>
      <c r="U432" s="212"/>
      <c r="V432" s="212"/>
      <c r="W432" s="212"/>
      <c r="X432" s="212"/>
      <c r="Y432" s="212"/>
      <c r="Z432" s="212"/>
      <c r="AA432" s="212"/>
    </row>
    <row r="433" spans="1:27">
      <c r="A433" s="213"/>
      <c r="B433" s="212"/>
      <c r="C433" s="212"/>
      <c r="D433" s="212"/>
      <c r="E433" s="212"/>
      <c r="F433" s="212"/>
      <c r="G433" s="212"/>
      <c r="H433" s="212"/>
      <c r="I433" s="212"/>
      <c r="J433" s="212"/>
      <c r="K433" s="212"/>
      <c r="L433" s="212"/>
      <c r="M433" s="212"/>
      <c r="N433" s="212"/>
      <c r="O433" s="212"/>
      <c r="P433" s="212"/>
      <c r="Q433" s="212"/>
      <c r="R433" s="212"/>
      <c r="S433" s="212"/>
      <c r="T433" s="212"/>
      <c r="U433" s="212"/>
      <c r="V433" s="212"/>
      <c r="W433" s="212"/>
      <c r="X433" s="212"/>
      <c r="Y433" s="212"/>
      <c r="Z433" s="212"/>
      <c r="AA433" s="212"/>
    </row>
    <row r="434" spans="1:27">
      <c r="A434" s="213"/>
      <c r="B434" s="212"/>
      <c r="C434" s="212"/>
      <c r="D434" s="212"/>
      <c r="E434" s="212"/>
      <c r="F434" s="212"/>
      <c r="G434" s="212"/>
      <c r="H434" s="212"/>
      <c r="I434" s="212"/>
      <c r="J434" s="212"/>
      <c r="K434" s="212"/>
      <c r="L434" s="212"/>
      <c r="M434" s="212"/>
      <c r="N434" s="212"/>
      <c r="O434" s="212"/>
      <c r="P434" s="212"/>
      <c r="Q434" s="212"/>
      <c r="R434" s="212"/>
      <c r="S434" s="212"/>
      <c r="T434" s="212"/>
      <c r="U434" s="212"/>
      <c r="V434" s="212"/>
      <c r="W434" s="212"/>
      <c r="X434" s="212"/>
      <c r="Y434" s="212"/>
      <c r="Z434" s="212"/>
      <c r="AA434" s="212"/>
    </row>
    <row r="435" spans="1:27">
      <c r="A435" s="213"/>
      <c r="B435" s="212"/>
      <c r="C435" s="212"/>
      <c r="D435" s="212"/>
      <c r="E435" s="212"/>
      <c r="F435" s="212"/>
      <c r="G435" s="212"/>
      <c r="H435" s="212"/>
      <c r="I435" s="212"/>
      <c r="J435" s="212"/>
      <c r="K435" s="212"/>
      <c r="L435" s="212"/>
      <c r="M435" s="212"/>
      <c r="N435" s="212"/>
      <c r="O435" s="212"/>
      <c r="P435" s="212"/>
      <c r="Q435" s="212"/>
      <c r="R435" s="212"/>
      <c r="S435" s="212"/>
      <c r="T435" s="212"/>
      <c r="U435" s="212"/>
      <c r="V435" s="212"/>
      <c r="W435" s="212"/>
      <c r="X435" s="212"/>
      <c r="Y435" s="212"/>
      <c r="Z435" s="212"/>
      <c r="AA435" s="212"/>
    </row>
    <row r="436" spans="1:27">
      <c r="A436" s="213"/>
      <c r="B436" s="212"/>
      <c r="C436" s="212"/>
      <c r="D436" s="212"/>
      <c r="E436" s="212"/>
      <c r="F436" s="212"/>
      <c r="G436" s="212"/>
      <c r="H436" s="212"/>
      <c r="I436" s="212"/>
      <c r="J436" s="212"/>
      <c r="K436" s="212"/>
      <c r="L436" s="212"/>
      <c r="M436" s="212"/>
      <c r="N436" s="212"/>
      <c r="O436" s="212"/>
      <c r="P436" s="212"/>
      <c r="Q436" s="212"/>
      <c r="R436" s="212"/>
      <c r="S436" s="212"/>
      <c r="T436" s="212"/>
      <c r="U436" s="212"/>
      <c r="V436" s="212"/>
      <c r="W436" s="212"/>
      <c r="X436" s="212"/>
      <c r="Y436" s="212"/>
      <c r="Z436" s="212"/>
      <c r="AA436" s="212"/>
    </row>
    <row r="437" spans="1:27">
      <c r="A437" s="213"/>
      <c r="B437" s="212"/>
      <c r="C437" s="212"/>
      <c r="D437" s="212"/>
      <c r="E437" s="212"/>
      <c r="F437" s="212"/>
      <c r="G437" s="212"/>
      <c r="H437" s="212"/>
      <c r="I437" s="212"/>
      <c r="J437" s="212"/>
      <c r="K437" s="212"/>
      <c r="L437" s="212"/>
      <c r="M437" s="212"/>
      <c r="N437" s="212"/>
      <c r="O437" s="212"/>
      <c r="P437" s="212"/>
      <c r="Q437" s="212"/>
      <c r="R437" s="212"/>
      <c r="S437" s="212"/>
      <c r="T437" s="212"/>
      <c r="U437" s="212"/>
      <c r="V437" s="212"/>
      <c r="W437" s="212"/>
      <c r="X437" s="212"/>
      <c r="Y437" s="212"/>
      <c r="Z437" s="212"/>
      <c r="AA437" s="212"/>
    </row>
    <row r="438" spans="1:27">
      <c r="A438" s="213"/>
      <c r="B438" s="212"/>
      <c r="C438" s="212"/>
      <c r="D438" s="212"/>
      <c r="E438" s="212"/>
      <c r="F438" s="212"/>
      <c r="G438" s="212"/>
      <c r="H438" s="212"/>
      <c r="I438" s="212"/>
      <c r="J438" s="212"/>
      <c r="K438" s="212"/>
      <c r="L438" s="212"/>
      <c r="M438" s="212"/>
      <c r="N438" s="212"/>
      <c r="O438" s="212"/>
      <c r="P438" s="212"/>
      <c r="Q438" s="212"/>
      <c r="R438" s="212"/>
      <c r="S438" s="212"/>
      <c r="T438" s="212"/>
      <c r="U438" s="212"/>
      <c r="V438" s="212"/>
      <c r="W438" s="212"/>
      <c r="X438" s="212"/>
      <c r="Y438" s="212"/>
      <c r="Z438" s="212"/>
      <c r="AA438" s="212"/>
    </row>
    <row r="439" spans="1:27">
      <c r="A439" s="213"/>
      <c r="B439" s="212"/>
      <c r="C439" s="212"/>
      <c r="D439" s="212"/>
      <c r="E439" s="212"/>
      <c r="F439" s="212"/>
      <c r="G439" s="212"/>
      <c r="H439" s="212"/>
      <c r="I439" s="212"/>
      <c r="J439" s="212"/>
      <c r="K439" s="212"/>
      <c r="L439" s="212"/>
      <c r="M439" s="212"/>
      <c r="N439" s="212"/>
      <c r="O439" s="212"/>
      <c r="P439" s="212"/>
      <c r="Q439" s="212"/>
      <c r="R439" s="212"/>
      <c r="S439" s="212"/>
      <c r="T439" s="212"/>
      <c r="U439" s="212"/>
      <c r="V439" s="212"/>
      <c r="W439" s="212"/>
      <c r="X439" s="212"/>
      <c r="Y439" s="212"/>
      <c r="Z439" s="212"/>
      <c r="AA439" s="212"/>
    </row>
    <row r="440" spans="1:27">
      <c r="A440" s="213"/>
      <c r="B440" s="212"/>
      <c r="C440" s="212"/>
      <c r="D440" s="212"/>
      <c r="E440" s="212"/>
      <c r="F440" s="212"/>
      <c r="G440" s="212"/>
      <c r="H440" s="212"/>
      <c r="I440" s="212"/>
      <c r="J440" s="212"/>
      <c r="K440" s="212"/>
      <c r="L440" s="212"/>
      <c r="M440" s="212"/>
      <c r="N440" s="212"/>
      <c r="O440" s="212"/>
      <c r="P440" s="212"/>
      <c r="Q440" s="212"/>
      <c r="R440" s="212"/>
      <c r="S440" s="212"/>
      <c r="T440" s="212"/>
      <c r="U440" s="212"/>
      <c r="V440" s="212"/>
      <c r="W440" s="212"/>
      <c r="X440" s="212"/>
      <c r="Y440" s="212"/>
      <c r="Z440" s="212"/>
      <c r="AA440" s="212"/>
    </row>
    <row r="441" spans="1:27">
      <c r="A441" s="213"/>
      <c r="B441" s="212"/>
      <c r="C441" s="212"/>
      <c r="D441" s="212"/>
      <c r="E441" s="212"/>
      <c r="F441" s="212"/>
      <c r="G441" s="212"/>
      <c r="H441" s="212"/>
      <c r="I441" s="212"/>
      <c r="J441" s="212"/>
      <c r="K441" s="212"/>
      <c r="L441" s="212"/>
      <c r="M441" s="212"/>
      <c r="N441" s="212"/>
      <c r="O441" s="212"/>
      <c r="P441" s="212"/>
      <c r="Q441" s="212"/>
      <c r="R441" s="212"/>
      <c r="S441" s="212"/>
      <c r="T441" s="212"/>
      <c r="U441" s="212"/>
      <c r="V441" s="212"/>
      <c r="W441" s="212"/>
      <c r="X441" s="212"/>
      <c r="Y441" s="212"/>
      <c r="Z441" s="212"/>
      <c r="AA441" s="212"/>
    </row>
    <row r="442" spans="1:27">
      <c r="A442" s="213"/>
      <c r="B442" s="212"/>
      <c r="C442" s="212"/>
      <c r="D442" s="212"/>
      <c r="E442" s="212"/>
      <c r="F442" s="212"/>
      <c r="G442" s="212"/>
      <c r="H442" s="212"/>
      <c r="I442" s="212"/>
      <c r="J442" s="212"/>
      <c r="K442" s="212"/>
      <c r="L442" s="212"/>
      <c r="M442" s="212"/>
      <c r="N442" s="212"/>
      <c r="O442" s="212"/>
      <c r="P442" s="212"/>
      <c r="Q442" s="212"/>
      <c r="R442" s="212"/>
      <c r="S442" s="212"/>
      <c r="T442" s="212"/>
      <c r="U442" s="212"/>
      <c r="V442" s="212"/>
      <c r="W442" s="212"/>
      <c r="X442" s="212"/>
      <c r="Y442" s="212"/>
      <c r="Z442" s="212"/>
      <c r="AA442" s="212"/>
    </row>
    <row r="443" spans="1:27">
      <c r="A443" s="213"/>
      <c r="B443" s="212"/>
      <c r="C443" s="212"/>
      <c r="D443" s="212"/>
      <c r="E443" s="212"/>
      <c r="F443" s="212"/>
      <c r="G443" s="212"/>
      <c r="H443" s="212"/>
      <c r="I443" s="212"/>
      <c r="J443" s="212"/>
      <c r="K443" s="212"/>
      <c r="L443" s="212"/>
      <c r="M443" s="212"/>
      <c r="N443" s="212"/>
      <c r="O443" s="212"/>
      <c r="P443" s="212"/>
      <c r="Q443" s="212"/>
      <c r="R443" s="212"/>
      <c r="S443" s="212"/>
      <c r="T443" s="212"/>
      <c r="U443" s="212"/>
      <c r="V443" s="212"/>
      <c r="W443" s="212"/>
      <c r="X443" s="212"/>
      <c r="Y443" s="212"/>
      <c r="Z443" s="212"/>
      <c r="AA443" s="212"/>
    </row>
    <row r="444" spans="1:27">
      <c r="A444" s="213"/>
      <c r="B444" s="212"/>
      <c r="C444" s="212"/>
      <c r="D444" s="212"/>
      <c r="E444" s="212"/>
      <c r="F444" s="212"/>
      <c r="G444" s="212"/>
      <c r="H444" s="212"/>
      <c r="I444" s="212"/>
      <c r="J444" s="212"/>
      <c r="K444" s="212"/>
      <c r="L444" s="212"/>
      <c r="M444" s="212"/>
      <c r="N444" s="212"/>
      <c r="O444" s="212"/>
      <c r="P444" s="212"/>
      <c r="Q444" s="212"/>
      <c r="R444" s="212"/>
      <c r="S444" s="212"/>
      <c r="T444" s="212"/>
      <c r="U444" s="212"/>
      <c r="V444" s="212"/>
      <c r="W444" s="212"/>
      <c r="X444" s="212"/>
      <c r="Y444" s="212"/>
      <c r="Z444" s="212"/>
      <c r="AA444" s="212"/>
    </row>
    <row r="445" spans="1:27">
      <c r="A445" s="213"/>
      <c r="B445" s="212"/>
      <c r="C445" s="212"/>
      <c r="D445" s="212"/>
      <c r="E445" s="212"/>
      <c r="F445" s="212"/>
      <c r="G445" s="212"/>
      <c r="H445" s="212"/>
      <c r="I445" s="212"/>
      <c r="J445" s="212"/>
      <c r="K445" s="212"/>
      <c r="L445" s="212"/>
      <c r="M445" s="212"/>
      <c r="N445" s="212"/>
      <c r="O445" s="212"/>
      <c r="P445" s="212"/>
      <c r="Q445" s="212"/>
      <c r="R445" s="212"/>
      <c r="S445" s="212"/>
      <c r="T445" s="212"/>
      <c r="U445" s="212"/>
      <c r="V445" s="212"/>
      <c r="W445" s="212"/>
      <c r="X445" s="212"/>
      <c r="Y445" s="212"/>
      <c r="Z445" s="212"/>
      <c r="AA445" s="212"/>
    </row>
    <row r="446" spans="1:27">
      <c r="A446" s="213"/>
      <c r="B446" s="212"/>
      <c r="C446" s="212"/>
      <c r="D446" s="212"/>
      <c r="E446" s="212"/>
      <c r="F446" s="212"/>
      <c r="G446" s="212"/>
      <c r="H446" s="212"/>
      <c r="I446" s="212"/>
      <c r="J446" s="212"/>
      <c r="K446" s="212"/>
      <c r="L446" s="212"/>
      <c r="M446" s="212"/>
      <c r="N446" s="212"/>
      <c r="O446" s="212"/>
      <c r="P446" s="212"/>
      <c r="Q446" s="212"/>
      <c r="R446" s="212"/>
      <c r="S446" s="212"/>
      <c r="T446" s="212"/>
      <c r="U446" s="212"/>
      <c r="V446" s="212"/>
      <c r="W446" s="212"/>
      <c r="X446" s="212"/>
      <c r="Y446" s="212"/>
      <c r="Z446" s="212"/>
      <c r="AA446" s="212"/>
    </row>
    <row r="447" spans="1:27">
      <c r="A447" s="213"/>
      <c r="B447" s="212"/>
      <c r="C447" s="212"/>
      <c r="D447" s="212"/>
      <c r="E447" s="212"/>
      <c r="F447" s="212"/>
      <c r="G447" s="212"/>
      <c r="H447" s="212"/>
      <c r="I447" s="212"/>
      <c r="J447" s="212"/>
      <c r="K447" s="212"/>
      <c r="L447" s="212"/>
      <c r="M447" s="212"/>
      <c r="N447" s="212"/>
      <c r="O447" s="212"/>
      <c r="P447" s="212"/>
      <c r="Q447" s="212"/>
      <c r="R447" s="212"/>
      <c r="S447" s="212"/>
      <c r="T447" s="212"/>
      <c r="U447" s="212"/>
      <c r="V447" s="212"/>
      <c r="W447" s="212"/>
      <c r="X447" s="212"/>
      <c r="Y447" s="212"/>
      <c r="Z447" s="212"/>
      <c r="AA447" s="212"/>
    </row>
    <row r="448" spans="1:27">
      <c r="A448" s="213"/>
      <c r="B448" s="212"/>
      <c r="C448" s="212"/>
      <c r="D448" s="212"/>
      <c r="E448" s="212"/>
      <c r="F448" s="212"/>
      <c r="G448" s="212"/>
      <c r="H448" s="212"/>
      <c r="I448" s="212"/>
      <c r="J448" s="212"/>
      <c r="K448" s="212"/>
      <c r="L448" s="212"/>
      <c r="M448" s="212"/>
      <c r="N448" s="212"/>
      <c r="O448" s="212"/>
      <c r="P448" s="212"/>
      <c r="Q448" s="212"/>
      <c r="R448" s="212"/>
      <c r="S448" s="212"/>
      <c r="T448" s="212"/>
      <c r="U448" s="212"/>
      <c r="V448" s="212"/>
      <c r="W448" s="212"/>
      <c r="X448" s="212"/>
      <c r="Y448" s="212"/>
      <c r="Z448" s="212"/>
      <c r="AA448" s="212"/>
    </row>
    <row r="449" spans="1:27">
      <c r="A449" s="213"/>
      <c r="B449" s="212"/>
      <c r="C449" s="212"/>
      <c r="D449" s="212"/>
      <c r="E449" s="212"/>
      <c r="F449" s="212"/>
      <c r="G449" s="212"/>
      <c r="H449" s="212"/>
      <c r="I449" s="212"/>
      <c r="J449" s="212"/>
      <c r="K449" s="212"/>
      <c r="L449" s="212"/>
      <c r="M449" s="212"/>
      <c r="N449" s="212"/>
      <c r="O449" s="212"/>
      <c r="P449" s="212"/>
      <c r="Q449" s="212"/>
      <c r="R449" s="212"/>
      <c r="S449" s="212"/>
      <c r="T449" s="212"/>
      <c r="U449" s="212"/>
      <c r="V449" s="212"/>
      <c r="W449" s="212"/>
      <c r="X449" s="212"/>
      <c r="Y449" s="212"/>
      <c r="Z449" s="212"/>
      <c r="AA449" s="212"/>
    </row>
    <row r="450" spans="1:27">
      <c r="A450" s="213"/>
      <c r="B450" s="212"/>
      <c r="C450" s="212"/>
      <c r="D450" s="212"/>
      <c r="E450" s="212"/>
      <c r="F450" s="212"/>
      <c r="G450" s="212"/>
      <c r="H450" s="212"/>
      <c r="I450" s="212"/>
      <c r="J450" s="212"/>
      <c r="K450" s="212"/>
      <c r="L450" s="212"/>
      <c r="M450" s="212"/>
      <c r="N450" s="212"/>
      <c r="O450" s="212"/>
      <c r="P450" s="212"/>
      <c r="Q450" s="212"/>
      <c r="R450" s="212"/>
      <c r="S450" s="212"/>
      <c r="T450" s="212"/>
      <c r="U450" s="212"/>
      <c r="V450" s="212"/>
      <c r="W450" s="212"/>
      <c r="X450" s="212"/>
      <c r="Y450" s="212"/>
      <c r="Z450" s="212"/>
      <c r="AA450" s="212"/>
    </row>
    <row r="451" spans="1:27">
      <c r="A451" s="213"/>
      <c r="B451" s="212"/>
      <c r="C451" s="212"/>
      <c r="D451" s="212"/>
      <c r="E451" s="212"/>
      <c r="F451" s="212"/>
      <c r="G451" s="212"/>
      <c r="H451" s="212"/>
      <c r="I451" s="212"/>
      <c r="J451" s="212"/>
      <c r="K451" s="212"/>
      <c r="L451" s="212"/>
      <c r="M451" s="212"/>
      <c r="N451" s="212"/>
      <c r="O451" s="212"/>
      <c r="P451" s="212"/>
      <c r="Q451" s="212"/>
      <c r="R451" s="212"/>
      <c r="S451" s="212"/>
      <c r="T451" s="212"/>
      <c r="U451" s="212"/>
      <c r="V451" s="212"/>
      <c r="W451" s="212"/>
      <c r="X451" s="212"/>
      <c r="Y451" s="212"/>
      <c r="Z451" s="212"/>
      <c r="AA451" s="212"/>
    </row>
    <row r="452" spans="1:27">
      <c r="A452" s="213"/>
      <c r="B452" s="212"/>
      <c r="C452" s="212"/>
      <c r="D452" s="212"/>
      <c r="E452" s="212"/>
      <c r="F452" s="212"/>
      <c r="G452" s="212"/>
      <c r="H452" s="212"/>
      <c r="I452" s="212"/>
      <c r="J452" s="212"/>
      <c r="K452" s="212"/>
      <c r="L452" s="212"/>
      <c r="M452" s="212"/>
      <c r="N452" s="212"/>
      <c r="O452" s="212"/>
      <c r="P452" s="212"/>
      <c r="Q452" s="212"/>
      <c r="R452" s="212"/>
      <c r="S452" s="212"/>
      <c r="T452" s="212"/>
      <c r="U452" s="212"/>
      <c r="V452" s="212"/>
      <c r="W452" s="212"/>
      <c r="X452" s="212"/>
      <c r="Y452" s="212"/>
      <c r="Z452" s="212"/>
      <c r="AA452" s="212"/>
    </row>
    <row r="453" spans="1:27">
      <c r="A453" s="213"/>
      <c r="B453" s="212"/>
      <c r="C453" s="212"/>
      <c r="D453" s="212"/>
      <c r="E453" s="212"/>
      <c r="F453" s="212"/>
      <c r="G453" s="212"/>
      <c r="H453" s="212"/>
      <c r="I453" s="212"/>
      <c r="J453" s="212"/>
      <c r="K453" s="212"/>
      <c r="L453" s="212"/>
      <c r="M453" s="212"/>
      <c r="N453" s="212"/>
      <c r="O453" s="212"/>
      <c r="P453" s="212"/>
      <c r="Q453" s="212"/>
      <c r="R453" s="212"/>
      <c r="S453" s="212"/>
      <c r="T453" s="212"/>
      <c r="U453" s="212"/>
      <c r="V453" s="212"/>
      <c r="W453" s="212"/>
      <c r="X453" s="212"/>
      <c r="Y453" s="212"/>
      <c r="Z453" s="212"/>
      <c r="AA453" s="212"/>
    </row>
    <row r="454" spans="1:27">
      <c r="A454" s="213"/>
      <c r="B454" s="212"/>
      <c r="C454" s="212"/>
      <c r="D454" s="212"/>
      <c r="E454" s="212"/>
      <c r="F454" s="212"/>
      <c r="G454" s="212"/>
      <c r="H454" s="212"/>
      <c r="I454" s="212"/>
      <c r="J454" s="212"/>
      <c r="K454" s="212"/>
      <c r="L454" s="212"/>
      <c r="M454" s="212"/>
      <c r="N454" s="212"/>
      <c r="O454" s="212"/>
      <c r="P454" s="212"/>
      <c r="Q454" s="212"/>
      <c r="R454" s="212"/>
      <c r="S454" s="212"/>
      <c r="T454" s="212"/>
      <c r="U454" s="212"/>
      <c r="V454" s="212"/>
      <c r="W454" s="212"/>
      <c r="X454" s="212"/>
      <c r="Y454" s="212"/>
      <c r="Z454" s="212"/>
      <c r="AA454" s="212"/>
    </row>
    <row r="455" spans="1:27">
      <c r="A455" s="213"/>
      <c r="B455" s="212"/>
      <c r="C455" s="212"/>
      <c r="D455" s="212"/>
      <c r="E455" s="212"/>
      <c r="F455" s="212"/>
      <c r="G455" s="212"/>
      <c r="H455" s="212"/>
      <c r="I455" s="212"/>
      <c r="J455" s="212"/>
      <c r="K455" s="212"/>
      <c r="L455" s="212"/>
      <c r="M455" s="212"/>
      <c r="N455" s="212"/>
      <c r="O455" s="212"/>
      <c r="P455" s="212"/>
      <c r="Q455" s="212"/>
      <c r="R455" s="212"/>
      <c r="S455" s="212"/>
      <c r="T455" s="212"/>
      <c r="U455" s="212"/>
      <c r="V455" s="212"/>
      <c r="W455" s="212"/>
      <c r="X455" s="212"/>
      <c r="Y455" s="212"/>
      <c r="Z455" s="212"/>
      <c r="AA455" s="212"/>
    </row>
    <row r="456" spans="1:27">
      <c r="A456" s="213"/>
      <c r="B456" s="212"/>
      <c r="C456" s="212"/>
      <c r="D456" s="212"/>
      <c r="E456" s="212"/>
      <c r="F456" s="212"/>
      <c r="G456" s="212"/>
      <c r="H456" s="212"/>
      <c r="I456" s="212"/>
      <c r="J456" s="212"/>
      <c r="K456" s="212"/>
      <c r="L456" s="212"/>
      <c r="M456" s="212"/>
      <c r="N456" s="212"/>
      <c r="O456" s="212"/>
      <c r="P456" s="212"/>
      <c r="Q456" s="212"/>
      <c r="R456" s="212"/>
      <c r="S456" s="212"/>
      <c r="T456" s="212"/>
      <c r="U456" s="212"/>
      <c r="V456" s="212"/>
      <c r="W456" s="212"/>
      <c r="X456" s="212"/>
      <c r="Y456" s="212"/>
      <c r="Z456" s="212"/>
      <c r="AA456" s="212"/>
    </row>
    <row r="457" spans="1:27">
      <c r="A457" s="213"/>
      <c r="B457" s="212"/>
      <c r="C457" s="212"/>
      <c r="D457" s="212"/>
      <c r="E457" s="212"/>
      <c r="F457" s="212"/>
      <c r="G457" s="212"/>
      <c r="H457" s="212"/>
      <c r="I457" s="212"/>
      <c r="J457" s="212"/>
      <c r="K457" s="212"/>
      <c r="L457" s="212"/>
      <c r="M457" s="212"/>
      <c r="N457" s="212"/>
      <c r="O457" s="212"/>
      <c r="P457" s="212"/>
      <c r="Q457" s="212"/>
      <c r="R457" s="212"/>
      <c r="S457" s="212"/>
      <c r="T457" s="212"/>
      <c r="U457" s="212"/>
      <c r="V457" s="212"/>
      <c r="W457" s="212"/>
      <c r="X457" s="212"/>
      <c r="Y457" s="212"/>
      <c r="Z457" s="212"/>
      <c r="AA457" s="212"/>
    </row>
    <row r="458" spans="1:27">
      <c r="A458" s="213"/>
      <c r="B458" s="212"/>
      <c r="C458" s="212"/>
      <c r="D458" s="212"/>
      <c r="E458" s="212"/>
      <c r="F458" s="212"/>
      <c r="G458" s="212"/>
      <c r="H458" s="212"/>
      <c r="I458" s="212"/>
      <c r="J458" s="212"/>
      <c r="K458" s="212"/>
      <c r="L458" s="212"/>
      <c r="M458" s="212"/>
      <c r="N458" s="212"/>
      <c r="O458" s="212"/>
      <c r="P458" s="212"/>
      <c r="Q458" s="212"/>
      <c r="R458" s="212"/>
      <c r="S458" s="212"/>
      <c r="T458" s="212"/>
      <c r="U458" s="212"/>
      <c r="V458" s="212"/>
      <c r="W458" s="212"/>
      <c r="X458" s="212"/>
      <c r="Y458" s="212"/>
      <c r="Z458" s="212"/>
      <c r="AA458" s="212"/>
    </row>
    <row r="459" spans="1:27">
      <c r="A459" s="213"/>
      <c r="B459" s="212"/>
      <c r="C459" s="212"/>
      <c r="D459" s="212"/>
      <c r="E459" s="212"/>
      <c r="F459" s="212"/>
      <c r="G459" s="212"/>
      <c r="H459" s="212"/>
      <c r="I459" s="212"/>
      <c r="J459" s="212"/>
      <c r="K459" s="212"/>
      <c r="L459" s="212"/>
      <c r="M459" s="212"/>
      <c r="N459" s="212"/>
      <c r="O459" s="212"/>
      <c r="P459" s="212"/>
      <c r="Q459" s="212"/>
      <c r="R459" s="212"/>
      <c r="S459" s="212"/>
      <c r="T459" s="212"/>
      <c r="U459" s="212"/>
      <c r="V459" s="212"/>
      <c r="W459" s="212"/>
      <c r="X459" s="212"/>
      <c r="Y459" s="212"/>
      <c r="Z459" s="212"/>
      <c r="AA459" s="212"/>
    </row>
    <row r="460" spans="1:27">
      <c r="A460" s="213"/>
      <c r="B460" s="212"/>
      <c r="C460" s="212"/>
      <c r="D460" s="212"/>
      <c r="E460" s="212"/>
      <c r="F460" s="212"/>
      <c r="G460" s="212"/>
      <c r="H460" s="212"/>
      <c r="I460" s="212"/>
      <c r="J460" s="212"/>
      <c r="K460" s="212"/>
      <c r="L460" s="212"/>
      <c r="M460" s="212"/>
      <c r="N460" s="212"/>
      <c r="O460" s="212"/>
      <c r="P460" s="212"/>
      <c r="Q460" s="212"/>
      <c r="R460" s="212"/>
      <c r="S460" s="212"/>
      <c r="T460" s="212"/>
      <c r="U460" s="212"/>
      <c r="V460" s="212"/>
      <c r="W460" s="212"/>
      <c r="X460" s="212"/>
      <c r="Y460" s="212"/>
      <c r="Z460" s="212"/>
      <c r="AA460" s="212"/>
    </row>
    <row r="461" spans="1:27">
      <c r="A461" s="213"/>
      <c r="B461" s="212"/>
      <c r="C461" s="212"/>
      <c r="D461" s="212"/>
      <c r="E461" s="212"/>
      <c r="F461" s="212"/>
      <c r="G461" s="212"/>
      <c r="H461" s="212"/>
      <c r="I461" s="212"/>
      <c r="J461" s="212"/>
      <c r="K461" s="212"/>
      <c r="L461" s="212"/>
      <c r="M461" s="212"/>
      <c r="N461" s="212"/>
      <c r="O461" s="212"/>
      <c r="P461" s="212"/>
      <c r="Q461" s="212"/>
      <c r="R461" s="212"/>
      <c r="S461" s="212"/>
      <c r="T461" s="212"/>
      <c r="U461" s="212"/>
      <c r="V461" s="212"/>
      <c r="W461" s="212"/>
      <c r="X461" s="212"/>
      <c r="Y461" s="212"/>
      <c r="Z461" s="212"/>
      <c r="AA461" s="212"/>
    </row>
    <row r="462" spans="1:27">
      <c r="A462" s="213"/>
      <c r="B462" s="212"/>
      <c r="C462" s="212"/>
      <c r="D462" s="212"/>
      <c r="E462" s="212"/>
      <c r="F462" s="212"/>
      <c r="G462" s="212"/>
      <c r="H462" s="212"/>
      <c r="I462" s="212"/>
      <c r="J462" s="212"/>
      <c r="K462" s="212"/>
      <c r="L462" s="212"/>
      <c r="M462" s="212"/>
      <c r="N462" s="212"/>
      <c r="O462" s="212"/>
      <c r="P462" s="212"/>
      <c r="Q462" s="212"/>
      <c r="R462" s="212"/>
      <c r="S462" s="212"/>
      <c r="T462" s="212"/>
      <c r="U462" s="212"/>
      <c r="V462" s="212"/>
      <c r="W462" s="212"/>
      <c r="X462" s="212"/>
      <c r="Y462" s="212"/>
      <c r="Z462" s="212"/>
      <c r="AA462" s="212"/>
    </row>
    <row r="463" spans="1:27">
      <c r="A463" s="213"/>
      <c r="B463" s="212"/>
      <c r="C463" s="212"/>
      <c r="D463" s="212"/>
      <c r="E463" s="212"/>
      <c r="F463" s="212"/>
      <c r="G463" s="212"/>
      <c r="H463" s="212"/>
      <c r="I463" s="212"/>
      <c r="J463" s="212"/>
      <c r="K463" s="212"/>
      <c r="L463" s="212"/>
      <c r="M463" s="212"/>
      <c r="N463" s="212"/>
      <c r="O463" s="212"/>
      <c r="P463" s="212"/>
      <c r="Q463" s="212"/>
      <c r="R463" s="212"/>
      <c r="S463" s="212"/>
      <c r="T463" s="212"/>
      <c r="U463" s="212"/>
      <c r="V463" s="212"/>
      <c r="W463" s="212"/>
      <c r="X463" s="212"/>
      <c r="Y463" s="212"/>
      <c r="Z463" s="212"/>
      <c r="AA463" s="212"/>
    </row>
    <row r="464" spans="1:27">
      <c r="A464" s="213"/>
      <c r="B464" s="212"/>
      <c r="C464" s="212"/>
      <c r="D464" s="212"/>
      <c r="E464" s="212"/>
      <c r="F464" s="212"/>
      <c r="G464" s="212"/>
      <c r="H464" s="212"/>
      <c r="I464" s="212"/>
      <c r="J464" s="212"/>
      <c r="K464" s="212"/>
      <c r="L464" s="212"/>
      <c r="M464" s="212"/>
      <c r="N464" s="212"/>
      <c r="O464" s="212"/>
      <c r="P464" s="212"/>
      <c r="Q464" s="212"/>
      <c r="R464" s="212"/>
      <c r="S464" s="212"/>
      <c r="T464" s="212"/>
      <c r="U464" s="212"/>
      <c r="V464" s="212"/>
      <c r="W464" s="212"/>
      <c r="X464" s="212"/>
      <c r="Y464" s="212"/>
      <c r="Z464" s="212"/>
      <c r="AA464" s="212"/>
    </row>
    <row r="465" spans="1:27">
      <c r="A465" s="213"/>
      <c r="B465" s="212"/>
      <c r="C465" s="212"/>
      <c r="D465" s="212"/>
      <c r="E465" s="212"/>
      <c r="F465" s="212"/>
      <c r="G465" s="212"/>
      <c r="H465" s="212"/>
      <c r="I465" s="212"/>
      <c r="J465" s="212"/>
      <c r="K465" s="212"/>
      <c r="L465" s="212"/>
      <c r="M465" s="212"/>
      <c r="N465" s="212"/>
      <c r="O465" s="212"/>
      <c r="P465" s="212"/>
      <c r="Q465" s="212"/>
      <c r="R465" s="212"/>
      <c r="S465" s="212"/>
      <c r="T465" s="212"/>
      <c r="U465" s="212"/>
      <c r="V465" s="212"/>
      <c r="W465" s="212"/>
      <c r="X465" s="212"/>
      <c r="Y465" s="212"/>
      <c r="Z465" s="212"/>
      <c r="AA465" s="212"/>
    </row>
    <row r="466" spans="1:27">
      <c r="A466" s="213"/>
      <c r="B466" s="212"/>
      <c r="C466" s="212"/>
      <c r="D466" s="212"/>
      <c r="E466" s="212"/>
      <c r="F466" s="212"/>
      <c r="G466" s="212"/>
      <c r="H466" s="212"/>
      <c r="I466" s="212"/>
      <c r="J466" s="212"/>
      <c r="K466" s="212"/>
      <c r="L466" s="212"/>
      <c r="M466" s="212"/>
      <c r="N466" s="212"/>
      <c r="O466" s="212"/>
      <c r="P466" s="212"/>
      <c r="Q466" s="212"/>
      <c r="R466" s="212"/>
      <c r="S466" s="212"/>
      <c r="T466" s="212"/>
      <c r="U466" s="212"/>
      <c r="V466" s="212"/>
      <c r="W466" s="212"/>
      <c r="X466" s="212"/>
      <c r="Y466" s="212"/>
      <c r="Z466" s="212"/>
      <c r="AA466" s="212"/>
    </row>
    <row r="467" spans="1:27">
      <c r="A467" s="213"/>
      <c r="B467" s="212"/>
      <c r="C467" s="212"/>
      <c r="D467" s="212"/>
      <c r="E467" s="212"/>
      <c r="F467" s="212"/>
      <c r="G467" s="212"/>
      <c r="H467" s="212"/>
      <c r="I467" s="212"/>
      <c r="J467" s="212"/>
      <c r="K467" s="212"/>
      <c r="L467" s="212"/>
      <c r="M467" s="212"/>
      <c r="N467" s="212"/>
      <c r="O467" s="212"/>
      <c r="P467" s="212"/>
      <c r="Q467" s="212"/>
      <c r="R467" s="212"/>
      <c r="S467" s="212"/>
      <c r="T467" s="212"/>
      <c r="U467" s="212"/>
      <c r="V467" s="212"/>
      <c r="W467" s="212"/>
      <c r="X467" s="212"/>
      <c r="Y467" s="212"/>
      <c r="Z467" s="212"/>
      <c r="AA467" s="212"/>
    </row>
    <row r="468" spans="1:27">
      <c r="A468" s="213"/>
      <c r="B468" s="212"/>
      <c r="C468" s="212"/>
      <c r="D468" s="212"/>
      <c r="E468" s="212"/>
      <c r="F468" s="212"/>
      <c r="G468" s="212"/>
      <c r="H468" s="212"/>
      <c r="I468" s="212"/>
      <c r="J468" s="212"/>
      <c r="K468" s="212"/>
      <c r="L468" s="212"/>
      <c r="M468" s="212"/>
      <c r="N468" s="212"/>
      <c r="O468" s="212"/>
      <c r="P468" s="212"/>
      <c r="Q468" s="212"/>
      <c r="R468" s="212"/>
      <c r="S468" s="212"/>
      <c r="T468" s="212"/>
      <c r="U468" s="212"/>
      <c r="V468" s="212"/>
      <c r="W468" s="212"/>
      <c r="X468" s="212"/>
      <c r="Y468" s="212"/>
      <c r="Z468" s="212"/>
      <c r="AA468" s="212"/>
    </row>
    <row r="469" spans="1:27">
      <c r="A469" s="213"/>
      <c r="B469" s="212"/>
      <c r="C469" s="212"/>
      <c r="D469" s="212"/>
      <c r="E469" s="212"/>
      <c r="F469" s="212"/>
      <c r="G469" s="212"/>
      <c r="H469" s="212"/>
      <c r="I469" s="212"/>
      <c r="J469" s="212"/>
      <c r="K469" s="212"/>
      <c r="L469" s="212"/>
      <c r="M469" s="212"/>
      <c r="N469" s="212"/>
      <c r="O469" s="212"/>
      <c r="P469" s="212"/>
      <c r="Q469" s="212"/>
      <c r="R469" s="212"/>
      <c r="S469" s="212"/>
      <c r="T469" s="212"/>
      <c r="U469" s="212"/>
      <c r="V469" s="212"/>
      <c r="W469" s="212"/>
      <c r="X469" s="212"/>
      <c r="Y469" s="212"/>
      <c r="Z469" s="212"/>
      <c r="AA469" s="212"/>
    </row>
    <row r="470" spans="1:27">
      <c r="A470" s="213"/>
      <c r="B470" s="212"/>
      <c r="C470" s="212"/>
      <c r="D470" s="212"/>
      <c r="E470" s="212"/>
      <c r="F470" s="212"/>
      <c r="G470" s="212"/>
      <c r="H470" s="212"/>
      <c r="I470" s="212"/>
      <c r="J470" s="212"/>
      <c r="K470" s="212"/>
      <c r="L470" s="212"/>
      <c r="M470" s="212"/>
      <c r="N470" s="212"/>
      <c r="O470" s="212"/>
      <c r="P470" s="212"/>
      <c r="Q470" s="212"/>
      <c r="R470" s="212"/>
      <c r="S470" s="212"/>
      <c r="T470" s="212"/>
      <c r="U470" s="212"/>
      <c r="V470" s="212"/>
      <c r="W470" s="212"/>
      <c r="X470" s="212"/>
      <c r="Y470" s="212"/>
      <c r="Z470" s="212"/>
      <c r="AA470" s="212"/>
    </row>
    <row r="471" spans="1:27">
      <c r="A471" s="213"/>
      <c r="B471" s="212"/>
      <c r="C471" s="212"/>
      <c r="D471" s="212"/>
      <c r="E471" s="212"/>
      <c r="F471" s="212"/>
      <c r="G471" s="212"/>
      <c r="H471" s="212"/>
      <c r="I471" s="212"/>
      <c r="J471" s="212"/>
      <c r="K471" s="212"/>
      <c r="L471" s="212"/>
      <c r="M471" s="212"/>
      <c r="N471" s="212"/>
      <c r="O471" s="212"/>
      <c r="P471" s="212"/>
      <c r="Q471" s="212"/>
      <c r="R471" s="212"/>
      <c r="S471" s="212"/>
      <c r="T471" s="212"/>
      <c r="U471" s="212"/>
      <c r="V471" s="212"/>
      <c r="W471" s="212"/>
      <c r="X471" s="212"/>
      <c r="Y471" s="212"/>
      <c r="Z471" s="212"/>
      <c r="AA471" s="212"/>
    </row>
    <row r="472" spans="1:27">
      <c r="A472" s="213"/>
      <c r="B472" s="212"/>
      <c r="C472" s="212"/>
      <c r="D472" s="212"/>
      <c r="E472" s="212"/>
      <c r="F472" s="212"/>
      <c r="G472" s="212"/>
      <c r="H472" s="212"/>
      <c r="I472" s="212"/>
      <c r="J472" s="212"/>
      <c r="K472" s="212"/>
      <c r="L472" s="212"/>
      <c r="M472" s="212"/>
      <c r="N472" s="212"/>
      <c r="O472" s="212"/>
      <c r="P472" s="212"/>
      <c r="Q472" s="212"/>
      <c r="R472" s="212"/>
      <c r="S472" s="212"/>
      <c r="T472" s="212"/>
      <c r="U472" s="212"/>
      <c r="V472" s="212"/>
      <c r="W472" s="212"/>
      <c r="X472" s="212"/>
      <c r="Y472" s="212"/>
      <c r="Z472" s="212"/>
      <c r="AA472" s="212"/>
    </row>
    <row r="473" spans="1:27">
      <c r="A473" s="213"/>
      <c r="B473" s="212"/>
      <c r="C473" s="212"/>
      <c r="D473" s="212"/>
      <c r="E473" s="212"/>
      <c r="F473" s="212"/>
      <c r="G473" s="212"/>
      <c r="H473" s="212"/>
      <c r="I473" s="212"/>
      <c r="J473" s="212"/>
      <c r="K473" s="212"/>
      <c r="L473" s="212"/>
      <c r="M473" s="212"/>
      <c r="N473" s="212"/>
      <c r="O473" s="212"/>
      <c r="P473" s="212"/>
      <c r="Q473" s="212"/>
      <c r="R473" s="212"/>
      <c r="S473" s="212"/>
      <c r="T473" s="212"/>
      <c r="U473" s="212"/>
      <c r="V473" s="212"/>
      <c r="W473" s="212"/>
      <c r="X473" s="212"/>
      <c r="Y473" s="212"/>
      <c r="Z473" s="212"/>
      <c r="AA473" s="212"/>
    </row>
    <row r="476" spans="1:27">
      <c r="A476" s="213"/>
      <c r="B476" s="212"/>
      <c r="C476" s="212"/>
      <c r="D476" s="212"/>
      <c r="E476" s="212"/>
      <c r="F476" s="212"/>
      <c r="G476" s="212"/>
      <c r="H476" s="212"/>
      <c r="I476" s="212"/>
      <c r="J476" s="212"/>
      <c r="K476" s="212"/>
      <c r="L476" s="212"/>
      <c r="M476" s="212"/>
      <c r="N476" s="212"/>
      <c r="O476" s="212"/>
      <c r="P476" s="212"/>
      <c r="Q476" s="212"/>
      <c r="R476" s="212"/>
      <c r="S476" s="212"/>
      <c r="T476" s="212"/>
      <c r="U476" s="212"/>
      <c r="V476" s="212"/>
      <c r="W476" s="212"/>
      <c r="X476" s="212"/>
      <c r="Y476" s="212"/>
      <c r="Z476" s="212"/>
      <c r="AA476" s="212"/>
    </row>
    <row r="477" spans="1:27">
      <c r="A477" s="213"/>
      <c r="B477" s="212"/>
      <c r="C477" s="212"/>
      <c r="D477" s="212"/>
      <c r="E477" s="212"/>
      <c r="F477" s="212"/>
      <c r="G477" s="212"/>
      <c r="H477" s="212"/>
      <c r="I477" s="212"/>
      <c r="J477" s="212"/>
      <c r="K477" s="212"/>
      <c r="L477" s="212"/>
      <c r="M477" s="212"/>
      <c r="N477" s="212"/>
      <c r="O477" s="212"/>
      <c r="P477" s="212"/>
      <c r="Q477" s="212"/>
      <c r="R477" s="212"/>
      <c r="S477" s="212"/>
      <c r="T477" s="212"/>
      <c r="U477" s="212"/>
      <c r="V477" s="212"/>
      <c r="W477" s="212"/>
      <c r="X477" s="212"/>
      <c r="Y477" s="212"/>
      <c r="Z477" s="212"/>
      <c r="AA477" s="212"/>
    </row>
    <row r="478" spans="1:27">
      <c r="A478" s="213"/>
      <c r="B478" s="212"/>
      <c r="C478" s="212"/>
      <c r="D478" s="212"/>
      <c r="E478" s="212"/>
      <c r="F478" s="212"/>
      <c r="G478" s="212"/>
      <c r="H478" s="212"/>
      <c r="I478" s="212"/>
      <c r="J478" s="212"/>
      <c r="K478" s="212"/>
      <c r="L478" s="212"/>
      <c r="M478" s="212"/>
      <c r="N478" s="212"/>
      <c r="O478" s="212"/>
      <c r="P478" s="212"/>
      <c r="Q478" s="212"/>
      <c r="R478" s="212"/>
      <c r="S478" s="212"/>
      <c r="T478" s="212"/>
      <c r="U478" s="212"/>
      <c r="V478" s="212"/>
      <c r="W478" s="212"/>
      <c r="X478" s="212"/>
      <c r="Y478" s="212"/>
      <c r="Z478" s="212"/>
      <c r="AA478" s="212"/>
    </row>
    <row r="479" spans="1:27">
      <c r="A479" s="213"/>
      <c r="B479" s="212"/>
      <c r="C479" s="212"/>
      <c r="D479" s="212"/>
      <c r="E479" s="212"/>
      <c r="F479" s="212"/>
      <c r="G479" s="212"/>
      <c r="H479" s="212"/>
      <c r="I479" s="212"/>
      <c r="J479" s="212"/>
      <c r="K479" s="212"/>
      <c r="L479" s="212"/>
      <c r="M479" s="212"/>
      <c r="N479" s="212"/>
      <c r="O479" s="212"/>
      <c r="P479" s="212"/>
      <c r="Q479" s="212"/>
      <c r="R479" s="212"/>
      <c r="S479" s="212"/>
      <c r="T479" s="212"/>
      <c r="U479" s="212"/>
      <c r="V479" s="212"/>
      <c r="W479" s="212"/>
      <c r="X479" s="212"/>
      <c r="Y479" s="212"/>
      <c r="Z479" s="212"/>
      <c r="AA479" s="212"/>
    </row>
    <row r="480" spans="1:27">
      <c r="A480" s="213"/>
      <c r="B480" s="212"/>
      <c r="C480" s="212"/>
      <c r="D480" s="212"/>
      <c r="E480" s="212"/>
      <c r="F480" s="212"/>
      <c r="G480" s="212"/>
      <c r="H480" s="212"/>
      <c r="I480" s="212"/>
      <c r="J480" s="212"/>
      <c r="K480" s="212"/>
      <c r="L480" s="212"/>
      <c r="M480" s="212"/>
      <c r="N480" s="212"/>
      <c r="O480" s="212"/>
      <c r="P480" s="212"/>
      <c r="Q480" s="212"/>
      <c r="R480" s="212"/>
      <c r="S480" s="212"/>
      <c r="T480" s="212"/>
      <c r="U480" s="212"/>
      <c r="V480" s="212"/>
      <c r="W480" s="212"/>
      <c r="X480" s="212"/>
      <c r="Y480" s="212"/>
      <c r="Z480" s="212"/>
      <c r="AA480" s="212"/>
    </row>
    <row r="481" spans="1:27" ht="20.25" customHeight="1">
      <c r="A481" s="213"/>
      <c r="B481" s="212"/>
      <c r="C481" s="217" t="s">
        <v>2151</v>
      </c>
      <c r="D481" s="212"/>
      <c r="E481" s="212"/>
      <c r="F481" s="212"/>
      <c r="G481" s="212"/>
      <c r="H481" s="212"/>
      <c r="I481" s="212"/>
      <c r="J481" s="212"/>
      <c r="K481" s="212"/>
      <c r="L481" s="212"/>
      <c r="M481" s="212"/>
      <c r="N481" s="212"/>
      <c r="O481" s="212"/>
      <c r="P481" s="212"/>
      <c r="Q481" s="212"/>
      <c r="R481" s="212"/>
      <c r="S481" s="212"/>
      <c r="T481" s="212"/>
      <c r="U481" s="212"/>
      <c r="V481" s="212"/>
      <c r="W481" s="212"/>
      <c r="X481" s="212"/>
      <c r="Y481" s="212"/>
      <c r="Z481" s="212"/>
      <c r="AA481" s="212"/>
    </row>
    <row r="482" spans="1:27">
      <c r="A482" s="213"/>
      <c r="B482" s="212"/>
      <c r="C482" s="212"/>
      <c r="D482" s="212"/>
      <c r="E482" s="212"/>
      <c r="F482" s="212"/>
      <c r="G482" s="212"/>
      <c r="H482" s="212"/>
      <c r="I482" s="212"/>
      <c r="J482" s="212"/>
      <c r="K482" s="212"/>
      <c r="L482" s="212"/>
      <c r="M482" s="212"/>
      <c r="N482" s="212"/>
      <c r="O482" s="212"/>
      <c r="P482" s="212"/>
      <c r="Q482" s="212"/>
      <c r="R482" s="212"/>
      <c r="S482" s="212"/>
      <c r="T482" s="212"/>
      <c r="U482" s="212"/>
      <c r="V482" s="212"/>
      <c r="W482" s="212"/>
      <c r="X482" s="212"/>
      <c r="Y482" s="212"/>
      <c r="Z482" s="212"/>
      <c r="AA482" s="212"/>
    </row>
    <row r="483" spans="1:27">
      <c r="A483" s="213"/>
      <c r="B483" s="212"/>
      <c r="C483" s="212"/>
      <c r="D483" s="212"/>
      <c r="E483" s="212"/>
      <c r="F483" s="212"/>
      <c r="G483" s="212"/>
      <c r="H483" s="212"/>
      <c r="I483" s="212"/>
      <c r="J483" s="212"/>
      <c r="K483" s="212"/>
      <c r="L483" s="212"/>
      <c r="M483" s="212"/>
      <c r="N483" s="212"/>
      <c r="O483" s="212"/>
      <c r="P483" s="212"/>
      <c r="Q483" s="212"/>
      <c r="R483" s="212"/>
      <c r="S483" s="212"/>
      <c r="T483" s="212"/>
      <c r="U483" s="212"/>
      <c r="V483" s="212"/>
      <c r="W483" s="212"/>
      <c r="X483" s="212"/>
      <c r="Y483" s="212"/>
      <c r="Z483" s="212"/>
      <c r="AA483" s="212"/>
    </row>
    <row r="484" spans="1:27">
      <c r="A484" s="213"/>
      <c r="B484" s="212"/>
      <c r="C484" s="212"/>
      <c r="D484" s="212"/>
      <c r="E484" s="212"/>
      <c r="F484" s="212"/>
      <c r="G484" s="212"/>
      <c r="H484" s="212"/>
      <c r="I484" s="212"/>
      <c r="J484" s="212"/>
      <c r="K484" s="212"/>
      <c r="L484" s="213"/>
      <c r="M484" s="212"/>
      <c r="N484" s="212"/>
      <c r="O484" s="212"/>
      <c r="P484" s="212"/>
      <c r="Q484" s="212"/>
      <c r="R484" s="212"/>
      <c r="S484" s="212"/>
      <c r="T484" s="212"/>
      <c r="U484" s="212"/>
      <c r="V484" s="212"/>
      <c r="W484" s="212"/>
      <c r="X484" s="212"/>
      <c r="Y484" s="212"/>
      <c r="Z484" s="212"/>
      <c r="AA484" s="212"/>
    </row>
    <row r="485" spans="1:27">
      <c r="A485" s="213"/>
      <c r="B485" s="212"/>
      <c r="C485" s="212"/>
      <c r="D485" s="212"/>
      <c r="E485" s="212"/>
      <c r="F485" s="212"/>
      <c r="G485" s="212"/>
      <c r="H485" s="212"/>
      <c r="I485" s="212"/>
      <c r="J485" s="212"/>
      <c r="K485" s="212"/>
      <c r="L485" s="213"/>
      <c r="M485" s="212"/>
      <c r="N485" s="212"/>
      <c r="O485" s="212"/>
      <c r="P485" s="212"/>
      <c r="Q485" s="212"/>
      <c r="R485" s="212"/>
      <c r="S485" s="212"/>
      <c r="T485" s="212"/>
      <c r="U485" s="212"/>
      <c r="V485" s="212"/>
      <c r="W485" s="212"/>
      <c r="X485" s="212"/>
      <c r="Y485" s="212"/>
      <c r="Z485" s="212"/>
      <c r="AA485" s="212"/>
    </row>
    <row r="486" spans="1:27">
      <c r="A486" s="213"/>
      <c r="B486" s="212"/>
      <c r="C486" s="212"/>
      <c r="D486" s="212"/>
      <c r="E486" s="212"/>
      <c r="F486" s="212"/>
      <c r="G486" s="212"/>
      <c r="H486" s="212"/>
      <c r="I486" s="212"/>
      <c r="J486" s="212"/>
      <c r="K486" s="212"/>
      <c r="L486" s="213"/>
      <c r="M486" s="212"/>
      <c r="N486" s="212"/>
      <c r="O486" s="212"/>
      <c r="P486" s="212"/>
      <c r="Q486" s="212"/>
      <c r="R486" s="212"/>
      <c r="S486" s="212"/>
      <c r="T486" s="212"/>
      <c r="U486" s="212"/>
      <c r="V486" s="212"/>
      <c r="W486" s="212"/>
      <c r="X486" s="212"/>
      <c r="Y486" s="212"/>
      <c r="Z486" s="212"/>
      <c r="AA486" s="212"/>
    </row>
    <row r="487" spans="1:27">
      <c r="A487" s="213"/>
      <c r="B487" s="212"/>
      <c r="C487" s="212"/>
      <c r="D487" s="212"/>
      <c r="E487" s="212"/>
      <c r="F487" s="212"/>
      <c r="G487" s="212"/>
      <c r="H487" s="212"/>
      <c r="I487" s="212"/>
      <c r="J487" s="212"/>
      <c r="K487" s="212"/>
      <c r="L487" s="212"/>
      <c r="M487" s="212"/>
      <c r="N487" s="212"/>
      <c r="O487" s="212"/>
      <c r="P487" s="212"/>
      <c r="Q487" s="212"/>
      <c r="R487" s="212"/>
      <c r="S487" s="212"/>
      <c r="T487" s="212"/>
      <c r="U487" s="212"/>
      <c r="V487" s="212"/>
      <c r="W487" s="212"/>
      <c r="X487" s="212"/>
      <c r="Y487" s="212"/>
      <c r="Z487" s="212"/>
      <c r="AA487" s="212"/>
    </row>
    <row r="488" spans="1:27">
      <c r="A488" s="213"/>
      <c r="B488" s="212"/>
      <c r="C488" s="212"/>
      <c r="D488" s="212"/>
      <c r="E488" s="212"/>
      <c r="F488" s="212"/>
      <c r="G488" s="212"/>
      <c r="H488" s="212"/>
      <c r="I488" s="212"/>
      <c r="J488" s="212"/>
      <c r="K488" s="212"/>
      <c r="L488" s="212"/>
      <c r="M488" s="212"/>
      <c r="N488" s="212"/>
      <c r="O488" s="212"/>
      <c r="P488" s="212"/>
      <c r="Q488" s="212"/>
      <c r="R488" s="212"/>
      <c r="S488" s="212"/>
      <c r="T488" s="212"/>
      <c r="U488" s="212"/>
      <c r="V488" s="212"/>
      <c r="W488" s="212"/>
      <c r="X488" s="212"/>
      <c r="Y488" s="212"/>
      <c r="Z488" s="212"/>
      <c r="AA488" s="212"/>
    </row>
    <row r="489" spans="1:27">
      <c r="A489" s="213"/>
      <c r="B489" s="212"/>
      <c r="C489" s="212"/>
      <c r="D489" s="212"/>
      <c r="E489" s="212"/>
      <c r="F489" s="212"/>
      <c r="G489" s="212"/>
      <c r="H489" s="212"/>
      <c r="I489" s="212"/>
      <c r="J489" s="212"/>
      <c r="K489" s="212"/>
      <c r="L489" s="212"/>
      <c r="M489" s="212"/>
      <c r="N489" s="212"/>
      <c r="O489" s="212"/>
      <c r="P489" s="212"/>
      <c r="Q489" s="212"/>
      <c r="R489" s="212"/>
      <c r="S489" s="212"/>
      <c r="T489" s="212"/>
      <c r="U489" s="212"/>
      <c r="V489" s="212"/>
      <c r="W489" s="212"/>
      <c r="X489" s="212"/>
      <c r="Y489" s="212"/>
      <c r="Z489" s="212"/>
      <c r="AA489" s="212"/>
    </row>
    <row r="490" spans="1:27">
      <c r="A490" s="213"/>
      <c r="B490" s="212"/>
      <c r="C490" s="212"/>
      <c r="D490" s="212"/>
      <c r="E490" s="212"/>
      <c r="F490" s="212"/>
      <c r="G490" s="212"/>
      <c r="H490" s="212"/>
      <c r="I490" s="212"/>
      <c r="J490" s="212"/>
      <c r="K490" s="212"/>
      <c r="L490" s="212"/>
      <c r="M490" s="212"/>
      <c r="N490" s="212"/>
      <c r="O490" s="212"/>
      <c r="P490" s="212"/>
      <c r="Q490" s="212"/>
      <c r="R490" s="212"/>
      <c r="S490" s="212"/>
      <c r="T490" s="212"/>
      <c r="U490" s="212"/>
      <c r="V490" s="212"/>
      <c r="W490" s="212"/>
      <c r="X490" s="212"/>
      <c r="Y490" s="212"/>
      <c r="Z490" s="212"/>
      <c r="AA490" s="212"/>
    </row>
    <row r="491" spans="1:27">
      <c r="A491" s="213"/>
      <c r="B491" s="212"/>
      <c r="C491" s="212"/>
      <c r="D491" s="212"/>
      <c r="E491" s="212"/>
      <c r="F491" s="212"/>
      <c r="G491" s="212"/>
      <c r="H491" s="212"/>
      <c r="I491" s="212"/>
      <c r="J491" s="212"/>
      <c r="K491" s="212"/>
      <c r="L491" s="212"/>
      <c r="M491" s="212"/>
      <c r="N491" s="212"/>
      <c r="O491" s="212"/>
      <c r="P491" s="212"/>
      <c r="Q491" s="212"/>
      <c r="R491" s="212"/>
      <c r="S491" s="212"/>
      <c r="T491" s="212"/>
      <c r="U491" s="212"/>
      <c r="V491" s="212"/>
      <c r="W491" s="212"/>
      <c r="X491" s="212"/>
      <c r="Y491" s="212"/>
      <c r="Z491" s="212"/>
      <c r="AA491" s="212"/>
    </row>
    <row r="492" spans="1:27">
      <c r="A492" s="213"/>
      <c r="B492" s="212"/>
      <c r="C492" s="212"/>
      <c r="D492" s="212"/>
      <c r="E492" s="212"/>
      <c r="F492" s="212"/>
      <c r="G492" s="212"/>
      <c r="H492" s="212"/>
      <c r="I492" s="212"/>
      <c r="J492" s="212"/>
      <c r="K492" s="212"/>
      <c r="L492" s="212"/>
      <c r="M492" s="212"/>
      <c r="N492" s="212"/>
      <c r="O492" s="212"/>
      <c r="P492" s="212"/>
      <c r="Q492" s="212"/>
      <c r="R492" s="212"/>
      <c r="S492" s="212"/>
      <c r="T492" s="212"/>
      <c r="U492" s="212"/>
      <c r="V492" s="212"/>
      <c r="W492" s="212"/>
      <c r="X492" s="212"/>
      <c r="Y492" s="212"/>
      <c r="Z492" s="212"/>
      <c r="AA492" s="212"/>
    </row>
    <row r="493" spans="1:27">
      <c r="A493" s="213"/>
      <c r="B493" s="212"/>
      <c r="C493" s="212"/>
      <c r="D493" s="212"/>
      <c r="E493" s="212"/>
      <c r="F493" s="212"/>
      <c r="G493" s="212"/>
      <c r="H493" s="212"/>
      <c r="I493" s="212"/>
      <c r="J493" s="212"/>
      <c r="K493" s="212"/>
      <c r="L493" s="212"/>
      <c r="M493" s="212"/>
      <c r="N493" s="212"/>
      <c r="O493" s="212"/>
      <c r="P493" s="212"/>
      <c r="Q493" s="212"/>
      <c r="R493" s="212"/>
      <c r="S493" s="212"/>
      <c r="T493" s="212"/>
      <c r="U493" s="212"/>
      <c r="V493" s="212"/>
      <c r="W493" s="212"/>
      <c r="X493" s="212"/>
      <c r="Y493" s="212"/>
      <c r="Z493" s="212"/>
      <c r="AA493" s="212"/>
    </row>
    <row r="494" spans="1:27">
      <c r="A494" s="213"/>
      <c r="B494" s="212"/>
      <c r="C494" s="212"/>
      <c r="D494" s="212"/>
      <c r="E494" s="212"/>
      <c r="F494" s="212"/>
      <c r="G494" s="212"/>
      <c r="H494" s="212"/>
      <c r="I494" s="212"/>
      <c r="J494" s="212"/>
      <c r="K494" s="212"/>
      <c r="L494" s="212"/>
      <c r="M494" s="212"/>
      <c r="N494" s="212"/>
      <c r="O494" s="212"/>
      <c r="P494" s="212"/>
      <c r="Q494" s="212"/>
      <c r="R494" s="212"/>
      <c r="S494" s="212"/>
      <c r="T494" s="212"/>
      <c r="U494" s="212"/>
      <c r="V494" s="212"/>
      <c r="W494" s="212"/>
      <c r="X494" s="212"/>
      <c r="Y494" s="212"/>
      <c r="Z494" s="212"/>
      <c r="AA494" s="212"/>
    </row>
    <row r="495" spans="1:27">
      <c r="A495" s="213"/>
      <c r="B495" s="212"/>
      <c r="C495" s="212"/>
      <c r="D495" s="212"/>
      <c r="E495" s="212"/>
      <c r="F495" s="212"/>
      <c r="G495" s="212"/>
      <c r="H495" s="212"/>
      <c r="I495" s="212"/>
      <c r="J495" s="212"/>
      <c r="K495" s="212"/>
      <c r="L495" s="212"/>
      <c r="M495" s="212"/>
      <c r="N495" s="212"/>
      <c r="O495" s="212"/>
      <c r="P495" s="212"/>
      <c r="Q495" s="212"/>
      <c r="R495" s="212"/>
      <c r="S495" s="212"/>
      <c r="T495" s="212"/>
      <c r="U495" s="212"/>
      <c r="V495" s="212"/>
      <c r="W495" s="212"/>
      <c r="X495" s="212"/>
      <c r="Y495" s="212"/>
      <c r="Z495" s="212"/>
      <c r="AA495" s="212"/>
    </row>
    <row r="496" spans="1:27">
      <c r="A496" s="213"/>
      <c r="B496" s="212"/>
      <c r="C496" s="212"/>
      <c r="D496" s="212"/>
      <c r="E496" s="212"/>
      <c r="F496" s="212"/>
      <c r="G496" s="212"/>
      <c r="H496" s="212"/>
      <c r="I496" s="212"/>
      <c r="J496" s="212"/>
      <c r="K496" s="212"/>
      <c r="L496" s="212"/>
      <c r="M496" s="212"/>
      <c r="N496" s="212"/>
      <c r="O496" s="212"/>
      <c r="P496" s="212"/>
      <c r="Q496" s="212"/>
      <c r="R496" s="212"/>
      <c r="S496" s="212"/>
      <c r="T496" s="212"/>
      <c r="U496" s="212"/>
      <c r="V496" s="212"/>
      <c r="W496" s="212"/>
      <c r="X496" s="212"/>
      <c r="Y496" s="212"/>
      <c r="Z496" s="212"/>
      <c r="AA496" s="212"/>
    </row>
    <row r="497" spans="1:27">
      <c r="A497" s="213"/>
      <c r="B497" s="212"/>
      <c r="C497" s="212"/>
      <c r="D497" s="212"/>
      <c r="E497" s="212"/>
      <c r="F497" s="212"/>
      <c r="G497" s="212"/>
      <c r="H497" s="212"/>
      <c r="I497" s="212"/>
      <c r="J497" s="212"/>
      <c r="K497" s="212"/>
      <c r="L497" s="212"/>
      <c r="M497" s="212"/>
      <c r="N497" s="212"/>
      <c r="O497" s="212"/>
      <c r="P497" s="212"/>
      <c r="Q497" s="212"/>
      <c r="R497" s="212"/>
      <c r="S497" s="212"/>
      <c r="T497" s="212"/>
      <c r="U497" s="212"/>
      <c r="V497" s="212"/>
      <c r="W497" s="212"/>
      <c r="X497" s="212"/>
      <c r="Y497" s="212"/>
      <c r="Z497" s="212"/>
      <c r="AA497" s="212"/>
    </row>
    <row r="498" spans="1:27">
      <c r="A498" s="213"/>
      <c r="B498" s="212"/>
      <c r="C498" s="212"/>
      <c r="D498" s="212"/>
      <c r="E498" s="212"/>
      <c r="F498" s="212"/>
      <c r="G498" s="212"/>
      <c r="H498" s="212"/>
      <c r="I498" s="212"/>
      <c r="J498" s="212"/>
      <c r="K498" s="212"/>
      <c r="L498" s="212"/>
      <c r="M498" s="212"/>
      <c r="N498" s="212"/>
      <c r="O498" s="212"/>
      <c r="P498" s="212"/>
      <c r="Q498" s="212"/>
      <c r="R498" s="212"/>
      <c r="S498" s="212"/>
      <c r="T498" s="212"/>
      <c r="U498" s="212"/>
      <c r="V498" s="212"/>
      <c r="W498" s="212"/>
      <c r="X498" s="212"/>
      <c r="Y498" s="212"/>
      <c r="Z498" s="212"/>
      <c r="AA498" s="212"/>
    </row>
    <row r="499" spans="1:27">
      <c r="A499" s="213"/>
      <c r="B499" s="212"/>
      <c r="C499" s="212"/>
      <c r="D499" s="212"/>
      <c r="E499" s="212"/>
      <c r="F499" s="212"/>
      <c r="G499" s="212"/>
      <c r="H499" s="212"/>
      <c r="I499" s="212"/>
      <c r="J499" s="212"/>
      <c r="K499" s="212"/>
      <c r="L499" s="212"/>
      <c r="M499" s="212"/>
      <c r="N499" s="212"/>
      <c r="O499" s="212"/>
      <c r="P499" s="212"/>
      <c r="Q499" s="212"/>
      <c r="R499" s="212"/>
      <c r="S499" s="212"/>
      <c r="T499" s="212"/>
      <c r="U499" s="212"/>
      <c r="V499" s="212"/>
      <c r="W499" s="212"/>
      <c r="X499" s="212"/>
      <c r="Y499" s="212"/>
      <c r="Z499" s="212"/>
      <c r="AA499" s="212"/>
    </row>
    <row r="500" spans="1:27">
      <c r="A500" s="213"/>
      <c r="B500" s="212"/>
      <c r="C500" s="212"/>
      <c r="D500" s="212"/>
      <c r="E500" s="212"/>
      <c r="F500" s="212"/>
      <c r="G500" s="212"/>
      <c r="H500" s="212"/>
      <c r="I500" s="212"/>
      <c r="J500" s="212"/>
      <c r="K500" s="212"/>
      <c r="L500" s="212"/>
      <c r="M500" s="212"/>
      <c r="N500" s="212"/>
      <c r="O500" s="212"/>
      <c r="P500" s="212"/>
      <c r="Q500" s="212"/>
      <c r="R500" s="212"/>
      <c r="S500" s="212"/>
      <c r="T500" s="212"/>
      <c r="U500" s="212"/>
      <c r="V500" s="212"/>
      <c r="W500" s="212"/>
      <c r="X500" s="212"/>
      <c r="Y500" s="212"/>
      <c r="Z500" s="212"/>
      <c r="AA500" s="212"/>
    </row>
    <row r="501" spans="1:27">
      <c r="A501" s="213"/>
      <c r="B501" s="212"/>
      <c r="C501" s="212"/>
      <c r="D501" s="212"/>
      <c r="E501" s="212"/>
      <c r="F501" s="212"/>
      <c r="G501" s="212"/>
      <c r="H501" s="212"/>
      <c r="I501" s="212"/>
      <c r="J501" s="212"/>
      <c r="K501" s="212"/>
      <c r="L501" s="212"/>
      <c r="M501" s="212"/>
      <c r="N501" s="212"/>
      <c r="O501" s="212"/>
      <c r="P501" s="212"/>
      <c r="Q501" s="212"/>
      <c r="R501" s="212"/>
      <c r="S501" s="212"/>
      <c r="T501" s="212"/>
      <c r="U501" s="212"/>
      <c r="V501" s="212"/>
      <c r="W501" s="212"/>
      <c r="X501" s="212"/>
      <c r="Y501" s="212"/>
      <c r="Z501" s="212"/>
      <c r="AA501" s="212"/>
    </row>
    <row r="502" spans="1:27">
      <c r="A502" s="213"/>
      <c r="B502" s="212"/>
      <c r="C502" s="212"/>
      <c r="D502" s="212"/>
      <c r="E502" s="212"/>
      <c r="F502" s="212"/>
      <c r="G502" s="212"/>
      <c r="H502" s="212"/>
      <c r="I502" s="212"/>
      <c r="J502" s="212"/>
      <c r="K502" s="212"/>
      <c r="L502" s="212"/>
      <c r="M502" s="212"/>
      <c r="N502" s="212"/>
      <c r="O502" s="212"/>
      <c r="P502" s="212"/>
      <c r="Q502" s="212"/>
      <c r="R502" s="212"/>
      <c r="S502" s="212"/>
      <c r="T502" s="212"/>
      <c r="U502" s="212"/>
      <c r="V502" s="212"/>
      <c r="W502" s="212"/>
      <c r="X502" s="212"/>
      <c r="Y502" s="212"/>
      <c r="Z502" s="212"/>
      <c r="AA502" s="212"/>
    </row>
    <row r="503" spans="1:27">
      <c r="A503" s="213"/>
      <c r="B503" s="212"/>
      <c r="C503" s="212"/>
      <c r="D503" s="212"/>
      <c r="E503" s="212"/>
      <c r="F503" s="212"/>
      <c r="G503" s="212"/>
      <c r="H503" s="212"/>
      <c r="I503" s="212"/>
      <c r="J503" s="212"/>
      <c r="K503" s="212"/>
      <c r="L503" s="212"/>
      <c r="M503" s="212"/>
      <c r="N503" s="212"/>
      <c r="O503" s="212"/>
      <c r="P503" s="212"/>
      <c r="Q503" s="212"/>
      <c r="R503" s="212"/>
      <c r="S503" s="212"/>
      <c r="T503" s="212"/>
      <c r="U503" s="212"/>
      <c r="V503" s="212"/>
      <c r="W503" s="212"/>
      <c r="X503" s="212"/>
      <c r="Y503" s="212"/>
      <c r="Z503" s="212"/>
      <c r="AA503" s="212"/>
    </row>
    <row r="504" spans="1:27">
      <c r="A504" s="213"/>
      <c r="B504" s="212"/>
      <c r="C504" s="212"/>
      <c r="D504" s="212"/>
      <c r="E504" s="212"/>
      <c r="F504" s="212"/>
      <c r="G504" s="212"/>
      <c r="H504" s="212"/>
      <c r="I504" s="212"/>
      <c r="J504" s="212"/>
      <c r="K504" s="212"/>
      <c r="L504" s="212"/>
      <c r="M504" s="212"/>
      <c r="N504" s="212"/>
      <c r="O504" s="212"/>
      <c r="P504" s="212"/>
      <c r="Q504" s="212"/>
      <c r="R504" s="212"/>
      <c r="S504" s="212"/>
      <c r="T504" s="212"/>
      <c r="U504" s="212"/>
      <c r="V504" s="212"/>
      <c r="W504" s="212"/>
      <c r="X504" s="212"/>
      <c r="Y504" s="212"/>
      <c r="Z504" s="212"/>
      <c r="AA504" s="212"/>
    </row>
    <row r="505" spans="1:27">
      <c r="A505" s="213"/>
      <c r="B505" s="212"/>
      <c r="C505" s="212"/>
      <c r="D505" s="212"/>
      <c r="E505" s="212"/>
      <c r="F505" s="212"/>
      <c r="G505" s="212"/>
      <c r="H505" s="212"/>
      <c r="I505" s="212"/>
      <c r="J505" s="212"/>
      <c r="K505" s="212"/>
      <c r="L505" s="212"/>
      <c r="M505" s="212"/>
      <c r="N505" s="212"/>
      <c r="O505" s="212"/>
      <c r="P505" s="212"/>
      <c r="Q505" s="212"/>
      <c r="R505" s="212"/>
      <c r="S505" s="212"/>
      <c r="T505" s="212"/>
      <c r="U505" s="212"/>
      <c r="V505" s="212"/>
      <c r="W505" s="212"/>
      <c r="X505" s="212"/>
      <c r="Y505" s="212"/>
      <c r="Z505" s="212"/>
      <c r="AA505" s="212"/>
    </row>
    <row r="506" spans="1:27">
      <c r="A506" s="213"/>
      <c r="B506" s="212"/>
      <c r="C506" s="212"/>
      <c r="D506" s="212"/>
      <c r="E506" s="212"/>
      <c r="F506" s="212"/>
      <c r="G506" s="212"/>
      <c r="H506" s="212"/>
      <c r="I506" s="212"/>
      <c r="J506" s="212"/>
      <c r="K506" s="212"/>
      <c r="L506" s="212"/>
      <c r="M506" s="212"/>
      <c r="N506" s="212"/>
      <c r="O506" s="212"/>
      <c r="P506" s="212"/>
      <c r="Q506" s="212"/>
      <c r="R506" s="212"/>
      <c r="S506" s="212"/>
      <c r="T506" s="212"/>
      <c r="U506" s="212"/>
      <c r="V506" s="212"/>
      <c r="W506" s="212"/>
      <c r="X506" s="212"/>
      <c r="Y506" s="212"/>
      <c r="Z506" s="212"/>
      <c r="AA506" s="212"/>
    </row>
    <row r="507" spans="1:27">
      <c r="A507" s="213"/>
      <c r="B507" s="212"/>
      <c r="C507" s="212"/>
      <c r="D507" s="212"/>
      <c r="E507" s="212"/>
      <c r="F507" s="212"/>
      <c r="G507" s="212"/>
      <c r="H507" s="212"/>
      <c r="I507" s="212"/>
      <c r="J507" s="212"/>
      <c r="K507" s="212"/>
      <c r="L507" s="212"/>
      <c r="M507" s="212"/>
      <c r="N507" s="212"/>
      <c r="O507" s="212"/>
      <c r="P507" s="212"/>
      <c r="Q507" s="212"/>
      <c r="R507" s="212"/>
      <c r="S507" s="212"/>
      <c r="T507" s="212"/>
      <c r="U507" s="212"/>
      <c r="V507" s="212"/>
      <c r="W507" s="212"/>
      <c r="X507" s="212"/>
      <c r="Y507" s="212"/>
      <c r="Z507" s="212"/>
      <c r="AA507" s="212"/>
    </row>
    <row r="508" spans="1:27">
      <c r="A508" s="213"/>
      <c r="B508" s="212"/>
      <c r="C508" s="212"/>
      <c r="D508" s="212"/>
      <c r="E508" s="212"/>
      <c r="F508" s="212"/>
      <c r="G508" s="212"/>
      <c r="H508" s="212"/>
      <c r="I508" s="212"/>
      <c r="J508" s="212"/>
      <c r="K508" s="212"/>
      <c r="L508" s="212"/>
      <c r="M508" s="212"/>
      <c r="N508" s="212"/>
      <c r="O508" s="212"/>
      <c r="P508" s="212"/>
      <c r="Q508" s="212"/>
      <c r="R508" s="212"/>
      <c r="S508" s="212"/>
      <c r="T508" s="212"/>
      <c r="U508" s="212"/>
      <c r="V508" s="212"/>
      <c r="W508" s="212"/>
      <c r="X508" s="212"/>
      <c r="Y508" s="212"/>
      <c r="Z508" s="212"/>
      <c r="AA508" s="212"/>
    </row>
    <row r="509" spans="1:27">
      <c r="A509" s="213"/>
      <c r="B509" s="212"/>
      <c r="C509" s="212"/>
      <c r="D509" s="212"/>
      <c r="E509" s="212"/>
      <c r="F509" s="212"/>
      <c r="G509" s="212"/>
      <c r="H509" s="212"/>
      <c r="I509" s="212"/>
      <c r="J509" s="212"/>
      <c r="K509" s="212"/>
      <c r="L509" s="212"/>
      <c r="M509" s="212"/>
      <c r="N509" s="212"/>
      <c r="O509" s="212"/>
      <c r="P509" s="212"/>
      <c r="Q509" s="212"/>
      <c r="R509" s="212"/>
      <c r="S509" s="212"/>
      <c r="T509" s="212"/>
      <c r="U509" s="212"/>
      <c r="V509" s="212"/>
      <c r="W509" s="212"/>
      <c r="X509" s="212"/>
      <c r="Y509" s="212"/>
      <c r="Z509" s="212"/>
      <c r="AA509" s="212"/>
    </row>
    <row r="510" spans="1:27">
      <c r="A510" s="213"/>
      <c r="B510" s="212"/>
      <c r="C510" s="212"/>
      <c r="D510" s="212"/>
      <c r="E510" s="212"/>
      <c r="F510" s="212"/>
      <c r="G510" s="212"/>
      <c r="H510" s="212"/>
      <c r="I510" s="212"/>
      <c r="J510" s="212"/>
      <c r="K510" s="212"/>
      <c r="L510" s="212"/>
      <c r="M510" s="212"/>
      <c r="N510" s="212"/>
      <c r="O510" s="212"/>
      <c r="P510" s="212"/>
      <c r="Q510" s="212"/>
      <c r="R510" s="212"/>
      <c r="S510" s="212"/>
      <c r="T510" s="212"/>
      <c r="U510" s="212"/>
      <c r="V510" s="212"/>
      <c r="W510" s="212"/>
      <c r="X510" s="212"/>
      <c r="Y510" s="212"/>
      <c r="Z510" s="212"/>
      <c r="AA510" s="212"/>
    </row>
    <row r="511" spans="1:27">
      <c r="A511" s="213"/>
      <c r="B511" s="212"/>
      <c r="C511" s="212"/>
      <c r="D511" s="212"/>
      <c r="E511" s="212"/>
      <c r="F511" s="212"/>
      <c r="G511" s="212"/>
      <c r="H511" s="212"/>
      <c r="I511" s="212"/>
      <c r="J511" s="212"/>
      <c r="K511" s="212"/>
      <c r="L511" s="212"/>
      <c r="M511" s="212"/>
      <c r="N511" s="212"/>
      <c r="O511" s="212"/>
      <c r="P511" s="212"/>
      <c r="Q511" s="212"/>
      <c r="R511" s="212"/>
      <c r="S511" s="212"/>
      <c r="T511" s="212"/>
      <c r="U511" s="212"/>
      <c r="V511" s="212"/>
      <c r="W511" s="212"/>
      <c r="X511" s="212"/>
      <c r="Y511" s="212"/>
      <c r="Z511" s="212"/>
      <c r="AA511" s="212"/>
    </row>
    <row r="512" spans="1:27">
      <c r="A512" s="213"/>
      <c r="B512" s="212"/>
      <c r="C512" s="212"/>
      <c r="D512" s="212"/>
      <c r="E512" s="212"/>
      <c r="F512" s="212"/>
      <c r="G512" s="212"/>
      <c r="H512" s="212"/>
      <c r="I512" s="212"/>
      <c r="J512" s="212"/>
      <c r="K512" s="212"/>
      <c r="L512" s="212"/>
      <c r="M512" s="212"/>
      <c r="N512" s="212"/>
      <c r="O512" s="212"/>
      <c r="P512" s="212"/>
      <c r="Q512" s="212"/>
      <c r="R512" s="212"/>
      <c r="S512" s="212"/>
      <c r="T512" s="212"/>
      <c r="U512" s="212"/>
      <c r="V512" s="212"/>
      <c r="W512" s="212"/>
      <c r="X512" s="212"/>
      <c r="Y512" s="212"/>
      <c r="Z512" s="212"/>
      <c r="AA512" s="212"/>
    </row>
    <row r="513" spans="1:27">
      <c r="A513" s="213"/>
      <c r="B513" s="212"/>
      <c r="C513" s="212"/>
      <c r="D513" s="212"/>
      <c r="E513" s="212"/>
      <c r="F513" s="212"/>
      <c r="G513" s="212"/>
      <c r="H513" s="212"/>
      <c r="I513" s="212"/>
      <c r="J513" s="212"/>
      <c r="K513" s="212"/>
      <c r="L513" s="212"/>
      <c r="M513" s="212"/>
      <c r="N513" s="212"/>
      <c r="O513" s="212"/>
      <c r="P513" s="212"/>
      <c r="Q513" s="212"/>
      <c r="R513" s="212"/>
      <c r="S513" s="212"/>
      <c r="T513" s="212"/>
      <c r="U513" s="212"/>
      <c r="V513" s="212"/>
      <c r="W513" s="212"/>
      <c r="X513" s="212"/>
      <c r="Y513" s="212"/>
      <c r="Z513" s="212"/>
      <c r="AA513" s="212"/>
    </row>
    <row r="514" spans="1:27">
      <c r="A514" s="213"/>
      <c r="B514" s="212"/>
      <c r="C514" s="212"/>
      <c r="D514" s="212"/>
      <c r="E514" s="212"/>
      <c r="F514" s="212"/>
      <c r="G514" s="212"/>
      <c r="H514" s="212"/>
      <c r="I514" s="212"/>
      <c r="J514" s="212"/>
      <c r="K514" s="212"/>
      <c r="L514" s="212"/>
      <c r="M514" s="212"/>
      <c r="N514" s="212"/>
      <c r="O514" s="212"/>
      <c r="P514" s="212"/>
      <c r="Q514" s="212"/>
      <c r="R514" s="212"/>
      <c r="S514" s="212"/>
      <c r="T514" s="212"/>
      <c r="U514" s="212"/>
      <c r="V514" s="212"/>
      <c r="W514" s="212"/>
      <c r="X514" s="212"/>
      <c r="Y514" s="212"/>
      <c r="Z514" s="212"/>
      <c r="AA514" s="212"/>
    </row>
    <row r="515" spans="1:27">
      <c r="A515" s="213"/>
      <c r="B515" s="212"/>
      <c r="C515" s="212"/>
      <c r="D515" s="212"/>
      <c r="E515" s="212"/>
      <c r="F515" s="212"/>
      <c r="G515" s="212"/>
      <c r="H515" s="212"/>
      <c r="I515" s="212"/>
      <c r="J515" s="212"/>
      <c r="K515" s="212"/>
      <c r="L515" s="212"/>
      <c r="M515" s="212"/>
      <c r="N515" s="212"/>
      <c r="O515" s="212"/>
      <c r="P515" s="212"/>
      <c r="Q515" s="212"/>
      <c r="R515" s="212"/>
      <c r="S515" s="212"/>
      <c r="T515" s="212"/>
      <c r="U515" s="212"/>
      <c r="V515" s="212"/>
      <c r="W515" s="212"/>
      <c r="X515" s="212"/>
      <c r="Y515" s="212"/>
      <c r="Z515" s="212"/>
      <c r="AA515" s="212"/>
    </row>
    <row r="516" spans="1:27">
      <c r="A516" s="213"/>
      <c r="B516" s="212"/>
      <c r="C516" s="212"/>
      <c r="D516" s="212"/>
      <c r="E516" s="212"/>
      <c r="F516" s="212"/>
      <c r="G516" s="212"/>
      <c r="H516" s="212"/>
      <c r="I516" s="212"/>
      <c r="J516" s="212"/>
      <c r="K516" s="212"/>
      <c r="L516" s="212"/>
      <c r="M516" s="212"/>
      <c r="N516" s="212"/>
      <c r="O516" s="212"/>
      <c r="P516" s="212"/>
      <c r="Q516" s="212"/>
      <c r="R516" s="212"/>
      <c r="S516" s="212"/>
      <c r="T516" s="212"/>
      <c r="U516" s="212"/>
      <c r="V516" s="212"/>
      <c r="W516" s="212"/>
      <c r="X516" s="212"/>
      <c r="Y516" s="212"/>
      <c r="Z516" s="212"/>
      <c r="AA516" s="212"/>
    </row>
    <row r="517" spans="1:27">
      <c r="A517" s="213"/>
      <c r="B517" s="212"/>
      <c r="C517" s="212"/>
      <c r="D517" s="212"/>
      <c r="E517" s="212"/>
      <c r="F517" s="212"/>
      <c r="G517" s="212"/>
      <c r="H517" s="212"/>
      <c r="I517" s="212"/>
      <c r="J517" s="212"/>
      <c r="K517" s="212"/>
      <c r="L517" s="212"/>
      <c r="M517" s="212"/>
      <c r="N517" s="212"/>
      <c r="O517" s="212"/>
      <c r="P517" s="212"/>
      <c r="Q517" s="212"/>
      <c r="R517" s="212"/>
      <c r="S517" s="212"/>
      <c r="T517" s="212"/>
      <c r="U517" s="212"/>
      <c r="V517" s="212"/>
      <c r="W517" s="212"/>
      <c r="X517" s="212"/>
      <c r="Y517" s="212"/>
      <c r="Z517" s="212"/>
      <c r="AA517" s="212"/>
    </row>
    <row r="518" spans="1:27">
      <c r="A518" s="213"/>
      <c r="B518" s="212"/>
      <c r="C518" s="212"/>
      <c r="D518" s="212"/>
      <c r="E518" s="212"/>
      <c r="F518" s="212"/>
      <c r="G518" s="212"/>
      <c r="H518" s="212"/>
      <c r="I518" s="212"/>
      <c r="J518" s="212"/>
      <c r="K518" s="212"/>
      <c r="L518" s="212"/>
      <c r="M518" s="212"/>
      <c r="N518" s="212"/>
      <c r="O518" s="212"/>
      <c r="P518" s="212"/>
      <c r="Q518" s="212"/>
      <c r="R518" s="212"/>
      <c r="S518" s="212"/>
      <c r="T518" s="212"/>
      <c r="U518" s="212"/>
      <c r="V518" s="212"/>
      <c r="W518" s="212"/>
      <c r="X518" s="212"/>
      <c r="Y518" s="212"/>
      <c r="Z518" s="212"/>
      <c r="AA518" s="212"/>
    </row>
    <row r="519" spans="1:27">
      <c r="A519" s="213"/>
      <c r="B519" s="212"/>
      <c r="C519" s="212"/>
      <c r="D519" s="212"/>
      <c r="E519" s="212"/>
      <c r="F519" s="212"/>
      <c r="G519" s="212"/>
      <c r="H519" s="212"/>
      <c r="I519" s="212"/>
      <c r="J519" s="212"/>
      <c r="K519" s="212"/>
      <c r="L519" s="212"/>
      <c r="M519" s="212"/>
      <c r="N519" s="212"/>
      <c r="O519" s="212"/>
      <c r="P519" s="212"/>
      <c r="Q519" s="212"/>
      <c r="R519" s="212"/>
      <c r="S519" s="212"/>
      <c r="T519" s="212"/>
      <c r="U519" s="212"/>
      <c r="V519" s="212"/>
      <c r="W519" s="212"/>
      <c r="X519" s="212"/>
      <c r="Y519" s="212"/>
      <c r="Z519" s="212"/>
      <c r="AA519" s="212"/>
    </row>
    <row r="520" spans="1:27">
      <c r="A520" s="213"/>
      <c r="B520" s="212"/>
      <c r="C520" s="212"/>
      <c r="D520" s="212"/>
      <c r="E520" s="212"/>
      <c r="F520" s="212"/>
      <c r="G520" s="212"/>
      <c r="H520" s="212"/>
      <c r="I520" s="212"/>
      <c r="J520" s="212"/>
      <c r="K520" s="212"/>
      <c r="L520" s="212"/>
      <c r="M520" s="212"/>
      <c r="N520" s="212"/>
      <c r="O520" s="212"/>
      <c r="P520" s="212"/>
      <c r="Q520" s="212"/>
      <c r="R520" s="212"/>
      <c r="S520" s="212"/>
      <c r="T520" s="212"/>
      <c r="U520" s="212"/>
      <c r="V520" s="212"/>
      <c r="W520" s="212"/>
      <c r="X520" s="212"/>
      <c r="Y520" s="212"/>
      <c r="Z520" s="212"/>
      <c r="AA520" s="212"/>
    </row>
    <row r="521" spans="1:27">
      <c r="A521" s="213"/>
      <c r="B521" s="212"/>
      <c r="C521" s="212"/>
      <c r="D521" s="212"/>
      <c r="E521" s="212"/>
      <c r="F521" s="212"/>
      <c r="G521" s="212"/>
      <c r="H521" s="212"/>
      <c r="I521" s="212"/>
      <c r="J521" s="212"/>
      <c r="K521" s="212"/>
      <c r="L521" s="212"/>
      <c r="M521" s="212"/>
      <c r="N521" s="212"/>
      <c r="O521" s="212"/>
      <c r="P521" s="212"/>
      <c r="Q521" s="212"/>
      <c r="R521" s="212"/>
      <c r="S521" s="212"/>
      <c r="T521" s="212"/>
      <c r="U521" s="212"/>
      <c r="V521" s="212"/>
      <c r="W521" s="212"/>
      <c r="X521" s="212"/>
      <c r="Y521" s="212"/>
      <c r="Z521" s="212"/>
      <c r="AA521" s="212"/>
    </row>
    <row r="522" spans="1:27">
      <c r="A522" s="213"/>
      <c r="B522" s="212"/>
      <c r="C522" s="212"/>
      <c r="D522" s="212"/>
      <c r="E522" s="212"/>
      <c r="F522" s="212"/>
      <c r="G522" s="212"/>
      <c r="H522" s="212"/>
      <c r="I522" s="212"/>
      <c r="J522" s="212"/>
      <c r="K522" s="212"/>
      <c r="L522" s="212"/>
      <c r="M522" s="212"/>
      <c r="N522" s="212"/>
      <c r="O522" s="212"/>
      <c r="P522" s="212"/>
      <c r="Q522" s="212"/>
      <c r="R522" s="212"/>
      <c r="S522" s="212"/>
      <c r="T522" s="212"/>
      <c r="U522" s="212"/>
      <c r="V522" s="212"/>
      <c r="W522" s="212"/>
      <c r="X522" s="212"/>
      <c r="Y522" s="212"/>
      <c r="Z522" s="212"/>
      <c r="AA522" s="212"/>
    </row>
    <row r="523" spans="1:27">
      <c r="A523" s="213"/>
      <c r="B523" s="212"/>
      <c r="C523" s="212"/>
      <c r="D523" s="212"/>
      <c r="E523" s="212"/>
      <c r="F523" s="212"/>
      <c r="G523" s="212"/>
      <c r="H523" s="212"/>
      <c r="I523" s="212"/>
      <c r="J523" s="212"/>
      <c r="K523" s="212"/>
      <c r="L523" s="212"/>
      <c r="M523" s="212"/>
      <c r="N523" s="212"/>
      <c r="O523" s="212"/>
      <c r="P523" s="212"/>
      <c r="Q523" s="212"/>
      <c r="R523" s="212"/>
      <c r="S523" s="212"/>
      <c r="T523" s="212"/>
      <c r="U523" s="212"/>
      <c r="V523" s="212"/>
      <c r="W523" s="212"/>
      <c r="X523" s="212"/>
      <c r="Y523" s="212"/>
      <c r="Z523" s="212"/>
      <c r="AA523" s="212"/>
    </row>
    <row r="524" spans="1:27">
      <c r="A524" s="213"/>
      <c r="B524" s="212"/>
      <c r="C524" s="212"/>
      <c r="D524" s="212"/>
      <c r="E524" s="212"/>
      <c r="F524" s="212"/>
      <c r="G524" s="212"/>
      <c r="H524" s="212"/>
      <c r="I524" s="212"/>
      <c r="J524" s="212"/>
      <c r="K524" s="212"/>
      <c r="L524" s="212"/>
      <c r="M524" s="212"/>
      <c r="N524" s="212"/>
      <c r="O524" s="212"/>
      <c r="P524" s="212"/>
      <c r="Q524" s="212"/>
      <c r="R524" s="212"/>
      <c r="S524" s="212"/>
      <c r="T524" s="212"/>
      <c r="U524" s="212"/>
      <c r="V524" s="212"/>
      <c r="W524" s="212"/>
      <c r="X524" s="212"/>
      <c r="Y524" s="212"/>
      <c r="Z524" s="212"/>
      <c r="AA524" s="212"/>
    </row>
    <row r="525" spans="1:27">
      <c r="A525" s="213"/>
      <c r="B525" s="212"/>
      <c r="C525" s="212"/>
      <c r="D525" s="212"/>
      <c r="E525" s="212"/>
      <c r="F525" s="212"/>
      <c r="G525" s="212"/>
      <c r="H525" s="212"/>
      <c r="I525" s="212"/>
      <c r="J525" s="212"/>
      <c r="K525" s="212"/>
      <c r="L525" s="212"/>
      <c r="M525" s="212"/>
      <c r="N525" s="212"/>
      <c r="O525" s="212"/>
      <c r="P525" s="212"/>
      <c r="Q525" s="212"/>
      <c r="R525" s="212"/>
      <c r="S525" s="212"/>
      <c r="T525" s="212"/>
      <c r="U525" s="212"/>
      <c r="V525" s="212"/>
      <c r="W525" s="212"/>
      <c r="X525" s="212"/>
      <c r="Y525" s="212"/>
      <c r="Z525" s="212"/>
      <c r="AA525" s="212"/>
    </row>
    <row r="526" spans="1:27">
      <c r="A526" s="213"/>
      <c r="B526" s="212"/>
      <c r="C526" s="212"/>
      <c r="D526" s="212"/>
      <c r="E526" s="212"/>
      <c r="F526" s="212"/>
      <c r="G526" s="212"/>
      <c r="H526" s="212"/>
      <c r="I526" s="212"/>
      <c r="J526" s="212"/>
      <c r="K526" s="212"/>
      <c r="L526" s="212"/>
      <c r="M526" s="212"/>
      <c r="N526" s="212"/>
      <c r="O526" s="212"/>
      <c r="P526" s="212"/>
      <c r="Q526" s="212"/>
      <c r="R526" s="212"/>
      <c r="S526" s="212"/>
      <c r="T526" s="212"/>
      <c r="U526" s="212"/>
      <c r="V526" s="212"/>
      <c r="W526" s="212"/>
      <c r="X526" s="212"/>
      <c r="Y526" s="212"/>
      <c r="Z526" s="212"/>
      <c r="AA526" s="212"/>
    </row>
    <row r="527" spans="1:27">
      <c r="A527" s="213"/>
      <c r="B527" s="212"/>
      <c r="C527" s="212"/>
      <c r="D527" s="212"/>
      <c r="E527" s="212"/>
      <c r="F527" s="212"/>
      <c r="G527" s="212"/>
      <c r="H527" s="212"/>
      <c r="I527" s="212"/>
      <c r="J527" s="212"/>
      <c r="K527" s="212"/>
      <c r="L527" s="212"/>
      <c r="M527" s="212"/>
      <c r="N527" s="212"/>
      <c r="O527" s="212"/>
      <c r="P527" s="212"/>
      <c r="Q527" s="212"/>
      <c r="R527" s="212"/>
      <c r="S527" s="212"/>
      <c r="T527" s="212"/>
      <c r="U527" s="212"/>
      <c r="V527" s="212"/>
      <c r="W527" s="212"/>
      <c r="X527" s="212"/>
      <c r="Y527" s="212"/>
      <c r="Z527" s="212"/>
      <c r="AA527" s="212"/>
    </row>
    <row r="528" spans="1:27">
      <c r="A528" s="213"/>
      <c r="B528" s="212"/>
      <c r="C528" s="212"/>
      <c r="D528" s="212"/>
      <c r="E528" s="212"/>
      <c r="F528" s="212"/>
      <c r="G528" s="212"/>
      <c r="H528" s="212"/>
      <c r="I528" s="212"/>
      <c r="J528" s="212"/>
      <c r="K528" s="212"/>
      <c r="L528" s="212"/>
      <c r="M528" s="212"/>
      <c r="N528" s="212"/>
      <c r="O528" s="212"/>
      <c r="P528" s="212"/>
      <c r="Q528" s="212"/>
      <c r="R528" s="212"/>
      <c r="S528" s="212"/>
      <c r="T528" s="212"/>
      <c r="U528" s="212"/>
      <c r="V528" s="212"/>
      <c r="W528" s="212"/>
      <c r="X528" s="212"/>
      <c r="Y528" s="212"/>
      <c r="Z528" s="212"/>
      <c r="AA528" s="212"/>
    </row>
    <row r="529" spans="1:27">
      <c r="A529" s="213"/>
      <c r="B529" s="212"/>
      <c r="C529" s="212"/>
      <c r="D529" s="212"/>
      <c r="E529" s="212"/>
      <c r="F529" s="212"/>
      <c r="G529" s="212"/>
      <c r="H529" s="212"/>
      <c r="I529" s="212"/>
      <c r="J529" s="212"/>
      <c r="K529" s="212"/>
      <c r="L529" s="212"/>
      <c r="M529" s="212"/>
      <c r="N529" s="212"/>
      <c r="O529" s="212"/>
      <c r="P529" s="212"/>
      <c r="Q529" s="212"/>
      <c r="R529" s="212"/>
      <c r="S529" s="212"/>
      <c r="T529" s="212"/>
      <c r="U529" s="212"/>
      <c r="V529" s="212"/>
      <c r="W529" s="212"/>
      <c r="X529" s="212"/>
      <c r="Y529" s="212"/>
      <c r="Z529" s="212"/>
      <c r="AA529" s="212"/>
    </row>
    <row r="530" spans="1:27">
      <c r="A530" s="213"/>
      <c r="B530" s="212"/>
      <c r="C530" s="212"/>
      <c r="D530" s="212"/>
      <c r="E530" s="212"/>
      <c r="F530" s="212"/>
      <c r="G530" s="212"/>
      <c r="H530" s="212"/>
      <c r="I530" s="212"/>
      <c r="J530" s="212"/>
      <c r="K530" s="212"/>
      <c r="L530" s="212"/>
      <c r="M530" s="212"/>
      <c r="N530" s="212"/>
      <c r="O530" s="212"/>
      <c r="P530" s="212"/>
      <c r="Q530" s="212"/>
      <c r="R530" s="212"/>
      <c r="S530" s="212"/>
      <c r="T530" s="212"/>
      <c r="U530" s="212"/>
      <c r="V530" s="212"/>
      <c r="W530" s="212"/>
      <c r="X530" s="212"/>
      <c r="Y530" s="212"/>
      <c r="Z530" s="212"/>
      <c r="AA530" s="212"/>
    </row>
    <row r="531" spans="1:27">
      <c r="A531" s="213"/>
      <c r="B531" s="212"/>
      <c r="C531" s="212"/>
      <c r="D531" s="212"/>
      <c r="E531" s="212"/>
      <c r="F531" s="212"/>
      <c r="G531" s="212"/>
      <c r="H531" s="212"/>
      <c r="I531" s="212"/>
      <c r="J531" s="212"/>
      <c r="K531" s="212"/>
      <c r="L531" s="212"/>
      <c r="M531" s="212"/>
      <c r="N531" s="212"/>
      <c r="O531" s="212"/>
      <c r="P531" s="212"/>
      <c r="Q531" s="212"/>
      <c r="R531" s="212"/>
      <c r="S531" s="212"/>
      <c r="T531" s="212"/>
      <c r="U531" s="212"/>
      <c r="V531" s="212"/>
      <c r="W531" s="212"/>
      <c r="X531" s="212"/>
      <c r="Y531" s="212"/>
      <c r="Z531" s="212"/>
      <c r="AA531" s="212"/>
    </row>
    <row r="532" spans="1:27">
      <c r="A532" s="213"/>
      <c r="B532" s="212"/>
      <c r="C532" s="212"/>
      <c r="D532" s="212"/>
      <c r="E532" s="212"/>
      <c r="F532" s="212"/>
      <c r="G532" s="212"/>
      <c r="H532" s="212"/>
      <c r="I532" s="212"/>
      <c r="J532" s="212"/>
      <c r="K532" s="212"/>
      <c r="L532" s="212"/>
      <c r="M532" s="212"/>
      <c r="N532" s="212"/>
      <c r="O532" s="212"/>
      <c r="P532" s="212"/>
      <c r="Q532" s="212"/>
      <c r="R532" s="212"/>
      <c r="S532" s="212"/>
      <c r="T532" s="212"/>
      <c r="U532" s="212"/>
      <c r="V532" s="212"/>
      <c r="W532" s="212"/>
      <c r="X532" s="212"/>
      <c r="Y532" s="212"/>
      <c r="Z532" s="212"/>
      <c r="AA532" s="212"/>
    </row>
    <row r="533" spans="1:27">
      <c r="A533" s="213"/>
      <c r="B533" s="212"/>
      <c r="C533" s="212"/>
      <c r="D533" s="212"/>
      <c r="E533" s="212"/>
      <c r="F533" s="212"/>
      <c r="G533" s="212"/>
      <c r="H533" s="212"/>
      <c r="I533" s="212"/>
      <c r="J533" s="212"/>
      <c r="K533" s="212"/>
      <c r="L533" s="212"/>
      <c r="M533" s="212"/>
      <c r="N533" s="212"/>
      <c r="O533" s="212"/>
      <c r="P533" s="212"/>
      <c r="Q533" s="212"/>
      <c r="R533" s="212"/>
      <c r="S533" s="212"/>
      <c r="T533" s="212"/>
      <c r="U533" s="212"/>
      <c r="V533" s="212"/>
      <c r="W533" s="212"/>
      <c r="X533" s="212"/>
      <c r="Y533" s="212"/>
      <c r="Z533" s="212"/>
      <c r="AA533" s="212"/>
    </row>
    <row r="534" spans="1:27">
      <c r="A534" s="213"/>
      <c r="B534" s="212"/>
      <c r="C534" s="212"/>
      <c r="D534" s="212"/>
      <c r="E534" s="212"/>
      <c r="F534" s="212"/>
      <c r="G534" s="212"/>
      <c r="H534" s="212"/>
      <c r="I534" s="212"/>
      <c r="J534" s="212"/>
      <c r="K534" s="212"/>
      <c r="L534" s="212"/>
      <c r="M534" s="212"/>
      <c r="N534" s="212"/>
      <c r="O534" s="212"/>
      <c r="P534" s="212"/>
      <c r="Q534" s="212"/>
      <c r="R534" s="212"/>
      <c r="S534" s="212"/>
      <c r="T534" s="212"/>
      <c r="U534" s="212"/>
      <c r="V534" s="212"/>
      <c r="W534" s="212"/>
      <c r="X534" s="212"/>
      <c r="Y534" s="212"/>
      <c r="Z534" s="212"/>
      <c r="AA534" s="212"/>
    </row>
    <row r="535" spans="1:27">
      <c r="A535" s="213"/>
      <c r="B535" s="212"/>
      <c r="C535" s="212"/>
      <c r="D535" s="212"/>
      <c r="E535" s="212"/>
      <c r="F535" s="212"/>
      <c r="G535" s="212"/>
      <c r="H535" s="212"/>
      <c r="I535" s="212"/>
      <c r="J535" s="212"/>
      <c r="K535" s="212"/>
      <c r="L535" s="212"/>
      <c r="M535" s="212"/>
      <c r="N535" s="212"/>
      <c r="O535" s="212"/>
      <c r="P535" s="212"/>
      <c r="Q535" s="212"/>
      <c r="R535" s="212"/>
      <c r="S535" s="212"/>
      <c r="T535" s="212"/>
      <c r="U535" s="212"/>
      <c r="V535" s="212"/>
      <c r="W535" s="212"/>
      <c r="X535" s="212"/>
      <c r="Y535" s="212"/>
      <c r="Z535" s="212"/>
      <c r="AA535" s="212"/>
    </row>
    <row r="536" spans="1:27">
      <c r="A536" s="213"/>
      <c r="B536" s="212"/>
      <c r="C536" s="212"/>
      <c r="D536" s="212"/>
      <c r="E536" s="212"/>
      <c r="F536" s="212"/>
      <c r="G536" s="212"/>
      <c r="H536" s="212"/>
      <c r="I536" s="212"/>
      <c r="J536" s="212"/>
      <c r="K536" s="212"/>
      <c r="L536" s="212"/>
      <c r="M536" s="212"/>
      <c r="N536" s="212"/>
      <c r="O536" s="212"/>
      <c r="P536" s="212"/>
      <c r="Q536" s="212"/>
      <c r="R536" s="212"/>
      <c r="S536" s="212"/>
      <c r="T536" s="212"/>
      <c r="U536" s="212"/>
      <c r="V536" s="212"/>
      <c r="W536" s="212"/>
      <c r="X536" s="212"/>
      <c r="Y536" s="212"/>
      <c r="Z536" s="212"/>
      <c r="AA536" s="212"/>
    </row>
    <row r="537" spans="1:27">
      <c r="A537" s="213"/>
      <c r="B537" s="212"/>
      <c r="C537" s="212"/>
      <c r="D537" s="212"/>
      <c r="E537" s="212"/>
      <c r="F537" s="212"/>
      <c r="G537" s="212"/>
      <c r="H537" s="212"/>
      <c r="I537" s="212"/>
      <c r="J537" s="212"/>
      <c r="K537" s="212"/>
      <c r="L537" s="212"/>
      <c r="M537" s="212"/>
      <c r="N537" s="212"/>
      <c r="O537" s="212"/>
      <c r="P537" s="212"/>
      <c r="Q537" s="212"/>
      <c r="R537" s="212"/>
      <c r="S537" s="212"/>
      <c r="T537" s="212"/>
      <c r="U537" s="212"/>
      <c r="V537" s="212"/>
      <c r="W537" s="212"/>
      <c r="X537" s="212"/>
      <c r="Y537" s="212"/>
      <c r="Z537" s="212"/>
      <c r="AA537" s="212"/>
    </row>
    <row r="538" spans="1:27">
      <c r="A538" s="213"/>
      <c r="B538" s="212"/>
      <c r="C538" s="212"/>
      <c r="D538" s="212"/>
      <c r="E538" s="212"/>
      <c r="F538" s="212"/>
      <c r="G538" s="212"/>
      <c r="H538" s="212"/>
      <c r="I538" s="212"/>
      <c r="J538" s="212"/>
      <c r="K538" s="212"/>
      <c r="L538" s="212"/>
      <c r="M538" s="212"/>
      <c r="N538" s="212"/>
      <c r="O538" s="212"/>
      <c r="P538" s="212"/>
      <c r="Q538" s="212"/>
      <c r="R538" s="212"/>
      <c r="S538" s="212"/>
      <c r="T538" s="212"/>
      <c r="U538" s="212"/>
      <c r="V538" s="212"/>
      <c r="W538" s="212"/>
      <c r="X538" s="212"/>
      <c r="Y538" s="212"/>
      <c r="Z538" s="212"/>
      <c r="AA538" s="212"/>
    </row>
    <row r="539" spans="1:27">
      <c r="A539" s="213"/>
      <c r="B539" s="212"/>
      <c r="C539" s="212"/>
      <c r="D539" s="212"/>
      <c r="E539" s="212"/>
      <c r="F539" s="212"/>
      <c r="G539" s="212"/>
      <c r="H539" s="212"/>
      <c r="I539" s="212"/>
      <c r="J539" s="212"/>
      <c r="K539" s="212"/>
      <c r="L539" s="212"/>
      <c r="M539" s="212"/>
      <c r="N539" s="212"/>
      <c r="O539" s="212"/>
      <c r="P539" s="212"/>
      <c r="Q539" s="212"/>
      <c r="R539" s="212"/>
      <c r="S539" s="212"/>
      <c r="T539" s="212"/>
      <c r="U539" s="212"/>
      <c r="V539" s="212"/>
      <c r="W539" s="212"/>
      <c r="X539" s="212"/>
      <c r="Y539" s="212"/>
      <c r="Z539" s="212"/>
      <c r="AA539" s="212"/>
    </row>
    <row r="540" spans="1:27">
      <c r="A540" s="213"/>
      <c r="B540" s="212"/>
      <c r="C540" s="212"/>
      <c r="D540" s="212"/>
      <c r="E540" s="212"/>
      <c r="F540" s="212"/>
      <c r="G540" s="212"/>
      <c r="H540" s="212"/>
      <c r="I540" s="212"/>
      <c r="J540" s="212"/>
      <c r="K540" s="212"/>
      <c r="L540" s="212"/>
      <c r="M540" s="212"/>
      <c r="N540" s="212"/>
      <c r="O540" s="212"/>
      <c r="P540" s="212"/>
      <c r="Q540" s="212"/>
      <c r="R540" s="212"/>
      <c r="S540" s="212"/>
      <c r="T540" s="212"/>
      <c r="U540" s="212"/>
      <c r="V540" s="212"/>
      <c r="W540" s="212"/>
      <c r="X540" s="212"/>
      <c r="Y540" s="212"/>
      <c r="Z540" s="212"/>
      <c r="AA540" s="212"/>
    </row>
    <row r="541" spans="1:27">
      <c r="A541" s="213"/>
      <c r="B541" s="212"/>
      <c r="C541" s="212"/>
      <c r="D541" s="212"/>
      <c r="E541" s="212"/>
      <c r="F541" s="212"/>
      <c r="G541" s="212"/>
      <c r="H541" s="212"/>
      <c r="I541" s="212"/>
      <c r="J541" s="212"/>
      <c r="K541" s="212"/>
      <c r="L541" s="212"/>
      <c r="M541" s="212"/>
      <c r="N541" s="212"/>
      <c r="O541" s="212"/>
      <c r="P541" s="212"/>
      <c r="Q541" s="212"/>
      <c r="R541" s="212"/>
      <c r="S541" s="212"/>
      <c r="T541" s="212"/>
      <c r="U541" s="212"/>
      <c r="V541" s="212"/>
      <c r="W541" s="212"/>
      <c r="X541" s="212"/>
      <c r="Y541" s="212"/>
      <c r="Z541" s="212"/>
      <c r="AA541" s="212"/>
    </row>
    <row r="542" spans="1:27">
      <c r="A542" s="213"/>
      <c r="B542" s="212"/>
      <c r="C542" s="212"/>
      <c r="D542" s="212"/>
      <c r="E542" s="212"/>
      <c r="F542" s="212"/>
      <c r="G542" s="212"/>
      <c r="H542" s="212"/>
      <c r="I542" s="212"/>
      <c r="J542" s="212"/>
      <c r="K542" s="212"/>
      <c r="L542" s="212"/>
      <c r="M542" s="212"/>
      <c r="N542" s="212"/>
      <c r="O542" s="212"/>
      <c r="P542" s="212"/>
      <c r="Q542" s="212"/>
      <c r="R542" s="212"/>
      <c r="S542" s="212"/>
      <c r="T542" s="212"/>
      <c r="U542" s="212"/>
      <c r="V542" s="212"/>
      <c r="W542" s="212"/>
      <c r="X542" s="212"/>
      <c r="Y542" s="212"/>
      <c r="Z542" s="212"/>
      <c r="AA542" s="212"/>
    </row>
    <row r="543" spans="1:27">
      <c r="A543" s="279"/>
      <c r="B543" s="280"/>
      <c r="C543" s="280"/>
      <c r="D543" s="280"/>
      <c r="E543" s="280"/>
      <c r="F543" s="280"/>
      <c r="G543" s="280"/>
      <c r="H543" s="280"/>
      <c r="I543" s="280"/>
      <c r="J543" s="280"/>
      <c r="K543" s="280"/>
      <c r="L543" s="280"/>
      <c r="M543" s="280"/>
      <c r="N543" s="280"/>
      <c r="O543" s="280"/>
      <c r="P543" s="280"/>
      <c r="Q543" s="280"/>
      <c r="R543" s="280"/>
      <c r="S543" s="280"/>
      <c r="T543" s="280"/>
      <c r="U543" s="280"/>
      <c r="V543" s="280"/>
      <c r="W543" s="280"/>
      <c r="X543" s="280"/>
      <c r="Y543" s="280"/>
      <c r="Z543" s="280"/>
      <c r="AA543" s="280"/>
    </row>
    <row r="544" spans="1:27">
      <c r="A544" s="279"/>
      <c r="B544" s="280"/>
      <c r="C544" s="280"/>
      <c r="D544" s="280"/>
      <c r="E544" s="280"/>
      <c r="F544" s="280"/>
      <c r="G544" s="280"/>
      <c r="H544" s="280"/>
      <c r="I544" s="280"/>
      <c r="J544" s="280"/>
      <c r="K544" s="280"/>
      <c r="L544" s="280"/>
      <c r="M544" s="280"/>
      <c r="N544" s="280"/>
      <c r="O544" s="280"/>
      <c r="P544" s="280"/>
      <c r="Q544" s="280"/>
      <c r="R544" s="280"/>
      <c r="S544" s="280"/>
      <c r="T544" s="280"/>
      <c r="U544" s="280"/>
      <c r="V544" s="280"/>
      <c r="W544" s="280"/>
      <c r="X544" s="280"/>
      <c r="Y544" s="280"/>
      <c r="Z544" s="280"/>
      <c r="AA544" s="280"/>
    </row>
    <row r="545" spans="1:27">
      <c r="A545" s="279"/>
      <c r="B545" s="280"/>
      <c r="C545" s="280"/>
      <c r="D545" s="280"/>
      <c r="E545" s="280"/>
      <c r="F545" s="280"/>
      <c r="G545" s="280"/>
      <c r="H545" s="280"/>
      <c r="I545" s="280"/>
      <c r="J545" s="280"/>
      <c r="K545" s="280"/>
      <c r="L545" s="280"/>
      <c r="M545" s="280"/>
      <c r="N545" s="280"/>
      <c r="O545" s="280"/>
      <c r="P545" s="280"/>
      <c r="Q545" s="280"/>
      <c r="R545" s="280"/>
      <c r="S545" s="280"/>
      <c r="T545" s="280"/>
      <c r="U545" s="280"/>
      <c r="V545" s="280"/>
      <c r="W545" s="280"/>
      <c r="X545" s="280"/>
      <c r="Y545" s="280"/>
      <c r="Z545" s="280"/>
      <c r="AA545" s="280"/>
    </row>
  </sheetData>
  <mergeCells count="1">
    <mergeCell ref="A2:AA2"/>
  </mergeCells>
  <pageMargins left="0.7" right="0.7" top="0.75" bottom="0.75" header="0.3" footer="0.3"/>
  <drawing r:id="rId1"/>
  <legacyDrawing r:id="rId2"/>
  <controls>
    <mc:AlternateContent xmlns:mc="http://schemas.openxmlformats.org/markup-compatibility/2006">
      <mc:Choice Requires="x14">
        <control shapeId="83969" r:id="rId3" name="CommandButton1">
          <controlPr defaultSize="0" autoLine="0" r:id="rId4">
            <anchor moveWithCells="1" sizeWithCells="1">
              <from>
                <xdr:col>0</xdr:col>
                <xdr:colOff>47625</xdr:colOff>
                <xdr:row>5</xdr:row>
                <xdr:rowOff>47625</xdr:rowOff>
              </from>
              <to>
                <xdr:col>2</xdr:col>
                <xdr:colOff>304800</xdr:colOff>
                <xdr:row>6</xdr:row>
                <xdr:rowOff>171450</xdr:rowOff>
              </to>
            </anchor>
          </controlPr>
        </control>
      </mc:Choice>
      <mc:Fallback>
        <control shapeId="83969" r:id="rId3" name="CommandButton1"/>
      </mc:Fallback>
    </mc:AlternateContent>
    <mc:AlternateContent xmlns:mc="http://schemas.openxmlformats.org/markup-compatibility/2006">
      <mc:Choice Requires="x14">
        <control shapeId="83972" r:id="rId5" name="CommandButton2">
          <controlPr defaultSize="0" autoLine="0" r:id="rId6">
            <anchor moveWithCells="1" sizeWithCells="1">
              <from>
                <xdr:col>0</xdr:col>
                <xdr:colOff>19050</xdr:colOff>
                <xdr:row>74</xdr:row>
                <xdr:rowOff>85725</xdr:rowOff>
              </from>
              <to>
                <xdr:col>2</xdr:col>
                <xdr:colOff>638175</xdr:colOff>
                <xdr:row>76</xdr:row>
                <xdr:rowOff>19050</xdr:rowOff>
              </to>
            </anchor>
          </controlPr>
        </control>
      </mc:Choice>
      <mc:Fallback>
        <control shapeId="83972" r:id="rId5" name="CommandButton2"/>
      </mc:Fallback>
    </mc:AlternateContent>
    <mc:AlternateContent xmlns:mc="http://schemas.openxmlformats.org/markup-compatibility/2006">
      <mc:Choice Requires="x14">
        <control shapeId="83973" r:id="rId7" name="CommandButton3">
          <controlPr defaultSize="0" autoLine="0" r:id="rId8">
            <anchor moveWithCells="1" sizeWithCells="1">
              <from>
                <xdr:col>0</xdr:col>
                <xdr:colOff>38100</xdr:colOff>
                <xdr:row>78</xdr:row>
                <xdr:rowOff>19050</xdr:rowOff>
              </from>
              <to>
                <xdr:col>2</xdr:col>
                <xdr:colOff>657225</xdr:colOff>
                <xdr:row>79</xdr:row>
                <xdr:rowOff>142875</xdr:rowOff>
              </to>
            </anchor>
          </controlPr>
        </control>
      </mc:Choice>
      <mc:Fallback>
        <control shapeId="83973" r:id="rId7" name="CommandButton3"/>
      </mc:Fallback>
    </mc:AlternateContent>
    <mc:AlternateContent xmlns:mc="http://schemas.openxmlformats.org/markup-compatibility/2006">
      <mc:Choice Requires="x14">
        <control shapeId="83974" r:id="rId9" name="CommandButton4">
          <controlPr defaultSize="0" autoLine="0" r:id="rId10">
            <anchor moveWithCells="1" sizeWithCells="1">
              <from>
                <xdr:col>0</xdr:col>
                <xdr:colOff>28575</xdr:colOff>
                <xdr:row>139</xdr:row>
                <xdr:rowOff>142875</xdr:rowOff>
              </from>
              <to>
                <xdr:col>2</xdr:col>
                <xdr:colOff>647700</xdr:colOff>
                <xdr:row>140</xdr:row>
                <xdr:rowOff>28575</xdr:rowOff>
              </to>
            </anchor>
          </controlPr>
        </control>
      </mc:Choice>
      <mc:Fallback>
        <control shapeId="83974" r:id="rId9" name="CommandButton4"/>
      </mc:Fallback>
    </mc:AlternateContent>
    <mc:AlternateContent xmlns:mc="http://schemas.openxmlformats.org/markup-compatibility/2006">
      <mc:Choice Requires="x14">
        <control shapeId="83975" r:id="rId11" name="CommandButton5">
          <controlPr defaultSize="0" autoLine="0" r:id="rId12">
            <anchor moveWithCells="1" sizeWithCells="1">
              <from>
                <xdr:col>0</xdr:col>
                <xdr:colOff>28575</xdr:colOff>
                <xdr:row>142</xdr:row>
                <xdr:rowOff>28575</xdr:rowOff>
              </from>
              <to>
                <xdr:col>2</xdr:col>
                <xdr:colOff>647700</xdr:colOff>
                <xdr:row>143</xdr:row>
                <xdr:rowOff>152400</xdr:rowOff>
              </to>
            </anchor>
          </controlPr>
        </control>
      </mc:Choice>
      <mc:Fallback>
        <control shapeId="83975" r:id="rId11" name="CommandButton5"/>
      </mc:Fallback>
    </mc:AlternateContent>
    <mc:AlternateContent xmlns:mc="http://schemas.openxmlformats.org/markup-compatibility/2006">
      <mc:Choice Requires="x14">
        <control shapeId="83976" r:id="rId13" name="CommandButton6">
          <controlPr defaultSize="0" autoLine="0" r:id="rId14">
            <anchor moveWithCells="1" sizeWithCells="1">
              <from>
                <xdr:col>0</xdr:col>
                <xdr:colOff>38100</xdr:colOff>
                <xdr:row>203</xdr:row>
                <xdr:rowOff>76200</xdr:rowOff>
              </from>
              <to>
                <xdr:col>2</xdr:col>
                <xdr:colOff>657225</xdr:colOff>
                <xdr:row>205</xdr:row>
                <xdr:rowOff>9525</xdr:rowOff>
              </to>
            </anchor>
          </controlPr>
        </control>
      </mc:Choice>
      <mc:Fallback>
        <control shapeId="83976" r:id="rId13" name="CommandButton6"/>
      </mc:Fallback>
    </mc:AlternateContent>
    <mc:AlternateContent xmlns:mc="http://schemas.openxmlformats.org/markup-compatibility/2006">
      <mc:Choice Requires="x14">
        <control shapeId="83978" r:id="rId15" name="CommandButton7">
          <controlPr defaultSize="0" autoLine="0" r:id="rId16">
            <anchor moveWithCells="1" sizeWithCells="1">
              <from>
                <xdr:col>0</xdr:col>
                <xdr:colOff>28575</xdr:colOff>
                <xdr:row>207</xdr:row>
                <xdr:rowOff>28575</xdr:rowOff>
              </from>
              <to>
                <xdr:col>2</xdr:col>
                <xdr:colOff>647700</xdr:colOff>
                <xdr:row>207</xdr:row>
                <xdr:rowOff>342900</xdr:rowOff>
              </to>
            </anchor>
          </controlPr>
        </control>
      </mc:Choice>
      <mc:Fallback>
        <control shapeId="83978" r:id="rId15" name="CommandButton7"/>
      </mc:Fallback>
    </mc:AlternateContent>
    <mc:AlternateContent xmlns:mc="http://schemas.openxmlformats.org/markup-compatibility/2006">
      <mc:Choice Requires="x14">
        <control shapeId="83979" r:id="rId17" name="CommandButton8">
          <controlPr defaultSize="0" autoLine="0" r:id="rId18">
            <anchor moveWithCells="1" sizeWithCells="1">
              <from>
                <xdr:col>0</xdr:col>
                <xdr:colOff>47625</xdr:colOff>
                <xdr:row>293</xdr:row>
                <xdr:rowOff>85725</xdr:rowOff>
              </from>
              <to>
                <xdr:col>2</xdr:col>
                <xdr:colOff>666750</xdr:colOff>
                <xdr:row>295</xdr:row>
                <xdr:rowOff>19050</xdr:rowOff>
              </to>
            </anchor>
          </controlPr>
        </control>
      </mc:Choice>
      <mc:Fallback>
        <control shapeId="83979" r:id="rId17" name="CommandButton8"/>
      </mc:Fallback>
    </mc:AlternateContent>
    <mc:AlternateContent xmlns:mc="http://schemas.openxmlformats.org/markup-compatibility/2006">
      <mc:Choice Requires="x14">
        <control shapeId="83980" r:id="rId19" name="CommandButton9">
          <controlPr defaultSize="0" autoLine="0" r:id="rId20">
            <anchor moveWithCells="1" sizeWithCells="1">
              <from>
                <xdr:col>0</xdr:col>
                <xdr:colOff>66675</xdr:colOff>
                <xdr:row>297</xdr:row>
                <xdr:rowOff>28575</xdr:rowOff>
              </from>
              <to>
                <xdr:col>2</xdr:col>
                <xdr:colOff>685800</xdr:colOff>
                <xdr:row>298</xdr:row>
                <xdr:rowOff>152400</xdr:rowOff>
              </to>
            </anchor>
          </controlPr>
        </control>
      </mc:Choice>
      <mc:Fallback>
        <control shapeId="83980" r:id="rId19" name="CommandButton9"/>
      </mc:Fallback>
    </mc:AlternateContent>
    <mc:AlternateContent xmlns:mc="http://schemas.openxmlformats.org/markup-compatibility/2006">
      <mc:Choice Requires="x14">
        <control shapeId="83981" r:id="rId21" name="CommandButton10">
          <controlPr defaultSize="0" autoLine="0" r:id="rId22">
            <anchor moveWithCells="1" sizeWithCells="1">
              <from>
                <xdr:col>0</xdr:col>
                <xdr:colOff>19050</xdr:colOff>
                <xdr:row>397</xdr:row>
                <xdr:rowOff>66675</xdr:rowOff>
              </from>
              <to>
                <xdr:col>2</xdr:col>
                <xdr:colOff>638175</xdr:colOff>
                <xdr:row>399</xdr:row>
                <xdr:rowOff>0</xdr:rowOff>
              </to>
            </anchor>
          </controlPr>
        </control>
      </mc:Choice>
      <mc:Fallback>
        <control shapeId="83981" r:id="rId21" name="CommandButton10"/>
      </mc:Fallback>
    </mc:AlternateContent>
    <mc:AlternateContent xmlns:mc="http://schemas.openxmlformats.org/markup-compatibility/2006">
      <mc:Choice Requires="x14">
        <control shapeId="83982" r:id="rId23" name="CommandButton11">
          <controlPr defaultSize="0" autoLine="0" r:id="rId24">
            <anchor moveWithCells="1" sizeWithCells="1">
              <from>
                <xdr:col>0</xdr:col>
                <xdr:colOff>38100</xdr:colOff>
                <xdr:row>401</xdr:row>
                <xdr:rowOff>28575</xdr:rowOff>
              </from>
              <to>
                <xdr:col>2</xdr:col>
                <xdr:colOff>657225</xdr:colOff>
                <xdr:row>402</xdr:row>
                <xdr:rowOff>152400</xdr:rowOff>
              </to>
            </anchor>
          </controlPr>
        </control>
      </mc:Choice>
      <mc:Fallback>
        <control shapeId="83982" r:id="rId23" name="CommandButton11"/>
      </mc:Fallback>
    </mc:AlternateContent>
    <mc:AlternateContent xmlns:mc="http://schemas.openxmlformats.org/markup-compatibility/2006">
      <mc:Choice Requires="x14">
        <control shapeId="83983" r:id="rId25" name="CommandButton12">
          <controlPr defaultSize="0" autoLine="0" r:id="rId26">
            <anchor moveWithCells="1" sizeWithCells="1">
              <from>
                <xdr:col>0</xdr:col>
                <xdr:colOff>47625</xdr:colOff>
                <xdr:row>471</xdr:row>
                <xdr:rowOff>57150</xdr:rowOff>
              </from>
              <to>
                <xdr:col>2</xdr:col>
                <xdr:colOff>666750</xdr:colOff>
                <xdr:row>472</xdr:row>
                <xdr:rowOff>180975</xdr:rowOff>
              </to>
            </anchor>
          </controlPr>
        </control>
      </mc:Choice>
      <mc:Fallback>
        <control shapeId="83983" r:id="rId25" name="CommandButton12"/>
      </mc:Fallback>
    </mc:AlternateContent>
    <mc:AlternateContent xmlns:mc="http://schemas.openxmlformats.org/markup-compatibility/2006">
      <mc:Choice Requires="x14">
        <control shapeId="83984" r:id="rId27" name="CommandButton13">
          <controlPr defaultSize="0" autoLine="0" r:id="rId28">
            <anchor moveWithCells="1" sizeWithCells="1">
              <from>
                <xdr:col>0</xdr:col>
                <xdr:colOff>28575</xdr:colOff>
                <xdr:row>475</xdr:row>
                <xdr:rowOff>38100</xdr:rowOff>
              </from>
              <to>
                <xdr:col>2</xdr:col>
                <xdr:colOff>647700</xdr:colOff>
                <xdr:row>476</xdr:row>
                <xdr:rowOff>161925</xdr:rowOff>
              </to>
            </anchor>
          </controlPr>
        </control>
      </mc:Choice>
      <mc:Fallback>
        <control shapeId="83984" r:id="rId27" name="CommandButton13"/>
      </mc:Fallback>
    </mc:AlternateContent>
    <mc:AlternateContent xmlns:mc="http://schemas.openxmlformats.org/markup-compatibility/2006">
      <mc:Choice Requires="x14">
        <control shapeId="83985" r:id="rId29" name="CommandButton14">
          <controlPr defaultSize="0" autoLine="0" r:id="rId30">
            <anchor moveWithCells="1" sizeWithCells="1">
              <from>
                <xdr:col>0</xdr:col>
                <xdr:colOff>38100</xdr:colOff>
                <xdr:row>543</xdr:row>
                <xdr:rowOff>66675</xdr:rowOff>
              </from>
              <to>
                <xdr:col>2</xdr:col>
                <xdr:colOff>657225</xdr:colOff>
                <xdr:row>545</xdr:row>
                <xdr:rowOff>0</xdr:rowOff>
              </to>
            </anchor>
          </controlPr>
        </control>
      </mc:Choice>
      <mc:Fallback>
        <control shapeId="83985" r:id="rId29" name="CommandButton14"/>
      </mc:Fallback>
    </mc:AlternateContent>
    <mc:AlternateContent xmlns:mc="http://schemas.openxmlformats.org/markup-compatibility/2006">
      <mc:Choice Requires="x14">
        <control shapeId="83986" r:id="rId31" name="btnCTAlmacenamiento">
          <controlPr defaultSize="0" autoLine="0" r:id="rId32">
            <anchor moveWithCells="1" sizeWithCells="1">
              <from>
                <xdr:col>2</xdr:col>
                <xdr:colOff>590550</xdr:colOff>
                <xdr:row>5</xdr:row>
                <xdr:rowOff>47625</xdr:rowOff>
              </from>
              <to>
                <xdr:col>4</xdr:col>
                <xdr:colOff>95250</xdr:colOff>
                <xdr:row>6</xdr:row>
                <xdr:rowOff>171450</xdr:rowOff>
              </to>
            </anchor>
          </controlPr>
        </control>
      </mc:Choice>
      <mc:Fallback>
        <control shapeId="83986" r:id="rId31" name="btnCTAlmacenamiento"/>
      </mc:Fallback>
    </mc:AlternateContent>
    <mc:AlternateContent xmlns:mc="http://schemas.openxmlformats.org/markup-compatibility/2006">
      <mc:Choice Requires="x14">
        <control shapeId="83987" r:id="rId33" name="btnCTAlmacenamiento02">
          <controlPr defaultSize="0" autoLine="0" r:id="rId34">
            <anchor moveWithCells="1" sizeWithCells="1">
              <from>
                <xdr:col>2</xdr:col>
                <xdr:colOff>657225</xdr:colOff>
                <xdr:row>74</xdr:row>
                <xdr:rowOff>76200</xdr:rowOff>
              </from>
              <to>
                <xdr:col>4</xdr:col>
                <xdr:colOff>523875</xdr:colOff>
                <xdr:row>76</xdr:row>
                <xdr:rowOff>9525</xdr:rowOff>
              </to>
            </anchor>
          </controlPr>
        </control>
      </mc:Choice>
      <mc:Fallback>
        <control shapeId="83987" r:id="rId33" name="btnCTAlmacenamiento02"/>
      </mc:Fallback>
    </mc:AlternateContent>
    <mc:AlternateContent xmlns:mc="http://schemas.openxmlformats.org/markup-compatibility/2006">
      <mc:Choice Requires="x14">
        <control shapeId="83988" r:id="rId35" name="btnBarrido1">
          <controlPr defaultSize="0" autoLine="0" r:id="rId36">
            <anchor moveWithCells="1" sizeWithCells="1">
              <from>
                <xdr:col>2</xdr:col>
                <xdr:colOff>666750</xdr:colOff>
                <xdr:row>78</xdr:row>
                <xdr:rowOff>38100</xdr:rowOff>
              </from>
              <to>
                <xdr:col>4</xdr:col>
                <xdr:colOff>533400</xdr:colOff>
                <xdr:row>79</xdr:row>
                <xdr:rowOff>161925</xdr:rowOff>
              </to>
            </anchor>
          </controlPr>
        </control>
      </mc:Choice>
      <mc:Fallback>
        <control shapeId="83988" r:id="rId35" name="btnBarrido1"/>
      </mc:Fallback>
    </mc:AlternateContent>
    <mc:AlternateContent xmlns:mc="http://schemas.openxmlformats.org/markup-compatibility/2006">
      <mc:Choice Requires="x14">
        <control shapeId="83989" r:id="rId37" name="btnBarrido2">
          <controlPr defaultSize="0" autoLine="0" r:id="rId38">
            <anchor moveWithCells="1" sizeWithCells="1">
              <from>
                <xdr:col>2</xdr:col>
                <xdr:colOff>676275</xdr:colOff>
                <xdr:row>139</xdr:row>
                <xdr:rowOff>133350</xdr:rowOff>
              </from>
              <to>
                <xdr:col>4</xdr:col>
                <xdr:colOff>542925</xdr:colOff>
                <xdr:row>140</xdr:row>
                <xdr:rowOff>19050</xdr:rowOff>
              </to>
            </anchor>
          </controlPr>
        </control>
      </mc:Choice>
      <mc:Fallback>
        <control shapeId="83989" r:id="rId37" name="btnBarrido2"/>
      </mc:Fallback>
    </mc:AlternateContent>
    <mc:AlternateContent xmlns:mc="http://schemas.openxmlformats.org/markup-compatibility/2006">
      <mc:Choice Requires="x14">
        <control shapeId="83990" r:id="rId39" name="btnRecoleccion1">
          <controlPr defaultSize="0" autoLine="0" r:id="rId40">
            <anchor moveWithCells="1" sizeWithCells="1">
              <from>
                <xdr:col>2</xdr:col>
                <xdr:colOff>666750</xdr:colOff>
                <xdr:row>142</xdr:row>
                <xdr:rowOff>28575</xdr:rowOff>
              </from>
              <to>
                <xdr:col>4</xdr:col>
                <xdr:colOff>533400</xdr:colOff>
                <xdr:row>143</xdr:row>
                <xdr:rowOff>152400</xdr:rowOff>
              </to>
            </anchor>
          </controlPr>
        </control>
      </mc:Choice>
      <mc:Fallback>
        <control shapeId="83990" r:id="rId39" name="btnRecoleccion1"/>
      </mc:Fallback>
    </mc:AlternateContent>
    <mc:AlternateContent xmlns:mc="http://schemas.openxmlformats.org/markup-compatibility/2006">
      <mc:Choice Requires="x14">
        <control shapeId="83991" r:id="rId41" name="btnRecoleccion2">
          <controlPr defaultSize="0" autoLine="0" r:id="rId42">
            <anchor moveWithCells="1" sizeWithCells="1">
              <from>
                <xdr:col>2</xdr:col>
                <xdr:colOff>695325</xdr:colOff>
                <xdr:row>203</xdr:row>
                <xdr:rowOff>66675</xdr:rowOff>
              </from>
              <to>
                <xdr:col>4</xdr:col>
                <xdr:colOff>561975</xdr:colOff>
                <xdr:row>205</xdr:row>
                <xdr:rowOff>0</xdr:rowOff>
              </to>
            </anchor>
          </controlPr>
        </control>
      </mc:Choice>
      <mc:Fallback>
        <control shapeId="83991" r:id="rId41" name="btnRecoleccion2"/>
      </mc:Fallback>
    </mc:AlternateContent>
    <mc:AlternateContent xmlns:mc="http://schemas.openxmlformats.org/markup-compatibility/2006">
      <mc:Choice Requires="x14">
        <control shapeId="83992" r:id="rId43" name="btnValorizacion1">
          <controlPr defaultSize="0" autoLine="0" r:id="rId44">
            <anchor moveWithCells="1" sizeWithCells="1">
              <from>
                <xdr:col>2</xdr:col>
                <xdr:colOff>666750</xdr:colOff>
                <xdr:row>207</xdr:row>
                <xdr:rowOff>28575</xdr:rowOff>
              </from>
              <to>
                <xdr:col>4</xdr:col>
                <xdr:colOff>533400</xdr:colOff>
                <xdr:row>207</xdr:row>
                <xdr:rowOff>342900</xdr:rowOff>
              </to>
            </anchor>
          </controlPr>
        </control>
      </mc:Choice>
      <mc:Fallback>
        <control shapeId="83992" r:id="rId43" name="btnValorizacion1"/>
      </mc:Fallback>
    </mc:AlternateContent>
    <mc:AlternateContent xmlns:mc="http://schemas.openxmlformats.org/markup-compatibility/2006">
      <mc:Choice Requires="x14">
        <control shapeId="83993" r:id="rId45" name="btnValorizacion2">
          <controlPr defaultSize="0" autoLine="0" r:id="rId46">
            <anchor moveWithCells="1" sizeWithCells="1">
              <from>
                <xdr:col>2</xdr:col>
                <xdr:colOff>704850</xdr:colOff>
                <xdr:row>293</xdr:row>
                <xdr:rowOff>85725</xdr:rowOff>
              </from>
              <to>
                <xdr:col>4</xdr:col>
                <xdr:colOff>571500</xdr:colOff>
                <xdr:row>295</xdr:row>
                <xdr:rowOff>19050</xdr:rowOff>
              </to>
            </anchor>
          </controlPr>
        </control>
      </mc:Choice>
      <mc:Fallback>
        <control shapeId="83993" r:id="rId45" name="btnValorizacion2"/>
      </mc:Fallback>
    </mc:AlternateContent>
    <mc:AlternateContent xmlns:mc="http://schemas.openxmlformats.org/markup-compatibility/2006">
      <mc:Choice Requires="x14">
        <control shapeId="83994" r:id="rId47" name="btnDisposicion1">
          <controlPr defaultSize="0" autoLine="0" r:id="rId48">
            <anchor moveWithCells="1" sizeWithCells="1">
              <from>
                <xdr:col>2</xdr:col>
                <xdr:colOff>704850</xdr:colOff>
                <xdr:row>297</xdr:row>
                <xdr:rowOff>28575</xdr:rowOff>
              </from>
              <to>
                <xdr:col>4</xdr:col>
                <xdr:colOff>571500</xdr:colOff>
                <xdr:row>298</xdr:row>
                <xdr:rowOff>152400</xdr:rowOff>
              </to>
            </anchor>
          </controlPr>
        </control>
      </mc:Choice>
      <mc:Fallback>
        <control shapeId="83994" r:id="rId47" name="btnDisposicion1"/>
      </mc:Fallback>
    </mc:AlternateContent>
    <mc:AlternateContent xmlns:mc="http://schemas.openxmlformats.org/markup-compatibility/2006">
      <mc:Choice Requires="x14">
        <control shapeId="83995" r:id="rId49" name="btnDisposicion2">
          <controlPr defaultSize="0" autoLine="0" r:id="rId50">
            <anchor moveWithCells="1" sizeWithCells="1">
              <from>
                <xdr:col>2</xdr:col>
                <xdr:colOff>695325</xdr:colOff>
                <xdr:row>397</xdr:row>
                <xdr:rowOff>66675</xdr:rowOff>
              </from>
              <to>
                <xdr:col>4</xdr:col>
                <xdr:colOff>561975</xdr:colOff>
                <xdr:row>399</xdr:row>
                <xdr:rowOff>0</xdr:rowOff>
              </to>
            </anchor>
          </controlPr>
        </control>
      </mc:Choice>
      <mc:Fallback>
        <control shapeId="83995" r:id="rId49" name="btnDisposicion2"/>
      </mc:Fallback>
    </mc:AlternateContent>
    <mc:AlternateContent xmlns:mc="http://schemas.openxmlformats.org/markup-compatibility/2006">
      <mc:Choice Requires="x14">
        <control shapeId="83996" r:id="rId51" name="btnGestion1">
          <controlPr defaultSize="0" autoLine="0" r:id="rId52">
            <anchor moveWithCells="1" sizeWithCells="1">
              <from>
                <xdr:col>2</xdr:col>
                <xdr:colOff>695325</xdr:colOff>
                <xdr:row>401</xdr:row>
                <xdr:rowOff>28575</xdr:rowOff>
              </from>
              <to>
                <xdr:col>4</xdr:col>
                <xdr:colOff>561975</xdr:colOff>
                <xdr:row>402</xdr:row>
                <xdr:rowOff>152400</xdr:rowOff>
              </to>
            </anchor>
          </controlPr>
        </control>
      </mc:Choice>
      <mc:Fallback>
        <control shapeId="83996" r:id="rId51" name="btnGestion1"/>
      </mc:Fallback>
    </mc:AlternateContent>
    <mc:AlternateContent xmlns:mc="http://schemas.openxmlformats.org/markup-compatibility/2006">
      <mc:Choice Requires="x14">
        <control shapeId="83997" r:id="rId53" name="btnGestion2">
          <controlPr defaultSize="0" autoLine="0" r:id="rId54">
            <anchor moveWithCells="1" sizeWithCells="1">
              <from>
                <xdr:col>2</xdr:col>
                <xdr:colOff>733425</xdr:colOff>
                <xdr:row>471</xdr:row>
                <xdr:rowOff>57150</xdr:rowOff>
              </from>
              <to>
                <xdr:col>4</xdr:col>
                <xdr:colOff>600075</xdr:colOff>
                <xdr:row>472</xdr:row>
                <xdr:rowOff>180975</xdr:rowOff>
              </to>
            </anchor>
          </controlPr>
        </control>
      </mc:Choice>
      <mc:Fallback>
        <control shapeId="83997" r:id="rId53" name="btnGestion2"/>
      </mc:Fallback>
    </mc:AlternateContent>
    <mc:AlternateContent xmlns:mc="http://schemas.openxmlformats.org/markup-compatibility/2006">
      <mc:Choice Requires="x14">
        <control shapeId="83998" r:id="rId55" name="btnEducacion1">
          <controlPr defaultSize="0" autoLine="0" r:id="rId56">
            <anchor moveWithCells="1" sizeWithCells="1">
              <from>
                <xdr:col>2</xdr:col>
                <xdr:colOff>685800</xdr:colOff>
                <xdr:row>475</xdr:row>
                <xdr:rowOff>38100</xdr:rowOff>
              </from>
              <to>
                <xdr:col>4</xdr:col>
                <xdr:colOff>552450</xdr:colOff>
                <xdr:row>476</xdr:row>
                <xdr:rowOff>161925</xdr:rowOff>
              </to>
            </anchor>
          </controlPr>
        </control>
      </mc:Choice>
      <mc:Fallback>
        <control shapeId="83998" r:id="rId55" name="btnEducacion1"/>
      </mc:Fallback>
    </mc:AlternateContent>
    <mc:AlternateContent xmlns:mc="http://schemas.openxmlformats.org/markup-compatibility/2006">
      <mc:Choice Requires="x14">
        <control shapeId="83999" r:id="rId57" name="btnEducacion2">
          <controlPr defaultSize="0" autoLine="0" r:id="rId58">
            <anchor moveWithCells="1" sizeWithCells="1">
              <from>
                <xdr:col>2</xdr:col>
                <xdr:colOff>723900</xdr:colOff>
                <xdr:row>543</xdr:row>
                <xdr:rowOff>66675</xdr:rowOff>
              </from>
              <to>
                <xdr:col>4</xdr:col>
                <xdr:colOff>590550</xdr:colOff>
                <xdr:row>545</xdr:row>
                <xdr:rowOff>0</xdr:rowOff>
              </to>
            </anchor>
          </controlPr>
        </control>
      </mc:Choice>
      <mc:Fallback>
        <control shapeId="83999" r:id="rId57" name="btnEducacion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5"/>
  <dimension ref="B2:AE215"/>
  <sheetViews>
    <sheetView zoomScale="55" zoomScaleNormal="55" workbookViewId="0"/>
  </sheetViews>
  <sheetFormatPr baseColWidth="10" defaultRowHeight="15"/>
  <cols>
    <col min="1" max="1" width="9.140625" customWidth="1"/>
    <col min="2" max="2" width="9.5703125" customWidth="1"/>
    <col min="32" max="32" width="20" customWidth="1"/>
  </cols>
  <sheetData>
    <row r="2" spans="2:28" ht="33.75">
      <c r="B2" s="1702" t="s">
        <v>2443</v>
      </c>
      <c r="C2" s="1702"/>
      <c r="D2" s="1702"/>
      <c r="E2" s="1702"/>
      <c r="F2" s="1702"/>
      <c r="G2" s="1702"/>
      <c r="H2" s="1702"/>
      <c r="I2" s="1702"/>
      <c r="J2" s="1702"/>
      <c r="K2" s="1702"/>
      <c r="L2" s="1702"/>
      <c r="M2" s="1702"/>
      <c r="N2" s="1702"/>
      <c r="O2" s="1702"/>
      <c r="P2" s="1702"/>
      <c r="Q2" s="1702"/>
      <c r="R2" s="1702"/>
      <c r="S2" s="1702"/>
      <c r="T2" s="1702"/>
      <c r="U2" s="1702"/>
      <c r="V2" s="1702"/>
      <c r="W2" s="1702"/>
      <c r="X2" s="1702"/>
      <c r="Y2" s="1702"/>
      <c r="Z2" s="1702"/>
      <c r="AA2" s="1702"/>
      <c r="AB2" s="1702"/>
    </row>
    <row r="3" spans="2:28" ht="23.25" customHeight="1">
      <c r="B3" s="278"/>
      <c r="C3" s="278"/>
      <c r="D3" s="278"/>
      <c r="E3" s="278"/>
      <c r="F3" s="278"/>
      <c r="G3" s="278"/>
      <c r="H3" s="278"/>
      <c r="I3" s="278"/>
      <c r="J3" s="278"/>
      <c r="K3" s="278"/>
      <c r="L3" s="278"/>
      <c r="M3" s="278"/>
      <c r="N3" s="278"/>
      <c r="O3" s="278"/>
      <c r="P3" s="278"/>
      <c r="Q3" s="278"/>
      <c r="R3" s="278"/>
      <c r="S3" s="278"/>
      <c r="T3" s="278"/>
      <c r="U3" s="278"/>
      <c r="V3" s="278"/>
      <c r="W3" s="278"/>
      <c r="X3" s="278"/>
      <c r="Y3" s="278"/>
      <c r="Z3" s="278"/>
      <c r="AA3" s="278"/>
      <c r="AB3" s="278"/>
    </row>
    <row r="4" spans="2:28" ht="23.25" customHeight="1">
      <c r="B4" s="278"/>
      <c r="C4" s="278"/>
      <c r="D4" s="278"/>
      <c r="E4" s="278"/>
      <c r="F4" s="278"/>
      <c r="G4" s="278"/>
      <c r="H4" s="278"/>
      <c r="I4" s="278"/>
      <c r="J4" s="278"/>
      <c r="K4" s="278"/>
      <c r="L4" s="278"/>
      <c r="M4" s="278"/>
      <c r="N4" s="278"/>
      <c r="O4" s="278"/>
      <c r="P4" s="278"/>
      <c r="Q4" s="278"/>
      <c r="R4" s="278"/>
      <c r="S4" s="278"/>
      <c r="T4" s="278"/>
      <c r="U4" s="278"/>
      <c r="V4" s="278"/>
      <c r="W4" s="278"/>
      <c r="X4" s="278"/>
      <c r="Y4" s="278"/>
      <c r="Z4" s="278"/>
      <c r="AA4" s="278"/>
      <c r="AB4" s="278"/>
    </row>
    <row r="6" spans="2:28">
      <c r="B6" s="212"/>
      <c r="C6" s="212"/>
      <c r="D6" s="212"/>
      <c r="E6" s="212"/>
      <c r="F6" s="212"/>
      <c r="G6" s="212"/>
      <c r="H6" s="212"/>
      <c r="I6" s="212"/>
      <c r="J6" s="212"/>
      <c r="K6" s="212"/>
      <c r="L6" s="212"/>
      <c r="M6" s="212"/>
      <c r="N6" s="212"/>
      <c r="O6" s="212"/>
      <c r="P6" s="212"/>
      <c r="Q6" s="212"/>
      <c r="R6" s="212"/>
      <c r="S6" s="212"/>
      <c r="T6" s="212"/>
      <c r="U6" s="212"/>
      <c r="V6" s="212"/>
      <c r="W6" s="212"/>
      <c r="X6" s="212"/>
      <c r="Y6" s="212"/>
      <c r="Z6" s="212"/>
      <c r="AA6" s="212"/>
      <c r="AB6" s="212"/>
    </row>
    <row r="7" spans="2:28">
      <c r="B7" s="212"/>
      <c r="C7" s="212"/>
      <c r="D7" s="212"/>
      <c r="E7" s="212"/>
      <c r="F7" s="212"/>
      <c r="G7" s="212"/>
      <c r="H7" s="212"/>
      <c r="I7" s="212"/>
      <c r="J7" s="212"/>
      <c r="K7" s="212"/>
      <c r="L7" s="212"/>
      <c r="M7" s="212"/>
      <c r="N7" s="212"/>
      <c r="O7" s="212"/>
      <c r="P7" s="212"/>
      <c r="Q7" s="212"/>
      <c r="R7" s="212"/>
      <c r="S7" s="212"/>
      <c r="T7" s="212"/>
      <c r="U7" s="212"/>
      <c r="V7" s="212"/>
      <c r="W7" s="212"/>
      <c r="X7" s="212"/>
      <c r="Y7" s="212"/>
      <c r="Z7" s="212"/>
      <c r="AA7" s="212"/>
      <c r="AB7" s="212"/>
    </row>
    <row r="8" spans="2:28">
      <c r="B8" s="212"/>
      <c r="C8" s="212"/>
      <c r="D8" s="212"/>
      <c r="E8" s="212"/>
      <c r="F8" s="212"/>
      <c r="G8" s="212"/>
      <c r="H8" s="212"/>
      <c r="I8" s="212"/>
      <c r="J8" s="212"/>
      <c r="K8" s="212"/>
      <c r="L8" s="212"/>
      <c r="M8" s="212"/>
      <c r="N8" s="212"/>
      <c r="O8" s="212"/>
      <c r="P8" s="212"/>
      <c r="Q8" s="212"/>
      <c r="R8" s="212"/>
      <c r="S8" s="212"/>
      <c r="T8" s="212"/>
      <c r="U8" s="212"/>
      <c r="V8" s="212"/>
      <c r="W8" s="212"/>
      <c r="X8" s="212"/>
      <c r="Y8" s="212"/>
      <c r="Z8" s="212"/>
      <c r="AA8" s="212"/>
      <c r="AB8" s="212"/>
    </row>
    <row r="9" spans="2:28">
      <c r="B9" s="212"/>
      <c r="C9" s="212"/>
      <c r="D9" s="212"/>
      <c r="E9" s="212"/>
      <c r="F9" s="212"/>
      <c r="G9" s="212"/>
      <c r="H9" s="212"/>
      <c r="I9" s="212"/>
      <c r="J9" s="212"/>
      <c r="K9" s="212"/>
      <c r="L9" s="212"/>
      <c r="M9" s="212"/>
      <c r="N9" s="212"/>
      <c r="O9" s="212"/>
      <c r="P9" s="212"/>
      <c r="Q9" s="212"/>
      <c r="R9" s="212"/>
      <c r="S9" s="212"/>
      <c r="T9" s="212"/>
      <c r="U9" s="212"/>
      <c r="V9" s="212"/>
      <c r="W9" s="212"/>
      <c r="X9" s="212"/>
      <c r="Y9" s="212"/>
      <c r="Z9" s="212"/>
      <c r="AA9" s="212"/>
      <c r="AB9" s="212"/>
    </row>
    <row r="10" spans="2:28">
      <c r="B10" s="212"/>
      <c r="C10" s="212"/>
      <c r="D10" s="212"/>
      <c r="E10" s="212"/>
      <c r="F10" s="212"/>
      <c r="G10" s="212"/>
      <c r="H10" s="212"/>
      <c r="I10" s="212"/>
      <c r="J10" s="212"/>
      <c r="K10" s="212"/>
      <c r="L10" s="212"/>
      <c r="M10" s="212"/>
      <c r="N10" s="212"/>
      <c r="O10" s="212"/>
      <c r="P10" s="212"/>
      <c r="Q10" s="212"/>
      <c r="R10" s="212"/>
      <c r="S10" s="212"/>
      <c r="T10" s="212"/>
      <c r="U10" s="212"/>
      <c r="V10" s="212"/>
      <c r="W10" s="212"/>
      <c r="X10" s="212"/>
      <c r="Y10" s="212"/>
      <c r="Z10" s="212"/>
      <c r="AA10" s="212"/>
      <c r="AB10" s="212"/>
    </row>
    <row r="11" spans="2:28">
      <c r="B11" s="212"/>
      <c r="C11" s="212"/>
      <c r="D11" s="212"/>
      <c r="E11" s="212"/>
      <c r="F11" s="212"/>
      <c r="G11" s="212"/>
      <c r="H11" s="212"/>
      <c r="I11" s="212"/>
      <c r="J11" s="212"/>
      <c r="K11" s="212"/>
      <c r="L11" s="212"/>
      <c r="M11" s="212"/>
      <c r="N11" s="212"/>
      <c r="O11" s="212"/>
      <c r="P11" s="212"/>
      <c r="Q11" s="212"/>
      <c r="R11" s="212"/>
      <c r="S11" s="212"/>
      <c r="T11" s="212"/>
      <c r="U11" s="212"/>
      <c r="V11" s="212"/>
      <c r="W11" s="212"/>
      <c r="X11" s="212"/>
      <c r="Y11" s="212"/>
      <c r="Z11" s="212"/>
      <c r="AA11" s="212"/>
      <c r="AB11" s="212"/>
    </row>
    <row r="12" spans="2:28">
      <c r="B12" s="212"/>
      <c r="C12" s="212"/>
      <c r="D12" s="212"/>
      <c r="E12" s="212"/>
      <c r="F12" s="212"/>
      <c r="G12" s="212"/>
      <c r="H12" s="212"/>
      <c r="I12" s="212"/>
      <c r="J12" s="212"/>
      <c r="K12" s="212"/>
      <c r="L12" s="212"/>
      <c r="M12" s="212"/>
      <c r="N12" s="212"/>
      <c r="O12" s="212"/>
      <c r="P12" s="212"/>
      <c r="Q12" s="212"/>
      <c r="R12" s="212"/>
      <c r="S12" s="212"/>
      <c r="T12" s="212"/>
      <c r="U12" s="212"/>
      <c r="V12" s="212"/>
      <c r="W12" s="212"/>
      <c r="X12" s="212"/>
      <c r="Y12" s="212"/>
      <c r="Z12" s="212"/>
      <c r="AA12" s="212"/>
      <c r="AB12" s="212"/>
    </row>
    <row r="13" spans="2:28">
      <c r="B13" s="212"/>
      <c r="C13" s="212"/>
      <c r="D13" s="212"/>
      <c r="E13" s="212"/>
      <c r="F13" s="212"/>
      <c r="G13" s="212"/>
      <c r="H13" s="212"/>
      <c r="I13" s="212"/>
      <c r="J13" s="212"/>
      <c r="K13" s="212"/>
      <c r="L13" s="212"/>
      <c r="M13" s="212"/>
      <c r="N13" s="212"/>
      <c r="O13" s="212"/>
      <c r="P13" s="212"/>
      <c r="Q13" s="212"/>
      <c r="R13" s="212"/>
      <c r="S13" s="212"/>
      <c r="T13" s="212"/>
      <c r="U13" s="212"/>
      <c r="V13" s="212"/>
      <c r="W13" s="212"/>
      <c r="X13" s="212"/>
      <c r="Y13" s="212"/>
      <c r="Z13" s="212"/>
      <c r="AA13" s="212"/>
      <c r="AB13" s="212"/>
    </row>
    <row r="14" spans="2:28">
      <c r="B14" s="212"/>
      <c r="C14" s="212"/>
      <c r="D14" s="212"/>
      <c r="E14" s="212"/>
      <c r="F14" s="212"/>
      <c r="G14" s="212"/>
      <c r="H14" s="212"/>
      <c r="I14" s="212"/>
      <c r="J14" s="212"/>
      <c r="K14" s="212"/>
      <c r="L14" s="212"/>
      <c r="M14" s="212"/>
      <c r="N14" s="212"/>
      <c r="O14" s="212"/>
      <c r="P14" s="212"/>
      <c r="Q14" s="212"/>
      <c r="R14" s="212"/>
      <c r="S14" s="212"/>
      <c r="T14" s="212"/>
      <c r="U14" s="212"/>
      <c r="V14" s="212"/>
      <c r="W14" s="212"/>
      <c r="X14" s="212"/>
      <c r="Y14" s="212"/>
      <c r="Z14" s="212"/>
      <c r="AA14" s="212"/>
      <c r="AB14" s="212"/>
    </row>
    <row r="15" spans="2:28">
      <c r="B15" s="212"/>
      <c r="C15" s="212"/>
      <c r="D15" s="212"/>
      <c r="E15" s="212"/>
      <c r="F15" s="212"/>
      <c r="G15" s="212"/>
      <c r="H15" s="212"/>
      <c r="I15" s="212"/>
      <c r="J15" s="212"/>
      <c r="K15" s="212"/>
      <c r="L15" s="212"/>
      <c r="M15" s="212"/>
      <c r="N15" s="212"/>
      <c r="O15" s="212"/>
      <c r="P15" s="212"/>
      <c r="Q15" s="212"/>
      <c r="R15" s="212"/>
      <c r="S15" s="212"/>
      <c r="T15" s="212"/>
      <c r="U15" s="212"/>
      <c r="V15" s="212"/>
      <c r="W15" s="212"/>
      <c r="X15" s="212"/>
      <c r="Y15" s="212"/>
      <c r="Z15" s="212"/>
      <c r="AA15" s="212"/>
      <c r="AB15" s="212"/>
    </row>
    <row r="16" spans="2:28">
      <c r="B16" s="212"/>
      <c r="C16" s="212"/>
      <c r="D16" s="212"/>
      <c r="E16" s="212"/>
      <c r="F16" s="212"/>
      <c r="G16" s="212"/>
      <c r="H16" s="212"/>
      <c r="I16" s="212"/>
      <c r="J16" s="212"/>
      <c r="K16" s="212"/>
      <c r="L16" s="212"/>
      <c r="M16" s="212"/>
      <c r="N16" s="212"/>
      <c r="O16" s="212"/>
      <c r="P16" s="212"/>
      <c r="Q16" s="212"/>
      <c r="R16" s="212"/>
      <c r="S16" s="212"/>
      <c r="T16" s="212"/>
      <c r="U16" s="212"/>
      <c r="V16" s="212"/>
      <c r="W16" s="212"/>
      <c r="X16" s="212"/>
      <c r="Y16" s="212"/>
      <c r="Z16" s="212"/>
      <c r="AA16" s="212"/>
      <c r="AB16" s="212"/>
    </row>
    <row r="17" spans="2:28">
      <c r="B17" s="212"/>
      <c r="C17" s="212"/>
      <c r="D17" s="212"/>
      <c r="E17" s="212"/>
      <c r="F17" s="212"/>
      <c r="G17" s="212"/>
      <c r="H17" s="212"/>
      <c r="I17" s="212"/>
      <c r="J17" s="212"/>
      <c r="K17" s="212"/>
      <c r="L17" s="212"/>
      <c r="M17" s="212"/>
      <c r="N17" s="212"/>
      <c r="O17" s="212"/>
      <c r="P17" s="212"/>
      <c r="Q17" s="212"/>
      <c r="R17" s="212"/>
      <c r="S17" s="212"/>
      <c r="T17" s="212"/>
      <c r="U17" s="212"/>
      <c r="V17" s="212"/>
      <c r="W17" s="212"/>
      <c r="X17" s="212"/>
      <c r="Y17" s="212"/>
      <c r="Z17" s="212"/>
      <c r="AA17" s="212"/>
      <c r="AB17" s="212"/>
    </row>
    <row r="18" spans="2:28">
      <c r="B18" s="212"/>
      <c r="C18" s="212"/>
      <c r="D18" s="212"/>
      <c r="E18" s="212"/>
      <c r="F18" s="212"/>
      <c r="G18" s="212"/>
      <c r="H18" s="212"/>
      <c r="I18" s="212"/>
      <c r="J18" s="212"/>
      <c r="K18" s="212"/>
      <c r="L18" s="212"/>
      <c r="M18" s="212"/>
      <c r="N18" s="212"/>
      <c r="O18" s="212"/>
      <c r="P18" s="212"/>
      <c r="Q18" s="212"/>
      <c r="R18" s="212"/>
      <c r="S18" s="212"/>
      <c r="T18" s="212"/>
      <c r="U18" s="212"/>
      <c r="V18" s="212"/>
      <c r="W18" s="212"/>
      <c r="X18" s="212"/>
      <c r="Y18" s="212"/>
      <c r="Z18" s="212"/>
      <c r="AA18" s="212"/>
      <c r="AB18" s="212"/>
    </row>
    <row r="19" spans="2:28">
      <c r="B19" s="212"/>
      <c r="C19" s="212"/>
      <c r="D19" s="212"/>
      <c r="E19" s="212"/>
      <c r="F19" s="212"/>
      <c r="G19" s="212"/>
      <c r="H19" s="212"/>
      <c r="I19" s="212"/>
      <c r="J19" s="212"/>
      <c r="K19" s="212"/>
      <c r="L19" s="212"/>
      <c r="M19" s="212"/>
      <c r="N19" s="212"/>
      <c r="O19" s="212"/>
      <c r="P19" s="212"/>
      <c r="Q19" s="212"/>
      <c r="R19" s="212"/>
      <c r="S19" s="212"/>
      <c r="T19" s="212"/>
      <c r="U19" s="212"/>
      <c r="V19" s="212"/>
      <c r="W19" s="212"/>
      <c r="X19" s="212"/>
      <c r="Y19" s="212"/>
      <c r="Z19" s="212"/>
      <c r="AA19" s="212"/>
      <c r="AB19" s="212"/>
    </row>
    <row r="20" spans="2:28">
      <c r="B20" s="212"/>
      <c r="C20" s="212"/>
      <c r="D20" s="212"/>
      <c r="E20" s="212"/>
      <c r="F20" s="212"/>
      <c r="G20" s="212"/>
      <c r="H20" s="212"/>
      <c r="I20" s="212"/>
      <c r="J20" s="212"/>
      <c r="K20" s="212"/>
      <c r="L20" s="212"/>
      <c r="M20" s="212"/>
      <c r="N20" s="212"/>
      <c r="O20" s="212"/>
      <c r="P20" s="212"/>
      <c r="Q20" s="212"/>
      <c r="R20" s="212"/>
      <c r="S20" s="212"/>
      <c r="T20" s="212"/>
      <c r="U20" s="212"/>
      <c r="V20" s="212"/>
      <c r="W20" s="212"/>
      <c r="X20" s="212"/>
      <c r="Y20" s="212"/>
      <c r="Z20" s="212"/>
      <c r="AA20" s="212"/>
      <c r="AB20" s="212"/>
    </row>
    <row r="21" spans="2:28">
      <c r="B21" s="212"/>
      <c r="C21" s="212"/>
      <c r="D21" s="212"/>
      <c r="E21" s="212"/>
      <c r="F21" s="212"/>
      <c r="G21" s="212"/>
      <c r="H21" s="212"/>
      <c r="I21" s="212"/>
      <c r="J21" s="212"/>
      <c r="K21" s="212"/>
      <c r="L21" s="212"/>
      <c r="M21" s="212"/>
      <c r="N21" s="212"/>
      <c r="O21" s="212"/>
      <c r="P21" s="212"/>
      <c r="Q21" s="212"/>
      <c r="R21" s="212"/>
      <c r="S21" s="212"/>
      <c r="T21" s="212"/>
      <c r="U21" s="212"/>
      <c r="V21" s="212"/>
      <c r="W21" s="212"/>
      <c r="X21" s="212"/>
      <c r="Y21" s="212"/>
      <c r="Z21" s="212"/>
      <c r="AA21" s="212"/>
      <c r="AB21" s="212"/>
    </row>
    <row r="22" spans="2:28">
      <c r="B22" s="212"/>
      <c r="C22" s="212"/>
      <c r="D22" s="212"/>
      <c r="E22" s="212"/>
      <c r="F22" s="212"/>
      <c r="G22" s="212"/>
      <c r="H22" s="212"/>
      <c r="I22" s="212"/>
      <c r="J22" s="212"/>
      <c r="K22" s="212"/>
      <c r="L22" s="212"/>
      <c r="M22" s="212"/>
      <c r="N22" s="212"/>
      <c r="O22" s="212"/>
      <c r="P22" s="212"/>
      <c r="Q22" s="212"/>
      <c r="R22" s="212"/>
      <c r="S22" s="212"/>
      <c r="T22" s="212"/>
      <c r="U22" s="212"/>
      <c r="V22" s="212"/>
      <c r="W22" s="212"/>
      <c r="X22" s="212"/>
      <c r="Y22" s="212"/>
      <c r="Z22" s="212"/>
      <c r="AA22" s="212"/>
      <c r="AB22" s="212"/>
    </row>
    <row r="23" spans="2:28">
      <c r="B23" s="212"/>
      <c r="C23" s="212"/>
      <c r="D23" s="212"/>
      <c r="E23" s="212"/>
      <c r="F23" s="212"/>
      <c r="G23" s="212"/>
      <c r="H23" s="212"/>
      <c r="I23" s="212"/>
      <c r="J23" s="212"/>
      <c r="K23" s="212"/>
      <c r="L23" s="212"/>
      <c r="M23" s="212"/>
      <c r="N23" s="212"/>
      <c r="O23" s="212"/>
      <c r="P23" s="212"/>
      <c r="Q23" s="212"/>
      <c r="R23" s="212"/>
      <c r="S23" s="212"/>
      <c r="T23" s="212"/>
      <c r="U23" s="212"/>
      <c r="V23" s="212"/>
      <c r="W23" s="212"/>
      <c r="X23" s="212"/>
      <c r="Y23" s="212"/>
      <c r="Z23" s="212"/>
      <c r="AA23" s="212"/>
      <c r="AB23" s="212"/>
    </row>
    <row r="24" spans="2:28">
      <c r="B24" s="212"/>
      <c r="C24" s="212"/>
      <c r="D24" s="212"/>
      <c r="E24" s="212"/>
      <c r="F24" s="212"/>
      <c r="G24" s="212"/>
      <c r="H24" s="212"/>
      <c r="I24" s="212"/>
      <c r="J24" s="212"/>
      <c r="K24" s="212"/>
      <c r="L24" s="212"/>
      <c r="M24" s="212"/>
      <c r="N24" s="212"/>
      <c r="O24" s="212"/>
      <c r="P24" s="212"/>
      <c r="Q24" s="212"/>
      <c r="R24" s="212"/>
      <c r="S24" s="212"/>
      <c r="T24" s="212"/>
      <c r="U24" s="212"/>
      <c r="V24" s="212"/>
      <c r="W24" s="212"/>
      <c r="X24" s="212"/>
      <c r="Y24" s="212"/>
      <c r="Z24" s="212"/>
      <c r="AA24" s="212"/>
      <c r="AB24" s="212"/>
    </row>
    <row r="25" spans="2:28">
      <c r="B25" s="212"/>
      <c r="C25" s="212"/>
      <c r="D25" s="212"/>
      <c r="E25" s="212"/>
      <c r="F25" s="212"/>
      <c r="G25" s="212"/>
      <c r="H25" s="212"/>
      <c r="I25" s="212"/>
      <c r="J25" s="212"/>
      <c r="K25" s="212"/>
      <c r="L25" s="212"/>
      <c r="M25" s="212"/>
      <c r="N25" s="212"/>
      <c r="O25" s="212"/>
      <c r="P25" s="212"/>
      <c r="Q25" s="212"/>
      <c r="R25" s="212"/>
      <c r="S25" s="212"/>
      <c r="T25" s="212"/>
      <c r="U25" s="212"/>
      <c r="V25" s="212"/>
      <c r="W25" s="212"/>
      <c r="X25" s="212"/>
      <c r="Y25" s="212"/>
      <c r="Z25" s="212"/>
      <c r="AA25" s="212"/>
      <c r="AB25" s="212"/>
    </row>
    <row r="26" spans="2:28">
      <c r="B26" s="212"/>
      <c r="C26" s="212"/>
      <c r="D26" s="212"/>
      <c r="E26" s="212"/>
      <c r="F26" s="212"/>
      <c r="G26" s="212"/>
      <c r="H26" s="212"/>
      <c r="I26" s="212"/>
      <c r="J26" s="212"/>
      <c r="K26" s="212"/>
      <c r="L26" s="212"/>
      <c r="M26" s="212"/>
      <c r="N26" s="212"/>
      <c r="O26" s="212"/>
      <c r="P26" s="212"/>
      <c r="Q26" s="212"/>
      <c r="R26" s="212"/>
      <c r="S26" s="212"/>
      <c r="T26" s="212"/>
      <c r="U26" s="212"/>
      <c r="V26" s="212"/>
      <c r="W26" s="212"/>
      <c r="X26" s="212"/>
      <c r="Y26" s="212"/>
      <c r="Z26" s="212"/>
      <c r="AA26" s="212"/>
      <c r="AB26" s="212"/>
    </row>
    <row r="27" spans="2:28">
      <c r="B27" s="212"/>
      <c r="C27" s="212"/>
      <c r="D27" s="212"/>
      <c r="E27" s="212"/>
      <c r="F27" s="212"/>
      <c r="G27" s="212"/>
      <c r="H27" s="212"/>
      <c r="I27" s="212"/>
      <c r="J27" s="212"/>
      <c r="K27" s="212"/>
      <c r="L27" s="212"/>
      <c r="M27" s="212"/>
      <c r="N27" s="212"/>
      <c r="O27" s="212"/>
      <c r="P27" s="212"/>
      <c r="Q27" s="212"/>
      <c r="R27" s="212"/>
      <c r="S27" s="212"/>
      <c r="T27" s="212"/>
      <c r="U27" s="212"/>
      <c r="V27" s="212"/>
      <c r="W27" s="212"/>
      <c r="X27" s="212"/>
      <c r="Y27" s="212"/>
      <c r="Z27" s="212"/>
      <c r="AA27" s="212"/>
      <c r="AB27" s="212"/>
    </row>
    <row r="28" spans="2:28">
      <c r="B28" s="212"/>
      <c r="C28" s="212"/>
      <c r="D28" s="212"/>
      <c r="E28" s="212"/>
      <c r="F28" s="212"/>
      <c r="G28" s="212"/>
      <c r="H28" s="212"/>
      <c r="I28" s="212"/>
      <c r="J28" s="212"/>
      <c r="K28" s="212"/>
      <c r="L28" s="212"/>
      <c r="M28" s="212"/>
      <c r="N28" s="212"/>
      <c r="O28" s="212"/>
      <c r="P28" s="212"/>
      <c r="Q28" s="212"/>
      <c r="R28" s="212"/>
      <c r="S28" s="212"/>
      <c r="T28" s="212"/>
      <c r="U28" s="212"/>
      <c r="V28" s="212"/>
      <c r="W28" s="212"/>
      <c r="X28" s="212"/>
      <c r="Y28" s="212"/>
      <c r="Z28" s="212"/>
      <c r="AA28" s="212"/>
      <c r="AB28" s="212"/>
    </row>
    <row r="29" spans="2:28">
      <c r="B29" s="212"/>
      <c r="C29" s="212"/>
      <c r="D29" s="212"/>
      <c r="E29" s="212"/>
      <c r="F29" s="212"/>
      <c r="G29" s="212"/>
      <c r="H29" s="212"/>
      <c r="I29" s="212"/>
      <c r="J29" s="212"/>
      <c r="K29" s="212"/>
      <c r="L29" s="212"/>
      <c r="M29" s="212"/>
      <c r="N29" s="212"/>
      <c r="O29" s="212"/>
      <c r="P29" s="212"/>
      <c r="Q29" s="212"/>
      <c r="R29" s="212"/>
      <c r="S29" s="212"/>
      <c r="T29" s="212"/>
      <c r="U29" s="212"/>
      <c r="V29" s="212"/>
      <c r="W29" s="212"/>
      <c r="X29" s="212"/>
      <c r="Y29" s="212"/>
      <c r="Z29" s="212"/>
      <c r="AA29" s="212"/>
      <c r="AB29" s="212"/>
    </row>
    <row r="30" spans="2:28">
      <c r="B30" s="212"/>
      <c r="C30" s="212"/>
      <c r="D30" s="212"/>
      <c r="E30" s="212"/>
      <c r="F30" s="212"/>
      <c r="G30" s="212"/>
      <c r="H30" s="212"/>
      <c r="I30" s="212"/>
      <c r="J30" s="212"/>
      <c r="K30" s="212"/>
      <c r="L30" s="212"/>
      <c r="M30" s="212"/>
      <c r="N30" s="212"/>
      <c r="O30" s="212"/>
      <c r="P30" s="212"/>
      <c r="Q30" s="212"/>
      <c r="R30" s="212"/>
      <c r="S30" s="212"/>
      <c r="T30" s="212"/>
      <c r="U30" s="212"/>
      <c r="V30" s="212"/>
      <c r="W30" s="212"/>
      <c r="X30" s="212"/>
      <c r="Y30" s="212"/>
      <c r="Z30" s="212"/>
      <c r="AA30" s="212"/>
      <c r="AB30" s="212"/>
    </row>
    <row r="31" spans="2:28">
      <c r="B31" s="212"/>
      <c r="C31" s="212"/>
      <c r="D31" s="212"/>
      <c r="E31" s="212"/>
      <c r="F31" s="212"/>
      <c r="G31" s="212"/>
      <c r="H31" s="212"/>
      <c r="I31" s="212"/>
      <c r="J31" s="212"/>
      <c r="K31" s="212"/>
      <c r="L31" s="212"/>
      <c r="M31" s="212"/>
      <c r="N31" s="212"/>
      <c r="O31" s="212"/>
      <c r="P31" s="212"/>
      <c r="Q31" s="212"/>
      <c r="R31" s="212"/>
      <c r="S31" s="212"/>
      <c r="T31" s="212"/>
      <c r="U31" s="212"/>
      <c r="V31" s="212"/>
      <c r="W31" s="212"/>
      <c r="X31" s="212"/>
      <c r="Y31" s="212"/>
      <c r="Z31" s="212"/>
      <c r="AA31" s="212"/>
      <c r="AB31" s="212"/>
    </row>
    <row r="32" spans="2:28">
      <c r="B32" s="212"/>
      <c r="C32" s="212"/>
      <c r="D32" s="212"/>
      <c r="E32" s="212"/>
      <c r="F32" s="212"/>
      <c r="G32" s="212"/>
      <c r="H32" s="212"/>
      <c r="I32" s="212"/>
      <c r="J32" s="212"/>
      <c r="K32" s="212"/>
      <c r="L32" s="212"/>
      <c r="M32" s="212"/>
      <c r="N32" s="212"/>
      <c r="O32" s="212"/>
      <c r="P32" s="212"/>
      <c r="Q32" s="212"/>
      <c r="R32" s="212"/>
      <c r="S32" s="212"/>
      <c r="T32" s="212"/>
      <c r="U32" s="212"/>
      <c r="V32" s="212"/>
      <c r="W32" s="212"/>
      <c r="X32" s="212"/>
      <c r="Y32" s="212"/>
      <c r="Z32" s="212"/>
      <c r="AA32" s="212"/>
      <c r="AB32" s="212"/>
    </row>
    <row r="33" spans="2:28">
      <c r="B33" s="212"/>
      <c r="C33" s="212"/>
      <c r="D33" s="212"/>
      <c r="E33" s="212"/>
      <c r="F33" s="212"/>
      <c r="G33" s="212"/>
      <c r="H33" s="212"/>
      <c r="I33" s="212"/>
      <c r="J33" s="212"/>
      <c r="K33" s="212"/>
      <c r="L33" s="212"/>
      <c r="M33" s="212"/>
      <c r="N33" s="212"/>
      <c r="O33" s="212"/>
      <c r="P33" s="212"/>
      <c r="Q33" s="212"/>
      <c r="R33" s="212"/>
      <c r="S33" s="212"/>
      <c r="T33" s="212"/>
      <c r="U33" s="212"/>
      <c r="V33" s="212"/>
      <c r="W33" s="212"/>
      <c r="X33" s="212"/>
      <c r="Y33" s="212"/>
      <c r="Z33" s="212"/>
      <c r="AA33" s="212"/>
      <c r="AB33" s="212"/>
    </row>
    <row r="34" spans="2:28">
      <c r="B34" s="212"/>
      <c r="C34" s="212"/>
      <c r="D34" s="212"/>
      <c r="E34" s="212"/>
      <c r="F34" s="212"/>
      <c r="G34" s="212"/>
      <c r="H34" s="212"/>
      <c r="I34" s="212"/>
      <c r="J34" s="212"/>
      <c r="K34" s="212"/>
      <c r="L34" s="212"/>
      <c r="M34" s="212"/>
      <c r="N34" s="212"/>
      <c r="O34" s="212"/>
      <c r="P34" s="212"/>
      <c r="Q34" s="212"/>
      <c r="R34" s="212"/>
      <c r="S34" s="212"/>
      <c r="T34" s="212"/>
      <c r="U34" s="212"/>
      <c r="V34" s="212"/>
      <c r="W34" s="212"/>
      <c r="X34" s="212"/>
      <c r="Y34" s="212"/>
      <c r="Z34" s="212"/>
      <c r="AA34" s="212"/>
      <c r="AB34" s="212"/>
    </row>
    <row r="35" spans="2:28">
      <c r="B35" s="212"/>
      <c r="C35" s="212"/>
      <c r="D35" s="212"/>
      <c r="E35" s="212"/>
      <c r="F35" s="212"/>
      <c r="G35" s="212"/>
      <c r="H35" s="212"/>
      <c r="I35" s="212"/>
      <c r="J35" s="212"/>
      <c r="K35" s="212"/>
      <c r="L35" s="212"/>
      <c r="M35" s="212"/>
      <c r="N35" s="212"/>
      <c r="O35" s="212"/>
      <c r="P35" s="212"/>
      <c r="Q35" s="212"/>
      <c r="R35" s="212"/>
      <c r="S35" s="212"/>
      <c r="T35" s="212"/>
      <c r="U35" s="212"/>
      <c r="V35" s="212"/>
      <c r="W35" s="212"/>
      <c r="X35" s="212"/>
      <c r="Y35" s="212"/>
      <c r="Z35" s="212"/>
      <c r="AA35" s="212"/>
      <c r="AB35" s="212"/>
    </row>
    <row r="36" spans="2:28">
      <c r="B36" s="212"/>
      <c r="C36" s="212"/>
      <c r="D36" s="212"/>
      <c r="E36" s="212"/>
      <c r="F36" s="212"/>
      <c r="G36" s="212"/>
      <c r="H36" s="212"/>
      <c r="I36" s="212"/>
      <c r="J36" s="212"/>
      <c r="K36" s="212"/>
      <c r="L36" s="212"/>
      <c r="M36" s="212"/>
      <c r="N36" s="212"/>
      <c r="O36" s="212"/>
      <c r="P36" s="212"/>
      <c r="Q36" s="212"/>
      <c r="R36" s="212"/>
      <c r="S36" s="212"/>
      <c r="T36" s="212"/>
      <c r="U36" s="212"/>
      <c r="V36" s="212"/>
      <c r="W36" s="212"/>
      <c r="X36" s="212"/>
      <c r="Y36" s="212"/>
      <c r="Z36" s="212"/>
      <c r="AA36" s="212"/>
      <c r="AB36" s="212"/>
    </row>
    <row r="37" spans="2:28">
      <c r="B37" s="212"/>
      <c r="C37" s="212"/>
      <c r="D37" s="212"/>
      <c r="E37" s="212"/>
      <c r="F37" s="212"/>
      <c r="G37" s="212"/>
      <c r="H37" s="212"/>
      <c r="I37" s="212"/>
      <c r="J37" s="212"/>
      <c r="K37" s="212"/>
      <c r="L37" s="212"/>
      <c r="M37" s="212"/>
      <c r="N37" s="212"/>
      <c r="O37" s="212"/>
      <c r="P37" s="212"/>
      <c r="Q37" s="212"/>
      <c r="R37" s="212"/>
      <c r="S37" s="212"/>
      <c r="T37" s="212"/>
      <c r="U37" s="212"/>
      <c r="V37" s="212"/>
      <c r="W37" s="212"/>
      <c r="X37" s="212"/>
      <c r="Y37" s="212"/>
      <c r="Z37" s="212"/>
      <c r="AA37" s="212"/>
      <c r="AB37" s="212"/>
    </row>
    <row r="38" spans="2:28">
      <c r="B38" s="212"/>
      <c r="C38" s="212"/>
      <c r="D38" s="212"/>
      <c r="E38" s="212"/>
      <c r="F38" s="212"/>
      <c r="G38" s="212"/>
      <c r="H38" s="212"/>
      <c r="I38" s="212"/>
      <c r="J38" s="212"/>
      <c r="K38" s="212"/>
      <c r="L38" s="212"/>
      <c r="M38" s="212"/>
      <c r="N38" s="212"/>
      <c r="O38" s="212"/>
      <c r="P38" s="212"/>
      <c r="Q38" s="212"/>
      <c r="R38" s="212"/>
      <c r="S38" s="212"/>
      <c r="T38" s="212"/>
      <c r="U38" s="212"/>
      <c r="V38" s="212"/>
      <c r="W38" s="212"/>
      <c r="X38" s="212"/>
      <c r="Y38" s="212"/>
      <c r="Z38" s="212"/>
      <c r="AA38" s="212"/>
      <c r="AB38" s="212"/>
    </row>
    <row r="39" spans="2:28">
      <c r="B39" s="212"/>
      <c r="C39" s="212"/>
      <c r="D39" s="212"/>
      <c r="E39" s="212"/>
      <c r="F39" s="212"/>
      <c r="G39" s="212"/>
      <c r="H39" s="212"/>
      <c r="I39" s="212"/>
      <c r="J39" s="212"/>
      <c r="K39" s="212"/>
      <c r="L39" s="212"/>
      <c r="M39" s="212"/>
      <c r="N39" s="212"/>
      <c r="O39" s="212"/>
      <c r="P39" s="212"/>
      <c r="Q39" s="212"/>
      <c r="R39" s="212"/>
      <c r="S39" s="212"/>
      <c r="T39" s="212"/>
      <c r="U39" s="212"/>
      <c r="V39" s="212"/>
      <c r="W39" s="212"/>
      <c r="X39" s="212"/>
      <c r="Y39" s="212"/>
      <c r="Z39" s="212"/>
      <c r="AA39" s="212"/>
      <c r="AB39" s="212"/>
    </row>
    <row r="40" spans="2:28">
      <c r="B40" s="212"/>
      <c r="C40" s="212"/>
      <c r="D40" s="212"/>
      <c r="E40" s="212"/>
      <c r="F40" s="212"/>
      <c r="G40" s="212"/>
      <c r="H40" s="212"/>
      <c r="I40" s="212"/>
      <c r="J40" s="212"/>
      <c r="K40" s="212"/>
      <c r="L40" s="212"/>
      <c r="M40" s="212"/>
      <c r="N40" s="212"/>
      <c r="O40" s="212"/>
      <c r="P40" s="212"/>
      <c r="Q40" s="212"/>
      <c r="R40" s="212"/>
      <c r="S40" s="212"/>
      <c r="T40" s="212"/>
      <c r="U40" s="212"/>
      <c r="V40" s="212"/>
      <c r="W40" s="212"/>
      <c r="X40" s="212"/>
      <c r="Y40" s="212"/>
      <c r="Z40" s="212"/>
      <c r="AA40" s="212"/>
      <c r="AB40" s="212"/>
    </row>
    <row r="41" spans="2:28">
      <c r="B41" s="212"/>
      <c r="C41" s="212"/>
      <c r="D41" s="212"/>
      <c r="E41" s="212"/>
      <c r="F41" s="212"/>
      <c r="G41" s="212"/>
      <c r="H41" s="212"/>
      <c r="I41" s="212"/>
      <c r="J41" s="212"/>
      <c r="K41" s="212"/>
      <c r="L41" s="212"/>
      <c r="M41" s="212"/>
      <c r="N41" s="212"/>
      <c r="O41" s="212"/>
      <c r="P41" s="212"/>
      <c r="Q41" s="212"/>
      <c r="R41" s="212"/>
      <c r="S41" s="212"/>
      <c r="T41" s="212"/>
      <c r="U41" s="212"/>
      <c r="V41" s="212"/>
      <c r="W41" s="212"/>
      <c r="X41" s="212"/>
      <c r="Y41" s="212"/>
      <c r="Z41" s="212"/>
      <c r="AA41" s="212"/>
      <c r="AB41" s="212"/>
    </row>
    <row r="42" spans="2:28">
      <c r="B42" s="212"/>
      <c r="C42" s="212"/>
      <c r="D42" s="212"/>
      <c r="E42" s="212"/>
      <c r="F42" s="212"/>
      <c r="G42" s="212"/>
      <c r="H42" s="212"/>
      <c r="I42" s="212"/>
      <c r="J42" s="212"/>
      <c r="K42" s="212"/>
      <c r="L42" s="212"/>
      <c r="M42" s="212"/>
      <c r="N42" s="212"/>
      <c r="O42" s="212"/>
      <c r="P42" s="212"/>
      <c r="Q42" s="212"/>
      <c r="R42" s="212"/>
      <c r="S42" s="212"/>
      <c r="T42" s="212"/>
      <c r="U42" s="212"/>
      <c r="V42" s="212"/>
      <c r="W42" s="212"/>
      <c r="X42" s="212"/>
      <c r="Y42" s="212"/>
      <c r="Z42" s="212"/>
      <c r="AA42" s="212"/>
      <c r="AB42" s="212"/>
    </row>
    <row r="43" spans="2:28">
      <c r="B43" s="212"/>
      <c r="C43" s="212"/>
      <c r="D43" s="212"/>
      <c r="E43" s="212"/>
      <c r="F43" s="212"/>
      <c r="G43" s="212"/>
      <c r="H43" s="212"/>
      <c r="I43" s="212"/>
      <c r="J43" s="212"/>
      <c r="K43" s="212"/>
      <c r="L43" s="212"/>
      <c r="M43" s="212"/>
      <c r="N43" s="212"/>
      <c r="O43" s="212"/>
      <c r="P43" s="212"/>
      <c r="Q43" s="212"/>
      <c r="R43" s="212"/>
      <c r="S43" s="212"/>
      <c r="T43" s="212"/>
      <c r="U43" s="212"/>
      <c r="V43" s="212"/>
      <c r="W43" s="212"/>
      <c r="X43" s="212"/>
      <c r="Y43" s="212"/>
      <c r="Z43" s="212"/>
      <c r="AA43" s="212"/>
      <c r="AB43" s="212"/>
    </row>
    <row r="44" spans="2:28">
      <c r="B44" s="232"/>
      <c r="C44" s="232"/>
      <c r="D44" s="232"/>
      <c r="E44" s="232"/>
      <c r="F44" s="232"/>
      <c r="G44" s="232"/>
      <c r="H44" s="232"/>
      <c r="I44" s="232"/>
      <c r="J44" s="232"/>
      <c r="K44" s="232"/>
      <c r="L44" s="232"/>
      <c r="M44" s="232"/>
      <c r="N44" s="232"/>
      <c r="O44" s="232"/>
      <c r="P44" s="232"/>
      <c r="Q44" s="232"/>
      <c r="R44" s="232"/>
      <c r="S44" s="232"/>
      <c r="T44" s="232"/>
      <c r="U44" s="232"/>
      <c r="V44" s="232"/>
      <c r="W44" s="232"/>
      <c r="X44" s="232"/>
      <c r="Y44" s="232"/>
      <c r="Z44" s="232"/>
      <c r="AA44" s="232"/>
      <c r="AB44" s="232"/>
    </row>
    <row r="46" spans="2:28">
      <c r="B46" s="212"/>
      <c r="C46" s="212"/>
      <c r="D46" s="212"/>
      <c r="E46" s="212"/>
      <c r="F46" s="212"/>
      <c r="G46" s="212"/>
      <c r="H46" s="212"/>
      <c r="I46" s="212"/>
      <c r="J46" s="212"/>
      <c r="K46" s="212"/>
      <c r="L46" s="212"/>
      <c r="M46" s="212"/>
      <c r="N46" s="212"/>
      <c r="O46" s="212"/>
      <c r="P46" s="212"/>
      <c r="Q46" s="212"/>
      <c r="R46" s="212"/>
      <c r="S46" s="212"/>
      <c r="T46" s="212"/>
      <c r="U46" s="212"/>
      <c r="V46" s="212"/>
      <c r="W46" s="212"/>
      <c r="X46" s="212"/>
      <c r="Y46" s="212"/>
      <c r="Z46" s="212"/>
      <c r="AA46" s="212"/>
      <c r="AB46" s="212"/>
    </row>
    <row r="47" spans="2:28">
      <c r="B47" s="212"/>
      <c r="C47" s="212"/>
      <c r="D47" s="212"/>
      <c r="E47" s="212"/>
      <c r="F47" s="212"/>
      <c r="G47" s="212"/>
      <c r="H47" s="212"/>
      <c r="I47" s="212"/>
      <c r="J47" s="212"/>
      <c r="K47" s="212"/>
      <c r="L47" s="212"/>
      <c r="M47" s="212"/>
      <c r="N47" s="212"/>
      <c r="O47" s="212"/>
      <c r="P47" s="212"/>
      <c r="Q47" s="212"/>
      <c r="R47" s="212"/>
      <c r="S47" s="212"/>
      <c r="T47" s="212"/>
      <c r="U47" s="212"/>
      <c r="V47" s="212"/>
      <c r="W47" s="212"/>
      <c r="X47" s="212"/>
      <c r="Y47" s="212"/>
      <c r="Z47" s="212"/>
      <c r="AA47" s="212"/>
      <c r="AB47" s="212"/>
    </row>
    <row r="48" spans="2:28">
      <c r="B48" s="212"/>
      <c r="C48" s="212"/>
      <c r="D48" s="212"/>
      <c r="E48" s="212"/>
      <c r="F48" s="212"/>
      <c r="G48" s="212"/>
      <c r="H48" s="212"/>
      <c r="I48" s="212"/>
      <c r="J48" s="212"/>
      <c r="K48" s="212"/>
      <c r="L48" s="212"/>
      <c r="M48" s="212"/>
      <c r="N48" s="212"/>
      <c r="O48" s="212"/>
      <c r="P48" s="212"/>
      <c r="Q48" s="212"/>
      <c r="R48" s="212"/>
      <c r="S48" s="212"/>
      <c r="T48" s="212"/>
      <c r="U48" s="212"/>
      <c r="V48" s="212"/>
      <c r="W48" s="212"/>
      <c r="X48" s="212"/>
      <c r="Y48" s="212"/>
      <c r="Z48" s="212"/>
      <c r="AA48" s="212"/>
      <c r="AB48" s="212"/>
    </row>
    <row r="49" spans="2:31">
      <c r="B49" s="212"/>
      <c r="C49" s="212"/>
      <c r="D49" s="212"/>
      <c r="E49" s="212"/>
      <c r="F49" s="212"/>
      <c r="G49" s="212"/>
      <c r="H49" s="212"/>
      <c r="I49" s="212"/>
      <c r="J49" s="212"/>
      <c r="K49" s="212"/>
      <c r="L49" s="212"/>
      <c r="M49" s="212"/>
      <c r="N49" s="212"/>
      <c r="O49" s="212"/>
      <c r="P49" s="212"/>
      <c r="Q49" s="212"/>
      <c r="R49" s="212"/>
      <c r="S49" s="212"/>
      <c r="T49" s="212"/>
      <c r="U49" s="212"/>
      <c r="V49" s="212"/>
      <c r="W49" s="212"/>
      <c r="X49" s="212"/>
      <c r="Y49" s="212"/>
      <c r="Z49" s="212"/>
      <c r="AA49" s="212"/>
      <c r="AB49" s="212"/>
    </row>
    <row r="50" spans="2:31" ht="26.25">
      <c r="B50" s="212"/>
      <c r="C50" s="212"/>
      <c r="D50" s="212"/>
      <c r="E50" s="212"/>
      <c r="F50" s="212"/>
      <c r="G50" s="212"/>
      <c r="H50" s="212"/>
      <c r="I50" s="212"/>
      <c r="J50" s="212"/>
      <c r="K50" s="212"/>
      <c r="L50" s="212"/>
      <c r="M50" s="212"/>
      <c r="N50" s="212"/>
      <c r="O50" s="212"/>
      <c r="P50" s="212"/>
      <c r="Q50" s="212"/>
      <c r="R50" s="212"/>
      <c r="S50" s="212"/>
      <c r="T50" s="212"/>
      <c r="U50" s="212"/>
      <c r="V50" s="212"/>
      <c r="W50" s="212"/>
      <c r="X50" s="212"/>
      <c r="Y50" s="212"/>
      <c r="Z50" s="212"/>
      <c r="AA50" s="212"/>
      <c r="AB50" s="212"/>
      <c r="AE50" s="233"/>
    </row>
    <row r="51" spans="2:31">
      <c r="B51" s="212"/>
      <c r="C51" s="212"/>
      <c r="D51" s="212"/>
      <c r="E51" s="212"/>
      <c r="F51" s="212"/>
      <c r="G51" s="212"/>
      <c r="H51" s="212"/>
      <c r="I51" s="212"/>
      <c r="J51" s="212"/>
      <c r="K51" s="212"/>
      <c r="L51" s="212"/>
      <c r="M51" s="212"/>
      <c r="N51" s="212"/>
      <c r="O51" s="212"/>
      <c r="P51" s="212"/>
      <c r="Q51" s="212"/>
      <c r="R51" s="212"/>
      <c r="S51" s="212"/>
      <c r="T51" s="212"/>
      <c r="U51" s="212"/>
      <c r="V51" s="212"/>
      <c r="W51" s="212"/>
      <c r="X51" s="212"/>
      <c r="Y51" s="212"/>
      <c r="Z51" s="212"/>
      <c r="AA51" s="212"/>
      <c r="AB51" s="212"/>
    </row>
    <row r="52" spans="2:31">
      <c r="B52" s="212"/>
      <c r="C52" s="212"/>
      <c r="D52" s="212"/>
      <c r="E52" s="212"/>
      <c r="F52" s="212"/>
      <c r="G52" s="212"/>
      <c r="H52" s="212"/>
      <c r="I52" s="212"/>
      <c r="J52" s="212"/>
      <c r="K52" s="212"/>
      <c r="L52" s="212"/>
      <c r="M52" s="212"/>
      <c r="N52" s="212"/>
      <c r="O52" s="212"/>
      <c r="P52" s="212"/>
      <c r="Q52" s="212"/>
      <c r="R52" s="212"/>
      <c r="S52" s="212"/>
      <c r="T52" s="212"/>
      <c r="U52" s="212"/>
      <c r="V52" s="212"/>
      <c r="W52" s="212"/>
      <c r="X52" s="212"/>
      <c r="Y52" s="212"/>
      <c r="Z52" s="212"/>
      <c r="AA52" s="212"/>
      <c r="AB52" s="212"/>
    </row>
    <row r="53" spans="2:31">
      <c r="B53" s="212"/>
      <c r="C53" s="212"/>
      <c r="D53" s="212"/>
      <c r="E53" s="212"/>
      <c r="F53" s="212"/>
      <c r="G53" s="212"/>
      <c r="H53" s="212"/>
      <c r="I53" s="212"/>
      <c r="J53" s="212"/>
      <c r="K53" s="212"/>
      <c r="L53" s="212"/>
      <c r="M53" s="212"/>
      <c r="N53" s="212"/>
      <c r="O53" s="212"/>
      <c r="P53" s="212"/>
      <c r="Q53" s="212"/>
      <c r="R53" s="212"/>
      <c r="S53" s="212"/>
      <c r="T53" s="212"/>
      <c r="U53" s="212"/>
      <c r="V53" s="212"/>
      <c r="W53" s="212"/>
      <c r="X53" s="212"/>
      <c r="Y53" s="212"/>
      <c r="Z53" s="212"/>
      <c r="AA53" s="212"/>
      <c r="AB53" s="212"/>
    </row>
    <row r="54" spans="2:31">
      <c r="B54" s="212"/>
      <c r="C54" s="212"/>
      <c r="D54" s="212"/>
      <c r="E54" s="212"/>
      <c r="F54" s="212"/>
      <c r="G54" s="212"/>
      <c r="H54" s="212"/>
      <c r="I54" s="212"/>
      <c r="J54" s="212"/>
      <c r="K54" s="212"/>
      <c r="L54" s="212"/>
      <c r="M54" s="212"/>
      <c r="N54" s="212"/>
      <c r="O54" s="212"/>
      <c r="P54" s="212"/>
      <c r="Q54" s="212"/>
      <c r="R54" s="212"/>
      <c r="S54" s="212"/>
      <c r="T54" s="212"/>
      <c r="U54" s="212"/>
      <c r="V54" s="212"/>
      <c r="W54" s="212"/>
      <c r="X54" s="212"/>
      <c r="Y54" s="212"/>
      <c r="Z54" s="212"/>
      <c r="AA54" s="212"/>
      <c r="AB54" s="212"/>
    </row>
    <row r="55" spans="2:31">
      <c r="B55" s="212"/>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row>
    <row r="56" spans="2:31">
      <c r="B56" s="212"/>
      <c r="C56" s="212"/>
      <c r="D56" s="212"/>
      <c r="E56" s="212"/>
      <c r="F56" s="212"/>
      <c r="G56" s="212"/>
      <c r="H56" s="212"/>
      <c r="I56" s="212"/>
      <c r="J56" s="212"/>
      <c r="K56" s="212"/>
      <c r="L56" s="216"/>
      <c r="M56" s="212"/>
      <c r="N56" s="212"/>
      <c r="O56" s="212"/>
      <c r="P56" s="212"/>
      <c r="Q56" s="212"/>
      <c r="R56" s="212"/>
      <c r="S56" s="212"/>
      <c r="T56" s="212"/>
      <c r="U56" s="212"/>
      <c r="V56" s="212"/>
      <c r="W56" s="212"/>
      <c r="X56" s="212"/>
      <c r="Y56" s="212"/>
      <c r="Z56" s="212"/>
      <c r="AA56" s="212"/>
      <c r="AB56" s="212"/>
    </row>
    <row r="57" spans="2:31">
      <c r="B57" s="212"/>
      <c r="C57" s="212"/>
      <c r="D57" s="212"/>
      <c r="E57" s="212"/>
      <c r="F57" s="212"/>
      <c r="G57" s="212"/>
      <c r="H57" s="212"/>
      <c r="I57" s="212"/>
      <c r="J57" s="212"/>
      <c r="K57" s="212"/>
      <c r="L57" s="216"/>
      <c r="M57" s="212"/>
      <c r="N57" s="212"/>
      <c r="O57" s="212"/>
      <c r="P57" s="212"/>
      <c r="Q57" s="212"/>
      <c r="R57" s="212"/>
      <c r="S57" s="212"/>
      <c r="T57" s="212"/>
      <c r="U57" s="212"/>
      <c r="V57" s="212"/>
      <c r="W57" s="212"/>
      <c r="X57" s="212"/>
      <c r="Y57" s="212"/>
      <c r="Z57" s="212"/>
      <c r="AA57" s="212"/>
      <c r="AB57" s="212"/>
    </row>
    <row r="58" spans="2:31">
      <c r="B58" s="212"/>
      <c r="C58" s="212"/>
      <c r="D58" s="212"/>
      <c r="E58" s="212"/>
      <c r="F58" s="212"/>
      <c r="G58" s="212"/>
      <c r="H58" s="212"/>
      <c r="I58" s="212"/>
      <c r="J58" s="212"/>
      <c r="K58" s="212"/>
      <c r="L58" s="212"/>
      <c r="M58" s="212"/>
      <c r="N58" s="212"/>
      <c r="O58" s="212"/>
      <c r="P58" s="212"/>
      <c r="Q58" s="212"/>
      <c r="R58" s="212"/>
      <c r="S58" s="212"/>
      <c r="T58" s="212"/>
      <c r="U58" s="212"/>
      <c r="V58" s="212"/>
      <c r="W58" s="212"/>
      <c r="X58" s="212"/>
      <c r="Y58" s="212"/>
      <c r="Z58" s="212"/>
      <c r="AA58" s="212"/>
      <c r="AB58" s="212"/>
    </row>
    <row r="59" spans="2:31">
      <c r="B59" s="212"/>
      <c r="C59" s="212"/>
      <c r="D59" s="212"/>
      <c r="E59" s="212"/>
      <c r="F59" s="212"/>
      <c r="G59" s="212"/>
      <c r="H59" s="212"/>
      <c r="I59" s="212"/>
      <c r="J59" s="212"/>
      <c r="K59" s="212"/>
      <c r="L59" s="217"/>
      <c r="M59" s="212"/>
      <c r="N59" s="212"/>
      <c r="O59" s="212"/>
      <c r="P59" s="212"/>
      <c r="Q59" s="212"/>
      <c r="R59" s="212"/>
      <c r="S59" s="212"/>
      <c r="T59" s="212"/>
      <c r="U59" s="212"/>
      <c r="V59" s="212"/>
      <c r="W59" s="212"/>
      <c r="X59" s="212"/>
      <c r="Y59" s="212"/>
      <c r="Z59" s="212"/>
      <c r="AA59" s="212"/>
      <c r="AB59" s="212"/>
    </row>
    <row r="60" spans="2:31">
      <c r="B60" s="212"/>
      <c r="C60" s="212"/>
      <c r="D60" s="212"/>
      <c r="E60" s="212"/>
      <c r="F60" s="212"/>
      <c r="G60" s="212"/>
      <c r="H60" s="212"/>
      <c r="I60" s="212"/>
      <c r="J60" s="212"/>
      <c r="K60" s="212"/>
      <c r="L60" s="212"/>
      <c r="M60" s="212"/>
      <c r="N60" s="212"/>
      <c r="O60" s="212"/>
      <c r="P60" s="212"/>
      <c r="Q60" s="212"/>
      <c r="R60" s="212"/>
      <c r="S60" s="212"/>
      <c r="T60" s="212"/>
      <c r="U60" s="212"/>
      <c r="V60" s="212"/>
      <c r="W60" s="212"/>
      <c r="X60" s="212"/>
      <c r="Y60" s="212"/>
      <c r="Z60" s="212"/>
      <c r="AA60" s="212"/>
      <c r="AB60" s="212"/>
    </row>
    <row r="61" spans="2:31">
      <c r="B61" s="212"/>
      <c r="C61" s="212"/>
      <c r="D61" s="212"/>
      <c r="E61" s="212"/>
      <c r="F61" s="212"/>
      <c r="G61" s="212"/>
      <c r="H61" s="212"/>
      <c r="I61" s="212"/>
      <c r="J61" s="212"/>
      <c r="K61" s="212"/>
      <c r="L61" s="212"/>
      <c r="M61" s="212"/>
      <c r="N61" s="212"/>
      <c r="O61" s="212"/>
      <c r="P61" s="212"/>
      <c r="Q61" s="212"/>
      <c r="R61" s="212"/>
      <c r="S61" s="212"/>
      <c r="T61" s="212"/>
      <c r="U61" s="212"/>
      <c r="V61" s="212"/>
      <c r="W61" s="212"/>
      <c r="X61" s="212"/>
      <c r="Y61" s="212"/>
      <c r="Z61" s="212"/>
      <c r="AA61" s="212"/>
      <c r="AB61" s="212"/>
    </row>
    <row r="62" spans="2:31">
      <c r="B62" s="212"/>
      <c r="C62" s="212"/>
      <c r="D62" s="212"/>
      <c r="E62" s="212"/>
      <c r="F62" s="212"/>
      <c r="G62" s="212"/>
      <c r="H62" s="212"/>
      <c r="I62" s="212"/>
      <c r="J62" s="212"/>
      <c r="K62" s="212"/>
      <c r="L62" s="212"/>
      <c r="M62" s="212"/>
      <c r="N62" s="212"/>
      <c r="O62" s="212"/>
      <c r="P62" s="212"/>
      <c r="Q62" s="212"/>
      <c r="R62" s="212"/>
      <c r="S62" s="212"/>
      <c r="T62" s="212"/>
      <c r="U62" s="212"/>
      <c r="V62" s="212"/>
      <c r="W62" s="212"/>
      <c r="X62" s="212"/>
      <c r="Y62" s="212"/>
      <c r="Z62" s="212"/>
      <c r="AA62" s="212"/>
      <c r="AB62" s="212"/>
    </row>
    <row r="63" spans="2:31">
      <c r="B63" s="212"/>
      <c r="C63" s="212"/>
      <c r="D63" s="212"/>
      <c r="E63" s="212"/>
      <c r="F63" s="212"/>
      <c r="G63" s="212"/>
      <c r="H63" s="212"/>
      <c r="I63" s="212"/>
      <c r="J63" s="212"/>
      <c r="K63" s="212"/>
      <c r="L63" s="212"/>
      <c r="M63" s="212"/>
      <c r="N63" s="212"/>
      <c r="O63" s="212"/>
      <c r="P63" s="212"/>
      <c r="Q63" s="212"/>
      <c r="R63" s="212"/>
      <c r="S63" s="212"/>
      <c r="T63" s="212"/>
      <c r="U63" s="212"/>
      <c r="V63" s="212"/>
      <c r="W63" s="212"/>
      <c r="X63" s="212"/>
      <c r="Y63" s="212"/>
      <c r="Z63" s="212"/>
      <c r="AA63" s="212"/>
      <c r="AB63" s="212"/>
    </row>
    <row r="64" spans="2:31">
      <c r="B64" s="212"/>
      <c r="C64" s="212"/>
      <c r="D64" s="212"/>
      <c r="E64" s="212"/>
      <c r="F64" s="212"/>
      <c r="G64" s="212"/>
      <c r="H64" s="212"/>
      <c r="I64" s="212"/>
      <c r="J64" s="212"/>
      <c r="K64" s="212"/>
      <c r="L64" s="212"/>
      <c r="M64" s="212"/>
      <c r="N64" s="212"/>
      <c r="O64" s="212"/>
      <c r="P64" s="212"/>
      <c r="Q64" s="212"/>
      <c r="R64" s="212"/>
      <c r="S64" s="212"/>
      <c r="T64" s="212"/>
      <c r="U64" s="212"/>
      <c r="V64" s="212"/>
      <c r="W64" s="212"/>
      <c r="X64" s="212"/>
      <c r="Y64" s="212"/>
      <c r="Z64" s="212"/>
      <c r="AA64" s="212"/>
      <c r="AB64" s="212"/>
    </row>
    <row r="65" spans="2:28">
      <c r="B65" s="212"/>
      <c r="C65" s="212"/>
      <c r="D65" s="212"/>
      <c r="E65" s="212"/>
      <c r="F65" s="212"/>
      <c r="G65" s="212"/>
      <c r="H65" s="212"/>
      <c r="I65" s="212"/>
      <c r="J65" s="212"/>
      <c r="K65" s="212"/>
      <c r="L65" s="212"/>
      <c r="M65" s="212"/>
      <c r="N65" s="212"/>
      <c r="O65" s="212"/>
      <c r="P65" s="212"/>
      <c r="Q65" s="212"/>
      <c r="R65" s="212"/>
      <c r="S65" s="212"/>
      <c r="T65" s="212"/>
      <c r="U65" s="212"/>
      <c r="V65" s="212"/>
      <c r="W65" s="212"/>
      <c r="X65" s="212"/>
      <c r="Y65" s="212"/>
      <c r="Z65" s="212"/>
      <c r="AA65" s="212"/>
      <c r="AB65" s="212"/>
    </row>
    <row r="66" spans="2:28">
      <c r="B66" s="212"/>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row>
    <row r="67" spans="2:28">
      <c r="B67" s="212"/>
      <c r="C67" s="212"/>
      <c r="D67" s="212"/>
      <c r="E67" s="212"/>
      <c r="F67" s="212"/>
      <c r="G67" s="212"/>
      <c r="H67" s="212"/>
      <c r="I67" s="212"/>
      <c r="J67" s="212"/>
      <c r="K67" s="212"/>
      <c r="L67" s="212"/>
      <c r="M67" s="212"/>
      <c r="N67" s="212"/>
      <c r="O67" s="212"/>
      <c r="P67" s="212"/>
      <c r="Q67" s="212"/>
      <c r="R67" s="212"/>
      <c r="S67" s="212"/>
      <c r="T67" s="212"/>
      <c r="U67" s="212"/>
      <c r="V67" s="212"/>
      <c r="W67" s="212"/>
      <c r="X67" s="212"/>
      <c r="Y67" s="212"/>
      <c r="Z67" s="212"/>
      <c r="AA67" s="212"/>
      <c r="AB67" s="212"/>
    </row>
    <row r="68" spans="2:28">
      <c r="B68" s="212"/>
      <c r="C68" s="212"/>
      <c r="D68" s="212"/>
      <c r="E68" s="212"/>
      <c r="F68" s="212"/>
      <c r="G68" s="212"/>
      <c r="H68" s="212"/>
      <c r="I68" s="212"/>
      <c r="J68" s="212"/>
      <c r="K68" s="212"/>
      <c r="L68" s="212"/>
      <c r="M68" s="212"/>
      <c r="N68" s="212"/>
      <c r="O68" s="212"/>
      <c r="P68" s="212"/>
      <c r="Q68" s="212"/>
      <c r="R68" s="212"/>
      <c r="S68" s="212"/>
      <c r="T68" s="212"/>
      <c r="U68" s="212"/>
      <c r="V68" s="212"/>
      <c r="W68" s="212"/>
      <c r="X68" s="212"/>
      <c r="Y68" s="212"/>
      <c r="Z68" s="212"/>
      <c r="AA68" s="212"/>
      <c r="AB68" s="212"/>
    </row>
    <row r="69" spans="2:28">
      <c r="B69" s="212"/>
      <c r="C69" s="212"/>
      <c r="D69" s="212"/>
      <c r="E69" s="212"/>
      <c r="F69" s="212"/>
      <c r="G69" s="212"/>
      <c r="H69" s="212"/>
      <c r="I69" s="212"/>
      <c r="J69" s="212"/>
      <c r="K69" s="212"/>
      <c r="L69" s="212"/>
      <c r="M69" s="212"/>
      <c r="N69" s="212"/>
      <c r="O69" s="212"/>
      <c r="P69" s="212"/>
      <c r="Q69" s="212"/>
      <c r="R69" s="212"/>
      <c r="S69" s="212"/>
      <c r="T69" s="212"/>
      <c r="U69" s="212"/>
      <c r="V69" s="212"/>
      <c r="W69" s="212"/>
      <c r="X69" s="212"/>
      <c r="Y69" s="212"/>
      <c r="Z69" s="212"/>
      <c r="AA69" s="212"/>
      <c r="AB69" s="212"/>
    </row>
    <row r="70" spans="2:28">
      <c r="B70" s="212"/>
      <c r="C70" s="212"/>
      <c r="D70" s="212"/>
      <c r="E70" s="212"/>
      <c r="F70" s="212"/>
      <c r="G70" s="212"/>
      <c r="H70" s="212"/>
      <c r="I70" s="212"/>
      <c r="J70" s="212"/>
      <c r="K70" s="212"/>
      <c r="L70" s="212"/>
      <c r="M70" s="212"/>
      <c r="N70" s="212"/>
      <c r="O70" s="212"/>
      <c r="P70" s="212"/>
      <c r="Q70" s="212"/>
      <c r="R70" s="212"/>
      <c r="S70" s="212"/>
      <c r="T70" s="212"/>
      <c r="U70" s="212"/>
      <c r="V70" s="212"/>
      <c r="W70" s="212"/>
      <c r="X70" s="212"/>
      <c r="Y70" s="212"/>
      <c r="Z70" s="212"/>
      <c r="AA70" s="212"/>
      <c r="AB70" s="212"/>
    </row>
    <row r="71" spans="2:28">
      <c r="B71" s="212"/>
      <c r="C71" s="212"/>
      <c r="D71" s="212"/>
      <c r="E71" s="212"/>
      <c r="F71" s="212"/>
      <c r="G71" s="212"/>
      <c r="H71" s="212"/>
      <c r="I71" s="212"/>
      <c r="J71" s="212"/>
      <c r="K71" s="212"/>
      <c r="L71" s="212"/>
      <c r="M71" s="212"/>
      <c r="N71" s="212"/>
      <c r="O71" s="212"/>
      <c r="P71" s="212"/>
      <c r="Q71" s="212"/>
      <c r="R71" s="212"/>
      <c r="S71" s="212"/>
      <c r="T71" s="212"/>
      <c r="U71" s="212"/>
      <c r="V71" s="212"/>
      <c r="W71" s="212"/>
      <c r="X71" s="212"/>
      <c r="Y71" s="212"/>
      <c r="Z71" s="212"/>
      <c r="AA71" s="212"/>
      <c r="AB71" s="212"/>
    </row>
    <row r="72" spans="2:28">
      <c r="B72" s="212"/>
      <c r="C72" s="212"/>
      <c r="D72" s="212"/>
      <c r="E72" s="212"/>
      <c r="F72" s="212"/>
      <c r="G72" s="212"/>
      <c r="H72" s="212"/>
      <c r="I72" s="212"/>
      <c r="J72" s="212"/>
      <c r="K72" s="212"/>
      <c r="L72" s="212"/>
      <c r="M72" s="212"/>
      <c r="N72" s="212"/>
      <c r="O72" s="212"/>
      <c r="P72" s="212"/>
      <c r="Q72" s="212"/>
      <c r="R72" s="212"/>
      <c r="S72" s="212"/>
      <c r="T72" s="212"/>
      <c r="U72" s="212"/>
      <c r="V72" s="212"/>
      <c r="W72" s="212"/>
      <c r="X72" s="212"/>
      <c r="Y72" s="212"/>
      <c r="Z72" s="212"/>
      <c r="AA72" s="212"/>
      <c r="AB72" s="212"/>
    </row>
    <row r="73" spans="2:28">
      <c r="B73" s="212"/>
      <c r="C73" s="212"/>
      <c r="D73" s="212"/>
      <c r="E73" s="212"/>
      <c r="F73" s="212"/>
      <c r="G73" s="212"/>
      <c r="H73" s="212"/>
      <c r="I73" s="212"/>
      <c r="J73" s="212"/>
      <c r="K73" s="212"/>
      <c r="L73" s="212"/>
      <c r="M73" s="212"/>
      <c r="N73" s="212"/>
      <c r="O73" s="212"/>
      <c r="P73" s="212"/>
      <c r="Q73" s="212"/>
      <c r="R73" s="212"/>
      <c r="S73" s="212"/>
      <c r="T73" s="212"/>
      <c r="U73" s="212"/>
      <c r="V73" s="212"/>
      <c r="W73" s="212"/>
      <c r="X73" s="212"/>
      <c r="Y73" s="212"/>
      <c r="Z73" s="212"/>
      <c r="AA73" s="212"/>
      <c r="AB73" s="212"/>
    </row>
    <row r="74" spans="2:28">
      <c r="B74" s="212"/>
      <c r="C74" s="212"/>
      <c r="D74" s="212"/>
      <c r="E74" s="212"/>
      <c r="F74" s="212"/>
      <c r="G74" s="212"/>
      <c r="H74" s="212"/>
      <c r="I74" s="212"/>
      <c r="J74" s="212"/>
      <c r="K74" s="212"/>
      <c r="L74" s="212"/>
      <c r="M74" s="212"/>
      <c r="N74" s="212"/>
      <c r="O74" s="212"/>
      <c r="P74" s="212"/>
      <c r="Q74" s="212"/>
      <c r="R74" s="212"/>
      <c r="S74" s="212"/>
      <c r="T74" s="212"/>
      <c r="U74" s="212"/>
      <c r="V74" s="212"/>
      <c r="W74" s="212"/>
      <c r="X74" s="212"/>
      <c r="Y74" s="212"/>
      <c r="Z74" s="212"/>
      <c r="AA74" s="212"/>
      <c r="AB74" s="212"/>
    </row>
    <row r="75" spans="2:28">
      <c r="B75" s="212"/>
      <c r="C75" s="212"/>
      <c r="D75" s="212"/>
      <c r="E75" s="212"/>
      <c r="F75" s="212"/>
      <c r="G75" s="212"/>
      <c r="H75" s="212"/>
      <c r="I75" s="212"/>
      <c r="J75" s="212"/>
      <c r="K75" s="212"/>
      <c r="L75" s="212"/>
      <c r="M75" s="212"/>
      <c r="N75" s="212"/>
      <c r="O75" s="212"/>
      <c r="P75" s="212"/>
      <c r="Q75" s="212"/>
      <c r="R75" s="212"/>
      <c r="S75" s="212"/>
      <c r="T75" s="212"/>
      <c r="U75" s="212"/>
      <c r="V75" s="212"/>
      <c r="W75" s="212"/>
      <c r="X75" s="212"/>
      <c r="Y75" s="212"/>
      <c r="Z75" s="212"/>
      <c r="AA75" s="212"/>
      <c r="AB75" s="212"/>
    </row>
    <row r="76" spans="2:28">
      <c r="B76" s="212"/>
      <c r="C76" s="212"/>
      <c r="D76" s="212"/>
      <c r="E76" s="212"/>
      <c r="F76" s="212"/>
      <c r="G76" s="212"/>
      <c r="H76" s="212"/>
      <c r="I76" s="212"/>
      <c r="J76" s="212"/>
      <c r="K76" s="212"/>
      <c r="L76" s="212"/>
      <c r="M76" s="212"/>
      <c r="N76" s="212"/>
      <c r="O76" s="212"/>
      <c r="P76" s="212"/>
      <c r="Q76" s="212"/>
      <c r="R76" s="212"/>
      <c r="S76" s="212"/>
      <c r="T76" s="212"/>
      <c r="U76" s="212"/>
      <c r="V76" s="212"/>
      <c r="W76" s="212"/>
      <c r="X76" s="212"/>
      <c r="Y76" s="212"/>
      <c r="Z76" s="212"/>
      <c r="AA76" s="212"/>
      <c r="AB76" s="212"/>
    </row>
    <row r="77" spans="2:28">
      <c r="B77" s="212"/>
      <c r="C77" s="212"/>
      <c r="D77" s="212"/>
      <c r="E77" s="212"/>
      <c r="F77" s="212"/>
      <c r="G77" s="212"/>
      <c r="H77" s="212"/>
      <c r="I77" s="212"/>
      <c r="J77" s="212"/>
      <c r="K77" s="212"/>
      <c r="L77" s="212"/>
      <c r="M77" s="212"/>
      <c r="N77" s="212"/>
      <c r="O77" s="212"/>
      <c r="P77" s="212"/>
      <c r="Q77" s="212"/>
      <c r="R77" s="212"/>
      <c r="S77" s="212"/>
      <c r="T77" s="212"/>
      <c r="U77" s="212"/>
      <c r="V77" s="212"/>
      <c r="W77" s="212"/>
      <c r="X77" s="212"/>
      <c r="Y77" s="212"/>
      <c r="Z77" s="212"/>
      <c r="AA77" s="212"/>
      <c r="AB77" s="212"/>
    </row>
    <row r="78" spans="2:28">
      <c r="B78" s="212"/>
      <c r="C78" s="212"/>
      <c r="D78" s="212"/>
      <c r="E78" s="212"/>
      <c r="F78" s="212"/>
      <c r="G78" s="212"/>
      <c r="H78" s="212"/>
      <c r="I78" s="212"/>
      <c r="J78" s="212"/>
      <c r="K78" s="212"/>
      <c r="L78" s="212"/>
      <c r="M78" s="212"/>
      <c r="N78" s="212"/>
      <c r="O78" s="212"/>
      <c r="P78" s="212"/>
      <c r="Q78" s="212"/>
      <c r="R78" s="212"/>
      <c r="S78" s="212"/>
      <c r="T78" s="212"/>
      <c r="U78" s="212"/>
      <c r="V78" s="212"/>
      <c r="W78" s="212"/>
      <c r="X78" s="212"/>
      <c r="Y78" s="212"/>
      <c r="Z78" s="212"/>
      <c r="AA78" s="212"/>
      <c r="AB78" s="212"/>
    </row>
    <row r="79" spans="2:28">
      <c r="B79" s="212"/>
      <c r="C79" s="212"/>
      <c r="D79" s="212"/>
      <c r="E79" s="212"/>
      <c r="F79" s="212"/>
      <c r="G79" s="212"/>
      <c r="H79" s="212"/>
      <c r="I79" s="212"/>
      <c r="J79" s="212"/>
      <c r="K79" s="212"/>
      <c r="L79" s="212"/>
      <c r="M79" s="212"/>
      <c r="N79" s="212"/>
      <c r="O79" s="212"/>
      <c r="P79" s="212"/>
      <c r="Q79" s="212"/>
      <c r="R79" s="212"/>
      <c r="S79" s="212"/>
      <c r="T79" s="212"/>
      <c r="U79" s="212"/>
      <c r="V79" s="212"/>
      <c r="W79" s="212"/>
      <c r="X79" s="212"/>
      <c r="Y79" s="212"/>
      <c r="Z79" s="212"/>
      <c r="AA79" s="212"/>
      <c r="AB79" s="212"/>
    </row>
    <row r="80" spans="2:28">
      <c r="B80" s="212"/>
      <c r="C80" s="212"/>
      <c r="D80" s="212"/>
      <c r="E80" s="212"/>
      <c r="F80" s="212"/>
      <c r="G80" s="212"/>
      <c r="H80" s="212"/>
      <c r="I80" s="212"/>
      <c r="J80" s="212"/>
      <c r="K80" s="212"/>
      <c r="L80" s="212"/>
      <c r="M80" s="212"/>
      <c r="N80" s="212"/>
      <c r="O80" s="212"/>
      <c r="P80" s="212"/>
      <c r="Q80" s="212"/>
      <c r="R80" s="212"/>
      <c r="S80" s="212"/>
      <c r="T80" s="212"/>
      <c r="U80" s="212"/>
      <c r="V80" s="212"/>
      <c r="W80" s="212"/>
      <c r="X80" s="212"/>
      <c r="Y80" s="212"/>
      <c r="Z80" s="212"/>
      <c r="AA80" s="212"/>
      <c r="AB80" s="212"/>
    </row>
    <row r="81" spans="2:28">
      <c r="B81" s="212"/>
      <c r="C81" s="212"/>
      <c r="D81" s="212"/>
      <c r="E81" s="212"/>
      <c r="F81" s="212"/>
      <c r="G81" s="212"/>
      <c r="H81" s="212"/>
      <c r="I81" s="212"/>
      <c r="J81" s="212"/>
      <c r="K81" s="212"/>
      <c r="L81" s="212"/>
      <c r="M81" s="212"/>
      <c r="N81" s="212"/>
      <c r="O81" s="212"/>
      <c r="P81" s="212"/>
      <c r="Q81" s="212"/>
      <c r="R81" s="212"/>
      <c r="S81" s="212"/>
      <c r="T81" s="212"/>
      <c r="U81" s="212"/>
      <c r="V81" s="212"/>
      <c r="W81" s="212"/>
      <c r="X81" s="212"/>
      <c r="Y81" s="212"/>
      <c r="Z81" s="212"/>
      <c r="AA81" s="212"/>
      <c r="AB81" s="212"/>
    </row>
    <row r="82" spans="2:28">
      <c r="B82" s="212"/>
      <c r="C82" s="212"/>
      <c r="D82" s="212"/>
      <c r="E82" s="212"/>
      <c r="F82" s="212"/>
      <c r="G82" s="212"/>
      <c r="H82" s="212"/>
      <c r="I82" s="212"/>
      <c r="J82" s="212"/>
      <c r="K82" s="212"/>
      <c r="L82" s="212"/>
      <c r="M82" s="212"/>
      <c r="N82" s="212"/>
      <c r="O82" s="212"/>
      <c r="P82" s="212"/>
      <c r="Q82" s="212"/>
      <c r="R82" s="212"/>
      <c r="S82" s="212"/>
      <c r="T82" s="212"/>
      <c r="U82" s="212"/>
      <c r="V82" s="212"/>
      <c r="W82" s="212"/>
      <c r="X82" s="212"/>
      <c r="Y82" s="212"/>
      <c r="Z82" s="212"/>
      <c r="AA82" s="212"/>
      <c r="AB82" s="212"/>
    </row>
    <row r="83" spans="2:28">
      <c r="B83" s="212"/>
      <c r="C83" s="212"/>
      <c r="D83" s="212"/>
      <c r="E83" s="212"/>
      <c r="F83" s="212"/>
      <c r="G83" s="212"/>
      <c r="H83" s="212"/>
      <c r="I83" s="212"/>
      <c r="J83" s="212"/>
      <c r="K83" s="212"/>
      <c r="L83" s="212"/>
      <c r="M83" s="212"/>
      <c r="N83" s="212"/>
      <c r="O83" s="212"/>
      <c r="P83" s="212"/>
      <c r="Q83" s="212"/>
      <c r="R83" s="212"/>
      <c r="S83" s="212"/>
      <c r="T83" s="212"/>
      <c r="U83" s="212"/>
      <c r="V83" s="212"/>
      <c r="W83" s="212"/>
      <c r="X83" s="212"/>
      <c r="Y83" s="212"/>
      <c r="Z83" s="212"/>
      <c r="AA83" s="212"/>
      <c r="AB83" s="212"/>
    </row>
    <row r="84" spans="2:28">
      <c r="B84" s="212"/>
      <c r="C84" s="212"/>
      <c r="D84" s="212"/>
      <c r="E84" s="212"/>
      <c r="F84" s="212"/>
      <c r="G84" s="212"/>
      <c r="H84" s="212"/>
      <c r="I84" s="212"/>
      <c r="J84" s="212"/>
      <c r="K84" s="212"/>
      <c r="L84" s="212"/>
      <c r="M84" s="212"/>
      <c r="N84" s="212"/>
      <c r="O84" s="212"/>
      <c r="P84" s="212"/>
      <c r="Q84" s="212"/>
      <c r="R84" s="212"/>
      <c r="S84" s="212"/>
      <c r="T84" s="212"/>
      <c r="U84" s="212"/>
      <c r="V84" s="212"/>
      <c r="W84" s="212"/>
      <c r="X84" s="212"/>
      <c r="Y84" s="212"/>
      <c r="Z84" s="212"/>
      <c r="AA84" s="212"/>
      <c r="AB84" s="212"/>
    </row>
    <row r="87" spans="2:28">
      <c r="B87" s="212"/>
      <c r="C87" s="212"/>
      <c r="D87" s="212"/>
      <c r="E87" s="212"/>
      <c r="F87" s="212"/>
      <c r="G87" s="212"/>
      <c r="H87" s="212"/>
      <c r="I87" s="212"/>
      <c r="J87" s="212"/>
      <c r="K87" s="212"/>
      <c r="L87" s="212"/>
      <c r="M87" s="212"/>
      <c r="N87" s="212"/>
      <c r="O87" s="212"/>
      <c r="P87" s="212"/>
      <c r="Q87" s="212"/>
      <c r="R87" s="212"/>
      <c r="S87" s="212"/>
      <c r="T87" s="212"/>
      <c r="U87" s="212"/>
      <c r="V87" s="212"/>
      <c r="W87" s="212"/>
      <c r="X87" s="212"/>
      <c r="Y87" s="212"/>
      <c r="Z87" s="212"/>
      <c r="AA87" s="212"/>
      <c r="AB87" s="212"/>
    </row>
    <row r="88" spans="2:28">
      <c r="B88" s="212"/>
      <c r="C88" s="212"/>
      <c r="D88" s="212"/>
      <c r="E88" s="212"/>
      <c r="F88" s="212"/>
      <c r="G88" s="212"/>
      <c r="H88" s="212"/>
      <c r="I88" s="212"/>
      <c r="J88" s="212"/>
      <c r="K88" s="212"/>
      <c r="L88" s="212"/>
      <c r="M88" s="212"/>
      <c r="N88" s="212"/>
      <c r="O88" s="212"/>
      <c r="P88" s="212"/>
      <c r="Q88" s="212"/>
      <c r="R88" s="212"/>
      <c r="S88" s="212"/>
      <c r="T88" s="212"/>
      <c r="U88" s="212"/>
      <c r="V88" s="212"/>
      <c r="W88" s="212"/>
      <c r="X88" s="212"/>
      <c r="Y88" s="212"/>
      <c r="Z88" s="212"/>
      <c r="AA88" s="212"/>
      <c r="AB88" s="212"/>
    </row>
    <row r="89" spans="2:28">
      <c r="B89" s="212"/>
      <c r="C89" s="212"/>
      <c r="D89" s="212"/>
      <c r="E89" s="212"/>
      <c r="F89" s="212"/>
      <c r="G89" s="212"/>
      <c r="H89" s="212"/>
      <c r="I89" s="212"/>
      <c r="J89" s="212"/>
      <c r="K89" s="212"/>
      <c r="L89" s="212"/>
      <c r="M89" s="212"/>
      <c r="N89" s="212"/>
      <c r="O89" s="212"/>
      <c r="P89" s="212"/>
      <c r="Q89" s="212"/>
      <c r="R89" s="212"/>
      <c r="S89" s="212"/>
      <c r="T89" s="212"/>
      <c r="U89" s="212"/>
      <c r="V89" s="212"/>
      <c r="W89" s="212"/>
      <c r="X89" s="212"/>
      <c r="Y89" s="212"/>
      <c r="Z89" s="212"/>
      <c r="AA89" s="212"/>
      <c r="AB89" s="212"/>
    </row>
    <row r="90" spans="2:28">
      <c r="B90" s="212"/>
      <c r="C90" s="212"/>
      <c r="D90" s="212"/>
      <c r="E90" s="212"/>
      <c r="F90" s="212"/>
      <c r="G90" s="212"/>
      <c r="H90" s="212"/>
      <c r="I90" s="212"/>
      <c r="J90" s="212"/>
      <c r="K90" s="212"/>
      <c r="L90" s="212"/>
      <c r="M90" s="212"/>
      <c r="N90" s="212"/>
      <c r="O90" s="212"/>
      <c r="P90" s="212"/>
      <c r="Q90" s="212"/>
      <c r="R90" s="212"/>
      <c r="S90" s="212"/>
      <c r="T90" s="212"/>
      <c r="U90" s="212"/>
      <c r="V90" s="212"/>
      <c r="W90" s="212"/>
      <c r="X90" s="212"/>
      <c r="Y90" s="212"/>
      <c r="Z90" s="212"/>
      <c r="AA90" s="212"/>
      <c r="AB90" s="212"/>
    </row>
    <row r="91" spans="2:28">
      <c r="B91" s="212"/>
      <c r="C91" s="212"/>
      <c r="D91" s="212"/>
      <c r="E91" s="212"/>
      <c r="F91" s="212"/>
      <c r="G91" s="212"/>
      <c r="H91" s="212"/>
      <c r="I91" s="212"/>
      <c r="J91" s="212"/>
      <c r="K91" s="212"/>
      <c r="L91" s="212"/>
      <c r="M91" s="212"/>
      <c r="N91" s="212"/>
      <c r="O91" s="212"/>
      <c r="P91" s="212"/>
      <c r="Q91" s="212"/>
      <c r="R91" s="212"/>
      <c r="S91" s="212"/>
      <c r="T91" s="212"/>
      <c r="U91" s="212"/>
      <c r="V91" s="212"/>
      <c r="W91" s="212"/>
      <c r="X91" s="212"/>
      <c r="Y91" s="212"/>
      <c r="Z91" s="212"/>
      <c r="AA91" s="212"/>
      <c r="AB91" s="212"/>
    </row>
    <row r="92" spans="2:28">
      <c r="B92" s="212"/>
      <c r="C92" s="212"/>
      <c r="D92" s="212"/>
      <c r="E92" s="212"/>
      <c r="F92" s="212"/>
      <c r="G92" s="212"/>
      <c r="H92" s="212"/>
      <c r="I92" s="212"/>
      <c r="J92" s="212"/>
      <c r="K92" s="212"/>
      <c r="L92" s="212"/>
      <c r="M92" s="212"/>
      <c r="N92" s="212"/>
      <c r="O92" s="212"/>
      <c r="P92" s="212"/>
      <c r="Q92" s="212"/>
      <c r="R92" s="212"/>
      <c r="S92" s="212"/>
      <c r="T92" s="212"/>
      <c r="U92" s="212"/>
      <c r="V92" s="212"/>
      <c r="W92" s="212"/>
      <c r="X92" s="212"/>
      <c r="Y92" s="212"/>
      <c r="Z92" s="212"/>
      <c r="AA92" s="212"/>
      <c r="AB92" s="212"/>
    </row>
    <row r="93" spans="2:28">
      <c r="B93" s="212"/>
      <c r="C93" s="212"/>
      <c r="D93" s="212"/>
      <c r="E93" s="212"/>
      <c r="F93" s="212"/>
      <c r="G93" s="212"/>
      <c r="H93" s="212"/>
      <c r="I93" s="212"/>
      <c r="J93" s="212"/>
      <c r="K93" s="212"/>
      <c r="L93" s="212"/>
      <c r="M93" s="212"/>
      <c r="N93" s="212"/>
      <c r="O93" s="212"/>
      <c r="P93" s="212"/>
      <c r="Q93" s="212"/>
      <c r="R93" s="212"/>
      <c r="S93" s="212"/>
      <c r="T93" s="212"/>
      <c r="U93" s="212"/>
      <c r="V93" s="212"/>
      <c r="W93" s="212"/>
      <c r="X93" s="212"/>
      <c r="Y93" s="212"/>
      <c r="Z93" s="212"/>
      <c r="AA93" s="212"/>
      <c r="AB93" s="212"/>
    </row>
    <row r="94" spans="2:28">
      <c r="B94" s="212"/>
      <c r="C94" s="212"/>
      <c r="D94" s="212"/>
      <c r="E94" s="212"/>
      <c r="F94" s="212"/>
      <c r="G94" s="212"/>
      <c r="H94" s="212"/>
      <c r="I94" s="212"/>
      <c r="J94" s="212"/>
      <c r="K94" s="212"/>
      <c r="L94" s="212"/>
      <c r="M94" s="212"/>
      <c r="N94" s="212"/>
      <c r="O94" s="212"/>
      <c r="P94" s="212"/>
      <c r="Q94" s="212"/>
      <c r="R94" s="212"/>
      <c r="S94" s="212"/>
      <c r="T94" s="212"/>
      <c r="U94" s="212"/>
      <c r="V94" s="212"/>
      <c r="W94" s="212"/>
      <c r="X94" s="212"/>
      <c r="Y94" s="212"/>
      <c r="Z94" s="212"/>
      <c r="AA94" s="212"/>
      <c r="AB94" s="212"/>
    </row>
    <row r="95" spans="2:28">
      <c r="B95" s="212"/>
      <c r="C95" s="212"/>
      <c r="D95" s="212"/>
      <c r="E95" s="212"/>
      <c r="F95" s="212"/>
      <c r="G95" s="212"/>
      <c r="H95" s="212"/>
      <c r="I95" s="212"/>
      <c r="J95" s="212"/>
      <c r="K95" s="212"/>
      <c r="L95" s="212"/>
      <c r="M95" s="212"/>
      <c r="N95" s="212"/>
      <c r="O95" s="212"/>
      <c r="P95" s="212"/>
      <c r="Q95" s="212"/>
      <c r="R95" s="212"/>
      <c r="S95" s="212"/>
      <c r="T95" s="212"/>
      <c r="U95" s="212"/>
      <c r="V95" s="212"/>
      <c r="W95" s="212"/>
      <c r="X95" s="212"/>
      <c r="Y95" s="212"/>
      <c r="Z95" s="212"/>
      <c r="AA95" s="212"/>
      <c r="AB95" s="212"/>
    </row>
    <row r="96" spans="2:28">
      <c r="B96" s="212"/>
      <c r="C96" s="212"/>
      <c r="D96" s="212"/>
      <c r="E96" s="212"/>
      <c r="F96" s="212"/>
      <c r="G96" s="212"/>
      <c r="H96" s="212"/>
      <c r="I96" s="212"/>
      <c r="J96" s="212"/>
      <c r="K96" s="212"/>
      <c r="L96" s="212"/>
      <c r="M96" s="212"/>
      <c r="N96" s="212"/>
      <c r="O96" s="212"/>
      <c r="P96" s="212"/>
      <c r="Q96" s="212"/>
      <c r="R96" s="212"/>
      <c r="S96" s="212"/>
      <c r="T96" s="212"/>
      <c r="U96" s="212"/>
      <c r="V96" s="212"/>
      <c r="W96" s="212"/>
      <c r="X96" s="212"/>
      <c r="Y96" s="212"/>
      <c r="Z96" s="212"/>
      <c r="AA96" s="212"/>
      <c r="AB96" s="212"/>
    </row>
    <row r="97" spans="2:28">
      <c r="B97" s="212"/>
      <c r="C97" s="212"/>
      <c r="D97" s="212"/>
      <c r="E97" s="212"/>
      <c r="F97" s="212"/>
      <c r="G97" s="212"/>
      <c r="H97" s="212"/>
      <c r="I97" s="212"/>
      <c r="J97" s="212"/>
      <c r="K97" s="212"/>
      <c r="L97" s="212"/>
      <c r="M97" s="212"/>
      <c r="N97" s="212"/>
      <c r="O97" s="212"/>
      <c r="P97" s="212"/>
      <c r="Q97" s="212"/>
      <c r="R97" s="212"/>
      <c r="S97" s="212"/>
      <c r="T97" s="212"/>
      <c r="U97" s="212"/>
      <c r="V97" s="212"/>
      <c r="W97" s="212"/>
      <c r="X97" s="212"/>
      <c r="Y97" s="212"/>
      <c r="Z97" s="212"/>
      <c r="AA97" s="212"/>
      <c r="AB97" s="212"/>
    </row>
    <row r="98" spans="2:28">
      <c r="B98" s="212"/>
      <c r="C98" s="212"/>
      <c r="D98" s="212"/>
      <c r="E98" s="212"/>
      <c r="F98" s="212"/>
      <c r="G98" s="212"/>
      <c r="H98" s="212"/>
      <c r="I98" s="212"/>
      <c r="J98" s="212"/>
      <c r="K98" s="212"/>
      <c r="L98" s="212"/>
      <c r="M98" s="212"/>
      <c r="N98" s="212"/>
      <c r="O98" s="212"/>
      <c r="P98" s="212"/>
      <c r="Q98" s="212"/>
      <c r="R98" s="212"/>
      <c r="S98" s="212"/>
      <c r="T98" s="212"/>
      <c r="U98" s="212"/>
      <c r="V98" s="212"/>
      <c r="W98" s="212"/>
      <c r="X98" s="212"/>
      <c r="Y98" s="212"/>
      <c r="Z98" s="212"/>
      <c r="AA98" s="212"/>
      <c r="AB98" s="212"/>
    </row>
    <row r="99" spans="2:28">
      <c r="B99" s="212"/>
      <c r="C99" s="212"/>
      <c r="D99" s="212"/>
      <c r="E99" s="212"/>
      <c r="F99" s="212"/>
      <c r="G99" s="212"/>
      <c r="H99" s="212"/>
      <c r="I99" s="212"/>
      <c r="J99" s="212"/>
      <c r="K99" s="212"/>
      <c r="L99" s="212"/>
      <c r="M99" s="212"/>
      <c r="N99" s="212"/>
      <c r="O99" s="212"/>
      <c r="P99" s="212"/>
      <c r="Q99" s="212"/>
      <c r="R99" s="212"/>
      <c r="S99" s="212"/>
      <c r="T99" s="212"/>
      <c r="U99" s="212"/>
      <c r="V99" s="212"/>
      <c r="W99" s="212"/>
      <c r="X99" s="212"/>
      <c r="Y99" s="212"/>
      <c r="Z99" s="212"/>
      <c r="AA99" s="212"/>
      <c r="AB99" s="212"/>
    </row>
    <row r="100" spans="2:28">
      <c r="B100" s="212"/>
      <c r="C100" s="212"/>
      <c r="D100" s="212"/>
      <c r="E100" s="212"/>
      <c r="F100" s="212"/>
      <c r="G100" s="212"/>
      <c r="H100" s="212"/>
      <c r="I100" s="212"/>
      <c r="J100" s="212"/>
      <c r="K100" s="212"/>
      <c r="L100" s="212"/>
      <c r="M100" s="212"/>
      <c r="N100" s="212"/>
      <c r="O100" s="212"/>
      <c r="P100" s="212"/>
      <c r="Q100" s="212"/>
      <c r="R100" s="212"/>
      <c r="S100" s="212"/>
      <c r="T100" s="212"/>
      <c r="U100" s="212"/>
      <c r="V100" s="212"/>
      <c r="W100" s="212"/>
      <c r="X100" s="212"/>
      <c r="Y100" s="212"/>
      <c r="Z100" s="212"/>
      <c r="AA100" s="212"/>
      <c r="AB100" s="212"/>
    </row>
    <row r="101" spans="2:28">
      <c r="B101" s="212"/>
      <c r="C101" s="212"/>
      <c r="D101" s="212"/>
      <c r="E101" s="212"/>
      <c r="F101" s="212"/>
      <c r="G101" s="212"/>
      <c r="H101" s="212"/>
      <c r="I101" s="212"/>
      <c r="J101" s="212"/>
      <c r="K101" s="212"/>
      <c r="L101" s="212"/>
      <c r="M101" s="212"/>
      <c r="N101" s="212"/>
      <c r="O101" s="212"/>
      <c r="P101" s="212"/>
      <c r="Q101" s="212"/>
      <c r="R101" s="212"/>
      <c r="S101" s="212"/>
      <c r="T101" s="212"/>
      <c r="U101" s="212"/>
      <c r="V101" s="212"/>
      <c r="W101" s="212"/>
      <c r="X101" s="212"/>
      <c r="Y101" s="212"/>
      <c r="Z101" s="212"/>
      <c r="AA101" s="212"/>
      <c r="AB101" s="212"/>
    </row>
    <row r="102" spans="2:28">
      <c r="B102" s="212"/>
      <c r="C102" s="212"/>
      <c r="D102" s="212"/>
      <c r="E102" s="212"/>
      <c r="F102" s="212"/>
      <c r="G102" s="212"/>
      <c r="H102" s="212"/>
      <c r="I102" s="212"/>
      <c r="J102" s="212"/>
      <c r="K102" s="212"/>
      <c r="L102" s="212"/>
      <c r="M102" s="212"/>
      <c r="N102" s="212"/>
      <c r="O102" s="212"/>
      <c r="P102" s="212"/>
      <c r="Q102" s="212"/>
      <c r="R102" s="212"/>
      <c r="S102" s="212"/>
      <c r="T102" s="212"/>
      <c r="U102" s="212"/>
      <c r="V102" s="212"/>
      <c r="W102" s="212"/>
      <c r="X102" s="212"/>
      <c r="Y102" s="212"/>
      <c r="Z102" s="212"/>
      <c r="AA102" s="212"/>
      <c r="AB102" s="212"/>
    </row>
    <row r="103" spans="2:28">
      <c r="B103" s="212"/>
      <c r="C103" s="212"/>
      <c r="D103" s="212"/>
      <c r="E103" s="212"/>
      <c r="F103" s="212"/>
      <c r="G103" s="212"/>
      <c r="H103" s="212"/>
      <c r="I103" s="212"/>
      <c r="J103" s="212"/>
      <c r="K103" s="212"/>
      <c r="L103" s="212"/>
      <c r="M103" s="212"/>
      <c r="N103" s="212"/>
      <c r="O103" s="212"/>
      <c r="P103" s="212"/>
      <c r="Q103" s="212"/>
      <c r="R103" s="212"/>
      <c r="S103" s="212"/>
      <c r="T103" s="212"/>
      <c r="U103" s="212"/>
      <c r="V103" s="212"/>
      <c r="W103" s="212"/>
      <c r="X103" s="212"/>
      <c r="Y103" s="212"/>
      <c r="Z103" s="212"/>
      <c r="AA103" s="212"/>
      <c r="AB103" s="212"/>
    </row>
    <row r="104" spans="2:28">
      <c r="B104" s="212"/>
      <c r="C104" s="212"/>
      <c r="D104" s="212"/>
      <c r="E104" s="212"/>
      <c r="F104" s="212"/>
      <c r="G104" s="212"/>
      <c r="H104" s="212"/>
      <c r="I104" s="212"/>
      <c r="J104" s="212"/>
      <c r="K104" s="212"/>
      <c r="L104" s="212"/>
      <c r="M104" s="212"/>
      <c r="N104" s="212"/>
      <c r="O104" s="212"/>
      <c r="P104" s="212"/>
      <c r="Q104" s="212"/>
      <c r="R104" s="212"/>
      <c r="S104" s="212"/>
      <c r="T104" s="212"/>
      <c r="U104" s="212"/>
      <c r="V104" s="212"/>
      <c r="W104" s="212"/>
      <c r="X104" s="212"/>
      <c r="Y104" s="212"/>
      <c r="Z104" s="212"/>
      <c r="AA104" s="212"/>
      <c r="AB104" s="212"/>
    </row>
    <row r="105" spans="2:28">
      <c r="B105" s="212"/>
      <c r="C105" s="212"/>
      <c r="D105" s="212"/>
      <c r="E105" s="212"/>
      <c r="F105" s="212"/>
      <c r="G105" s="212"/>
      <c r="H105" s="212"/>
      <c r="I105" s="212"/>
      <c r="J105" s="212"/>
      <c r="K105" s="212"/>
      <c r="L105" s="212"/>
      <c r="M105" s="212"/>
      <c r="N105" s="212"/>
      <c r="O105" s="212"/>
      <c r="P105" s="212"/>
      <c r="Q105" s="212"/>
      <c r="R105" s="212"/>
      <c r="S105" s="212"/>
      <c r="T105" s="212"/>
      <c r="U105" s="212"/>
      <c r="V105" s="212"/>
      <c r="W105" s="212"/>
      <c r="X105" s="212"/>
      <c r="Y105" s="212"/>
      <c r="Z105" s="212"/>
      <c r="AA105" s="212"/>
      <c r="AB105" s="212"/>
    </row>
    <row r="106" spans="2:28">
      <c r="B106" s="212"/>
      <c r="C106" s="212"/>
      <c r="D106" s="212"/>
      <c r="E106" s="212"/>
      <c r="F106" s="212"/>
      <c r="G106" s="212"/>
      <c r="H106" s="212"/>
      <c r="I106" s="212"/>
      <c r="J106" s="212"/>
      <c r="K106" s="212"/>
      <c r="L106" s="212"/>
      <c r="M106" s="212"/>
      <c r="N106" s="212"/>
      <c r="O106" s="212"/>
      <c r="P106" s="212"/>
      <c r="Q106" s="212"/>
      <c r="R106" s="212"/>
      <c r="S106" s="212"/>
      <c r="T106" s="212"/>
      <c r="U106" s="212"/>
      <c r="V106" s="212"/>
      <c r="W106" s="212"/>
      <c r="X106" s="212"/>
      <c r="Y106" s="212"/>
      <c r="Z106" s="212"/>
      <c r="AA106" s="212"/>
      <c r="AB106" s="212"/>
    </row>
    <row r="107" spans="2:28">
      <c r="B107" s="212"/>
      <c r="C107" s="212"/>
      <c r="D107" s="212"/>
      <c r="E107" s="212"/>
      <c r="F107" s="212"/>
      <c r="G107" s="212"/>
      <c r="H107" s="212"/>
      <c r="I107" s="212"/>
      <c r="J107" s="212"/>
      <c r="K107" s="212"/>
      <c r="L107" s="212"/>
      <c r="M107" s="212"/>
      <c r="N107" s="212"/>
      <c r="O107" s="212"/>
      <c r="P107" s="212"/>
      <c r="Q107" s="212"/>
      <c r="R107" s="212"/>
      <c r="S107" s="212"/>
      <c r="T107" s="212"/>
      <c r="U107" s="212"/>
      <c r="V107" s="212"/>
      <c r="W107" s="212"/>
      <c r="X107" s="212"/>
      <c r="Y107" s="212"/>
      <c r="Z107" s="212"/>
      <c r="AA107" s="212"/>
      <c r="AB107" s="212"/>
    </row>
    <row r="108" spans="2:28">
      <c r="B108" s="212"/>
      <c r="C108" s="212"/>
      <c r="D108" s="212"/>
      <c r="E108" s="212"/>
      <c r="F108" s="212"/>
      <c r="G108" s="212"/>
      <c r="H108" s="212"/>
      <c r="I108" s="212"/>
      <c r="J108" s="212"/>
      <c r="K108" s="212"/>
      <c r="L108" s="212"/>
      <c r="M108" s="212"/>
      <c r="N108" s="212"/>
      <c r="O108" s="212"/>
      <c r="P108" s="212"/>
      <c r="Q108" s="212"/>
      <c r="R108" s="212"/>
      <c r="S108" s="212"/>
      <c r="T108" s="212"/>
      <c r="U108" s="212"/>
      <c r="V108" s="212"/>
      <c r="W108" s="212"/>
      <c r="X108" s="212"/>
      <c r="Y108" s="212"/>
      <c r="Z108" s="212"/>
      <c r="AA108" s="212"/>
      <c r="AB108" s="212"/>
    </row>
    <row r="109" spans="2:28">
      <c r="B109" s="212"/>
      <c r="C109" s="212"/>
      <c r="D109" s="212"/>
      <c r="E109" s="212"/>
      <c r="F109" s="212"/>
      <c r="G109" s="212"/>
      <c r="H109" s="212"/>
      <c r="I109" s="212"/>
      <c r="J109" s="212"/>
      <c r="K109" s="212"/>
      <c r="L109" s="212"/>
      <c r="M109" s="212"/>
      <c r="N109" s="212"/>
      <c r="O109" s="212"/>
      <c r="P109" s="212"/>
      <c r="Q109" s="212"/>
      <c r="R109" s="212"/>
      <c r="S109" s="212"/>
      <c r="T109" s="212"/>
      <c r="U109" s="212"/>
      <c r="V109" s="212"/>
      <c r="W109" s="212"/>
      <c r="X109" s="212"/>
      <c r="Y109" s="212"/>
      <c r="Z109" s="212"/>
      <c r="AA109" s="212"/>
      <c r="AB109" s="212"/>
    </row>
    <row r="110" spans="2:28">
      <c r="B110" s="212"/>
      <c r="C110" s="212"/>
      <c r="D110" s="212"/>
      <c r="E110" s="212"/>
      <c r="F110" s="212"/>
      <c r="G110" s="212"/>
      <c r="H110" s="212"/>
      <c r="I110" s="212"/>
      <c r="J110" s="212"/>
      <c r="K110" s="212"/>
      <c r="L110" s="212"/>
      <c r="M110" s="212"/>
      <c r="N110" s="212"/>
      <c r="O110" s="212"/>
      <c r="P110" s="212"/>
      <c r="Q110" s="212"/>
      <c r="R110" s="212"/>
      <c r="S110" s="212"/>
      <c r="T110" s="212"/>
      <c r="U110" s="212"/>
      <c r="V110" s="212"/>
      <c r="W110" s="212"/>
      <c r="X110" s="212"/>
      <c r="Y110" s="212"/>
      <c r="Z110" s="212"/>
      <c r="AA110" s="212"/>
      <c r="AB110" s="212"/>
    </row>
    <row r="111" spans="2:28">
      <c r="B111" s="212"/>
      <c r="C111" s="212"/>
      <c r="D111" s="212"/>
      <c r="E111" s="212"/>
      <c r="F111" s="212"/>
      <c r="G111" s="212"/>
      <c r="H111" s="212"/>
      <c r="I111" s="212"/>
      <c r="J111" s="212"/>
      <c r="K111" s="212"/>
      <c r="L111" s="212"/>
      <c r="M111" s="212"/>
      <c r="N111" s="212"/>
      <c r="O111" s="212"/>
      <c r="P111" s="212"/>
      <c r="Q111" s="212"/>
      <c r="R111" s="212"/>
      <c r="S111" s="212"/>
      <c r="T111" s="212"/>
      <c r="U111" s="212"/>
      <c r="V111" s="212"/>
      <c r="W111" s="212"/>
      <c r="X111" s="212"/>
      <c r="Y111" s="212"/>
      <c r="Z111" s="212"/>
      <c r="AA111" s="212"/>
      <c r="AB111" s="212"/>
    </row>
    <row r="112" spans="2:28">
      <c r="B112" s="212"/>
      <c r="C112" s="212"/>
      <c r="D112" s="212"/>
      <c r="E112" s="212"/>
      <c r="F112" s="212"/>
      <c r="G112" s="212"/>
      <c r="H112" s="212"/>
      <c r="I112" s="212"/>
      <c r="J112" s="212"/>
      <c r="K112" s="212"/>
      <c r="L112" s="212"/>
      <c r="M112" s="212"/>
      <c r="N112" s="212"/>
      <c r="O112" s="212"/>
      <c r="P112" s="212"/>
      <c r="Q112" s="212"/>
      <c r="R112" s="212"/>
      <c r="S112" s="212"/>
      <c r="T112" s="212"/>
      <c r="U112" s="212"/>
      <c r="V112" s="212"/>
      <c r="W112" s="212"/>
      <c r="X112" s="212"/>
      <c r="Y112" s="212"/>
      <c r="Z112" s="212"/>
      <c r="AA112" s="212"/>
      <c r="AB112" s="212"/>
    </row>
    <row r="113" spans="2:28">
      <c r="B113" s="212"/>
      <c r="C113" s="212"/>
      <c r="D113" s="212"/>
      <c r="E113" s="212"/>
      <c r="F113" s="212"/>
      <c r="G113" s="212"/>
      <c r="H113" s="212"/>
      <c r="I113" s="212"/>
      <c r="J113" s="212"/>
      <c r="K113" s="212"/>
      <c r="L113" s="212"/>
      <c r="M113" s="212"/>
      <c r="N113" s="212"/>
      <c r="O113" s="212"/>
      <c r="P113" s="212"/>
      <c r="Q113" s="212"/>
      <c r="R113" s="212"/>
      <c r="S113" s="212"/>
      <c r="T113" s="212"/>
      <c r="U113" s="212"/>
      <c r="V113" s="212"/>
      <c r="W113" s="212"/>
      <c r="X113" s="212"/>
      <c r="Y113" s="212"/>
      <c r="Z113" s="212"/>
      <c r="AA113" s="212"/>
      <c r="AB113" s="212"/>
    </row>
    <row r="114" spans="2:28">
      <c r="B114" s="212"/>
      <c r="C114" s="212"/>
      <c r="D114" s="212"/>
      <c r="E114" s="212"/>
      <c r="F114" s="212"/>
      <c r="G114" s="212"/>
      <c r="H114" s="212"/>
      <c r="I114" s="212"/>
      <c r="J114" s="212"/>
      <c r="K114" s="212"/>
      <c r="L114" s="212"/>
      <c r="M114" s="212"/>
      <c r="N114" s="212"/>
      <c r="O114" s="212"/>
      <c r="P114" s="212"/>
      <c r="Q114" s="212"/>
      <c r="R114" s="212"/>
      <c r="S114" s="212"/>
      <c r="T114" s="212"/>
      <c r="U114" s="212"/>
      <c r="V114" s="212"/>
      <c r="W114" s="212"/>
      <c r="X114" s="212"/>
      <c r="Y114" s="212"/>
      <c r="Z114" s="212"/>
      <c r="AA114" s="212"/>
      <c r="AB114" s="212"/>
    </row>
    <row r="115" spans="2:28">
      <c r="B115" s="212"/>
      <c r="C115" s="212"/>
      <c r="D115" s="212"/>
      <c r="E115" s="212"/>
      <c r="F115" s="212"/>
      <c r="G115" s="212"/>
      <c r="H115" s="212"/>
      <c r="I115" s="212"/>
      <c r="J115" s="212"/>
      <c r="K115" s="212"/>
      <c r="L115" s="212"/>
      <c r="M115" s="212"/>
      <c r="N115" s="212"/>
      <c r="O115" s="212"/>
      <c r="P115" s="212"/>
      <c r="Q115" s="212"/>
      <c r="R115" s="212"/>
      <c r="S115" s="212"/>
      <c r="T115" s="212"/>
      <c r="U115" s="212"/>
      <c r="V115" s="212"/>
      <c r="W115" s="212"/>
      <c r="X115" s="212"/>
      <c r="Y115" s="212"/>
      <c r="Z115" s="212"/>
      <c r="AA115" s="212"/>
      <c r="AB115" s="212"/>
    </row>
    <row r="116" spans="2:28">
      <c r="B116" s="212"/>
      <c r="C116" s="212"/>
      <c r="D116" s="212"/>
      <c r="E116" s="212"/>
      <c r="F116" s="212"/>
      <c r="G116" s="212"/>
      <c r="H116" s="212"/>
      <c r="I116" s="212"/>
      <c r="J116" s="212"/>
      <c r="K116" s="212"/>
      <c r="L116" s="212"/>
      <c r="M116" s="212"/>
      <c r="N116" s="212"/>
      <c r="O116" s="212"/>
      <c r="P116" s="212"/>
      <c r="Q116" s="212"/>
      <c r="R116" s="212"/>
      <c r="S116" s="212"/>
      <c r="T116" s="212"/>
      <c r="U116" s="212"/>
      <c r="V116" s="212"/>
      <c r="W116" s="212"/>
      <c r="X116" s="212"/>
      <c r="Y116" s="212"/>
      <c r="Z116" s="212"/>
      <c r="AA116" s="212"/>
      <c r="AB116" s="212"/>
    </row>
    <row r="117" spans="2:28">
      <c r="B117" s="212"/>
      <c r="C117" s="212"/>
      <c r="D117" s="212"/>
      <c r="E117" s="212"/>
      <c r="F117" s="212"/>
      <c r="G117" s="212"/>
      <c r="H117" s="212"/>
      <c r="I117" s="212"/>
      <c r="J117" s="212"/>
      <c r="K117" s="212"/>
      <c r="L117" s="212"/>
      <c r="M117" s="212"/>
      <c r="N117" s="212"/>
      <c r="O117" s="212"/>
      <c r="P117" s="212"/>
      <c r="Q117" s="212"/>
      <c r="R117" s="212"/>
      <c r="S117" s="212"/>
      <c r="T117" s="212"/>
      <c r="U117" s="212"/>
      <c r="V117" s="212"/>
      <c r="W117" s="212"/>
      <c r="X117" s="212"/>
      <c r="Y117" s="212"/>
      <c r="Z117" s="212"/>
      <c r="AA117" s="212"/>
      <c r="AB117" s="212"/>
    </row>
    <row r="118" spans="2:28">
      <c r="B118" s="212"/>
      <c r="C118" s="212"/>
      <c r="D118" s="212"/>
      <c r="E118" s="212"/>
      <c r="F118" s="212"/>
      <c r="G118" s="212"/>
      <c r="H118" s="212"/>
      <c r="I118" s="212"/>
      <c r="J118" s="212"/>
      <c r="K118" s="212"/>
      <c r="L118" s="212"/>
      <c r="M118" s="212"/>
      <c r="N118" s="212"/>
      <c r="O118" s="212"/>
      <c r="P118" s="212"/>
      <c r="Q118" s="212"/>
      <c r="R118" s="212"/>
      <c r="S118" s="212"/>
      <c r="T118" s="212"/>
      <c r="U118" s="212"/>
      <c r="V118" s="212"/>
      <c r="W118" s="212"/>
      <c r="X118" s="212"/>
      <c r="Y118" s="212"/>
      <c r="Z118" s="212"/>
      <c r="AA118" s="212"/>
      <c r="AB118" s="212"/>
    </row>
    <row r="119" spans="2:28">
      <c r="B119" s="212"/>
      <c r="C119" s="212"/>
      <c r="D119" s="212"/>
      <c r="E119" s="212"/>
      <c r="F119" s="212"/>
      <c r="G119" s="212"/>
      <c r="H119" s="212"/>
      <c r="I119" s="212"/>
      <c r="J119" s="212"/>
      <c r="K119" s="212"/>
      <c r="L119" s="212"/>
      <c r="M119" s="212"/>
      <c r="N119" s="212"/>
      <c r="O119" s="212"/>
      <c r="P119" s="212"/>
      <c r="Q119" s="212"/>
      <c r="R119" s="212"/>
      <c r="S119" s="212"/>
      <c r="T119" s="212"/>
      <c r="U119" s="212"/>
      <c r="V119" s="212"/>
      <c r="W119" s="212"/>
      <c r="X119" s="212"/>
      <c r="Y119" s="212"/>
      <c r="Z119" s="212"/>
      <c r="AA119" s="212"/>
      <c r="AB119" s="212"/>
    </row>
    <row r="120" spans="2:28">
      <c r="B120" s="212"/>
      <c r="C120" s="212"/>
      <c r="D120" s="212"/>
      <c r="E120" s="212"/>
      <c r="F120" s="212"/>
      <c r="G120" s="212"/>
      <c r="H120" s="212"/>
      <c r="I120" s="212"/>
      <c r="J120" s="212"/>
      <c r="K120" s="212"/>
      <c r="L120" s="212"/>
      <c r="M120" s="212"/>
      <c r="N120" s="212"/>
      <c r="O120" s="212"/>
      <c r="P120" s="212"/>
      <c r="Q120" s="212"/>
      <c r="R120" s="212"/>
      <c r="S120" s="212"/>
      <c r="T120" s="212"/>
      <c r="U120" s="212"/>
      <c r="V120" s="212"/>
      <c r="W120" s="212"/>
      <c r="X120" s="212"/>
      <c r="Y120" s="212"/>
      <c r="Z120" s="212"/>
      <c r="AA120" s="212"/>
      <c r="AB120" s="212"/>
    </row>
    <row r="121" spans="2:28" ht="13.5" customHeight="1">
      <c r="B121" s="212"/>
      <c r="C121" s="212"/>
      <c r="D121" s="212"/>
      <c r="E121" s="212"/>
      <c r="F121" s="212"/>
      <c r="G121" s="212"/>
      <c r="H121" s="212"/>
      <c r="I121" s="212"/>
      <c r="J121" s="212"/>
      <c r="K121" s="212"/>
      <c r="L121" s="212"/>
      <c r="M121" s="212"/>
      <c r="N121" s="212"/>
      <c r="O121" s="212"/>
      <c r="P121" s="212"/>
      <c r="Q121" s="212"/>
      <c r="R121" s="212"/>
      <c r="S121" s="212"/>
      <c r="T121" s="212"/>
      <c r="U121" s="212"/>
      <c r="V121" s="212"/>
      <c r="W121" s="212"/>
      <c r="X121" s="212"/>
      <c r="Y121" s="212"/>
      <c r="Z121" s="212"/>
      <c r="AA121" s="212"/>
      <c r="AB121" s="212"/>
    </row>
    <row r="122" spans="2:28">
      <c r="B122" s="212"/>
      <c r="C122" s="212"/>
      <c r="D122" s="212"/>
      <c r="E122" s="212"/>
      <c r="F122" s="212"/>
      <c r="G122" s="212"/>
      <c r="H122" s="212"/>
      <c r="I122" s="212"/>
      <c r="J122" s="212"/>
      <c r="K122" s="212"/>
      <c r="L122" s="212"/>
      <c r="M122" s="212"/>
      <c r="N122" s="212"/>
      <c r="O122" s="212"/>
      <c r="P122" s="212"/>
      <c r="Q122" s="212"/>
      <c r="R122" s="212"/>
      <c r="S122" s="212"/>
      <c r="T122" s="212"/>
      <c r="U122" s="212"/>
      <c r="V122" s="212"/>
      <c r="W122" s="212"/>
      <c r="X122" s="212"/>
      <c r="Y122" s="212"/>
      <c r="Z122" s="212"/>
      <c r="AA122" s="212"/>
      <c r="AB122" s="212"/>
    </row>
    <row r="123" spans="2:28">
      <c r="B123" s="212"/>
      <c r="C123" s="212"/>
      <c r="D123" s="212"/>
      <c r="E123" s="212"/>
      <c r="F123" s="212"/>
      <c r="G123" s="212"/>
      <c r="H123" s="212"/>
      <c r="I123" s="212"/>
      <c r="J123" s="212"/>
      <c r="K123" s="212"/>
      <c r="L123" s="212"/>
      <c r="M123" s="212"/>
      <c r="N123" s="212"/>
      <c r="O123" s="212"/>
      <c r="P123" s="212"/>
      <c r="Q123" s="212"/>
      <c r="R123" s="212"/>
      <c r="S123" s="212"/>
      <c r="T123" s="212"/>
      <c r="U123" s="212"/>
      <c r="V123" s="212"/>
      <c r="W123" s="212"/>
      <c r="X123" s="212"/>
      <c r="Y123" s="212"/>
      <c r="Z123" s="212"/>
      <c r="AA123" s="212"/>
      <c r="AB123" s="212"/>
    </row>
    <row r="124" spans="2:28">
      <c r="B124" s="212"/>
      <c r="C124" s="212"/>
      <c r="D124" s="212"/>
      <c r="E124" s="212"/>
      <c r="F124" s="212"/>
      <c r="G124" s="212"/>
      <c r="H124" s="212"/>
      <c r="I124" s="212"/>
      <c r="J124" s="212"/>
      <c r="K124" s="212"/>
      <c r="L124" s="212"/>
      <c r="M124" s="212"/>
      <c r="N124" s="212"/>
      <c r="O124" s="212"/>
      <c r="P124" s="212"/>
      <c r="Q124" s="212"/>
      <c r="R124" s="212"/>
      <c r="S124" s="212"/>
      <c r="T124" s="212"/>
      <c r="U124" s="212"/>
      <c r="V124" s="212"/>
      <c r="W124" s="212"/>
      <c r="X124" s="212"/>
      <c r="Y124" s="212"/>
      <c r="Z124" s="212"/>
      <c r="AA124" s="212"/>
      <c r="AB124" s="212"/>
    </row>
    <row r="125" spans="2:28">
      <c r="B125" s="212"/>
      <c r="C125" s="212"/>
      <c r="D125" s="212"/>
      <c r="E125" s="212"/>
      <c r="F125" s="212"/>
      <c r="G125" s="212"/>
      <c r="H125" s="212"/>
      <c r="I125" s="212"/>
      <c r="J125" s="212"/>
      <c r="K125" s="212"/>
      <c r="L125" s="212"/>
      <c r="M125" s="212"/>
      <c r="N125" s="212"/>
      <c r="O125" s="212"/>
      <c r="P125" s="212"/>
      <c r="Q125" s="212"/>
      <c r="R125" s="212"/>
      <c r="S125" s="212"/>
      <c r="T125" s="212"/>
      <c r="U125" s="212"/>
      <c r="V125" s="212"/>
      <c r="W125" s="212"/>
      <c r="X125" s="212"/>
      <c r="Y125" s="212"/>
      <c r="Z125" s="212"/>
      <c r="AA125" s="212"/>
      <c r="AB125" s="212"/>
    </row>
    <row r="126" spans="2:28">
      <c r="B126" s="212"/>
      <c r="C126" s="212"/>
      <c r="D126" s="212"/>
      <c r="E126" s="212"/>
      <c r="F126" s="212"/>
      <c r="G126" s="212"/>
      <c r="H126" s="212"/>
      <c r="I126" s="212"/>
      <c r="J126" s="212"/>
      <c r="K126" s="212"/>
      <c r="L126" s="212"/>
      <c r="M126" s="212"/>
      <c r="N126" s="212"/>
      <c r="O126" s="212"/>
      <c r="P126" s="212"/>
      <c r="Q126" s="212"/>
      <c r="R126" s="212"/>
      <c r="S126" s="212"/>
      <c r="T126" s="212"/>
      <c r="U126" s="212"/>
      <c r="V126" s="212"/>
      <c r="W126" s="212"/>
      <c r="X126" s="212"/>
      <c r="Y126" s="212"/>
      <c r="Z126" s="212"/>
      <c r="AA126" s="212"/>
      <c r="AB126" s="212"/>
    </row>
    <row r="127" spans="2:28">
      <c r="B127" s="212"/>
      <c r="C127" s="212"/>
      <c r="D127" s="212"/>
      <c r="E127" s="212"/>
      <c r="F127" s="212"/>
      <c r="G127" s="212"/>
      <c r="H127" s="212"/>
      <c r="I127" s="212"/>
      <c r="J127" s="212"/>
      <c r="K127" s="212"/>
      <c r="L127" s="212"/>
      <c r="M127" s="212"/>
      <c r="N127" s="212"/>
      <c r="O127" s="212"/>
      <c r="P127" s="212"/>
      <c r="Q127" s="212"/>
      <c r="R127" s="212"/>
      <c r="S127" s="212"/>
      <c r="T127" s="212"/>
      <c r="U127" s="212"/>
      <c r="V127" s="212"/>
      <c r="W127" s="212"/>
      <c r="X127" s="212"/>
      <c r="Y127" s="212"/>
      <c r="Z127" s="212"/>
      <c r="AA127" s="212"/>
      <c r="AB127" s="212"/>
    </row>
    <row r="128" spans="2:28">
      <c r="B128" s="212"/>
      <c r="C128" s="212"/>
      <c r="D128" s="212"/>
      <c r="E128" s="212"/>
      <c r="F128" s="212"/>
      <c r="G128" s="212"/>
      <c r="H128" s="212"/>
      <c r="I128" s="212"/>
      <c r="J128" s="212"/>
      <c r="K128" s="212"/>
      <c r="L128" s="212"/>
      <c r="M128" s="212"/>
      <c r="N128" s="212"/>
      <c r="O128" s="212"/>
      <c r="P128" s="212"/>
      <c r="Q128" s="212"/>
      <c r="R128" s="212"/>
      <c r="S128" s="212"/>
      <c r="T128" s="212"/>
      <c r="U128" s="212"/>
      <c r="V128" s="212"/>
      <c r="W128" s="212"/>
      <c r="X128" s="212"/>
      <c r="Y128" s="212"/>
      <c r="Z128" s="212"/>
      <c r="AA128" s="212"/>
      <c r="AB128" s="212"/>
    </row>
    <row r="129" spans="2:28">
      <c r="B129" s="212"/>
      <c r="C129" s="212"/>
      <c r="D129" s="212"/>
      <c r="E129" s="212"/>
      <c r="F129" s="212"/>
      <c r="G129" s="212"/>
      <c r="H129" s="212"/>
      <c r="I129" s="212"/>
      <c r="J129" s="212"/>
      <c r="K129" s="212"/>
      <c r="L129" s="212"/>
      <c r="M129" s="212"/>
      <c r="N129" s="212"/>
      <c r="O129" s="212"/>
      <c r="P129" s="212"/>
      <c r="Q129" s="212"/>
      <c r="R129" s="212"/>
      <c r="S129" s="212"/>
      <c r="T129" s="212"/>
      <c r="U129" s="212"/>
      <c r="V129" s="212"/>
      <c r="W129" s="212"/>
      <c r="X129" s="212"/>
      <c r="Y129" s="212"/>
      <c r="Z129" s="212"/>
      <c r="AA129" s="212"/>
      <c r="AB129" s="212"/>
    </row>
    <row r="130" spans="2:28">
      <c r="B130" s="212"/>
      <c r="C130" s="212"/>
      <c r="D130" s="212"/>
      <c r="E130" s="212"/>
      <c r="F130" s="212"/>
      <c r="G130" s="212"/>
      <c r="H130" s="212"/>
      <c r="I130" s="212"/>
      <c r="J130" s="212"/>
      <c r="K130" s="212"/>
      <c r="L130" s="212"/>
      <c r="M130" s="212"/>
      <c r="N130" s="212"/>
      <c r="O130" s="212"/>
      <c r="P130" s="212"/>
      <c r="Q130" s="212"/>
      <c r="R130" s="212"/>
      <c r="S130" s="212"/>
      <c r="T130" s="212"/>
      <c r="U130" s="212"/>
      <c r="V130" s="212"/>
      <c r="W130" s="212"/>
      <c r="X130" s="212"/>
      <c r="Y130" s="212"/>
      <c r="Z130" s="212"/>
      <c r="AA130" s="212"/>
      <c r="AB130" s="212"/>
    </row>
    <row r="131" spans="2:28">
      <c r="B131" s="212"/>
      <c r="C131" s="212"/>
      <c r="D131" s="212"/>
      <c r="E131" s="212"/>
      <c r="F131" s="212"/>
      <c r="G131" s="212"/>
      <c r="H131" s="212"/>
      <c r="I131" s="212"/>
      <c r="J131" s="212"/>
      <c r="K131" s="212"/>
      <c r="L131" s="212"/>
      <c r="M131" s="212"/>
      <c r="N131" s="212"/>
      <c r="O131" s="212"/>
      <c r="P131" s="212"/>
      <c r="Q131" s="212"/>
      <c r="R131" s="212"/>
      <c r="S131" s="212"/>
      <c r="T131" s="212"/>
      <c r="U131" s="212"/>
      <c r="V131" s="212"/>
      <c r="W131" s="212"/>
      <c r="X131" s="212"/>
      <c r="Y131" s="212"/>
      <c r="Z131" s="212"/>
      <c r="AA131" s="212"/>
      <c r="AB131" s="212"/>
    </row>
    <row r="134" spans="2:28">
      <c r="B134" s="212"/>
      <c r="C134" s="212"/>
      <c r="D134" s="212"/>
      <c r="E134" s="212"/>
      <c r="F134" s="212"/>
      <c r="G134" s="212"/>
      <c r="H134" s="212"/>
      <c r="I134" s="212"/>
      <c r="J134" s="212"/>
      <c r="K134" s="212"/>
      <c r="L134" s="212"/>
      <c r="M134" s="212"/>
      <c r="N134" s="212"/>
      <c r="O134" s="212"/>
      <c r="P134" s="212"/>
      <c r="Q134" s="212"/>
      <c r="R134" s="212"/>
      <c r="S134" s="212"/>
      <c r="T134" s="212"/>
      <c r="U134" s="212"/>
      <c r="V134" s="212"/>
      <c r="W134" s="212"/>
      <c r="X134" s="212"/>
      <c r="Y134" s="212"/>
      <c r="Z134" s="212"/>
      <c r="AA134" s="212"/>
      <c r="AB134" s="212"/>
    </row>
    <row r="135" spans="2:28">
      <c r="B135" s="212"/>
      <c r="C135" s="212"/>
      <c r="D135" s="212"/>
      <c r="E135" s="212"/>
      <c r="F135" s="212"/>
      <c r="G135" s="212"/>
      <c r="H135" s="212"/>
      <c r="I135" s="212"/>
      <c r="J135" s="212"/>
      <c r="K135" s="212"/>
      <c r="L135" s="212"/>
      <c r="M135" s="212"/>
      <c r="N135" s="212"/>
      <c r="O135" s="212"/>
      <c r="P135" s="212"/>
      <c r="Q135" s="212"/>
      <c r="R135" s="212"/>
      <c r="S135" s="212"/>
      <c r="T135" s="212"/>
      <c r="U135" s="212"/>
      <c r="V135" s="212"/>
      <c r="W135" s="212"/>
      <c r="X135" s="212"/>
      <c r="Y135" s="212"/>
      <c r="Z135" s="212"/>
      <c r="AA135" s="212"/>
      <c r="AB135" s="212"/>
    </row>
    <row r="136" spans="2:28">
      <c r="B136" s="212"/>
      <c r="C136" s="212"/>
      <c r="D136" s="212"/>
      <c r="E136" s="212"/>
      <c r="F136" s="212"/>
      <c r="G136" s="212"/>
      <c r="H136" s="212"/>
      <c r="I136" s="212"/>
      <c r="J136" s="212"/>
      <c r="K136" s="212"/>
      <c r="L136" s="212"/>
      <c r="M136" s="212"/>
      <c r="N136" s="212"/>
      <c r="O136" s="212"/>
      <c r="P136" s="212"/>
      <c r="Q136" s="212"/>
      <c r="R136" s="212"/>
      <c r="S136" s="212"/>
      <c r="T136" s="212"/>
      <c r="U136" s="212"/>
      <c r="V136" s="212"/>
      <c r="W136" s="212"/>
      <c r="X136" s="212"/>
      <c r="Y136" s="212"/>
      <c r="Z136" s="212"/>
      <c r="AA136" s="212"/>
      <c r="AB136" s="212"/>
    </row>
    <row r="137" spans="2:28">
      <c r="B137" s="212"/>
      <c r="C137" s="212"/>
      <c r="D137" s="212"/>
      <c r="E137" s="212"/>
      <c r="F137" s="212"/>
      <c r="G137" s="212"/>
      <c r="H137" s="212"/>
      <c r="I137" s="212"/>
      <c r="J137" s="212"/>
      <c r="K137" s="212"/>
      <c r="L137" s="212"/>
      <c r="M137" s="212"/>
      <c r="N137" s="212"/>
      <c r="O137" s="212"/>
      <c r="P137" s="212"/>
      <c r="Q137" s="212"/>
      <c r="R137" s="212"/>
      <c r="S137" s="212"/>
      <c r="T137" s="212"/>
      <c r="U137" s="212"/>
      <c r="V137" s="212"/>
      <c r="W137" s="212"/>
      <c r="X137" s="212"/>
      <c r="Y137" s="212"/>
      <c r="Z137" s="212"/>
      <c r="AA137" s="212"/>
      <c r="AB137" s="212"/>
    </row>
    <row r="138" spans="2:28">
      <c r="B138" s="212"/>
      <c r="C138" s="212"/>
      <c r="D138" s="212"/>
      <c r="E138" s="212"/>
      <c r="F138" s="212"/>
      <c r="G138" s="212"/>
      <c r="H138" s="212"/>
      <c r="I138" s="212"/>
      <c r="J138" s="212"/>
      <c r="K138" s="212"/>
      <c r="L138" s="212"/>
      <c r="M138" s="212"/>
      <c r="N138" s="212"/>
      <c r="O138" s="212"/>
      <c r="P138" s="212"/>
      <c r="Q138" s="212"/>
      <c r="R138" s="212"/>
      <c r="S138" s="212"/>
      <c r="T138" s="212"/>
      <c r="U138" s="212"/>
      <c r="V138" s="212"/>
      <c r="W138" s="212"/>
      <c r="X138" s="212"/>
      <c r="Y138" s="212"/>
      <c r="Z138" s="212"/>
      <c r="AA138" s="212"/>
      <c r="AB138" s="212"/>
    </row>
    <row r="139" spans="2:28">
      <c r="B139" s="212"/>
      <c r="C139" s="212"/>
      <c r="D139" s="212"/>
      <c r="E139" s="212"/>
      <c r="F139" s="212"/>
      <c r="G139" s="212"/>
      <c r="H139" s="212"/>
      <c r="I139" s="212"/>
      <c r="J139" s="212"/>
      <c r="K139" s="212"/>
      <c r="L139" s="212"/>
      <c r="M139" s="212"/>
      <c r="N139" s="212"/>
      <c r="O139" s="212"/>
      <c r="P139" s="212"/>
      <c r="Q139" s="212"/>
      <c r="R139" s="212"/>
      <c r="S139" s="212"/>
      <c r="T139" s="212"/>
      <c r="U139" s="212"/>
      <c r="V139" s="212"/>
      <c r="W139" s="212"/>
      <c r="X139" s="212"/>
      <c r="Y139" s="212"/>
      <c r="Z139" s="212"/>
      <c r="AA139" s="212"/>
      <c r="AB139" s="212"/>
    </row>
    <row r="140" spans="2:28">
      <c r="B140" s="212"/>
      <c r="C140" s="212"/>
      <c r="D140" s="212"/>
      <c r="E140" s="212"/>
      <c r="F140" s="212"/>
      <c r="G140" s="212"/>
      <c r="H140" s="212"/>
      <c r="I140" s="212"/>
      <c r="J140" s="212"/>
      <c r="K140" s="212"/>
      <c r="L140" s="212"/>
      <c r="M140" s="212"/>
      <c r="N140" s="212"/>
      <c r="O140" s="212"/>
      <c r="P140" s="212"/>
      <c r="Q140" s="212"/>
      <c r="R140" s="212"/>
      <c r="S140" s="212"/>
      <c r="T140" s="212"/>
      <c r="U140" s="212"/>
      <c r="V140" s="212"/>
      <c r="W140" s="212"/>
      <c r="X140" s="212"/>
      <c r="Y140" s="212"/>
      <c r="Z140" s="212"/>
      <c r="AA140" s="212"/>
      <c r="AB140" s="212"/>
    </row>
    <row r="141" spans="2:28">
      <c r="B141" s="212"/>
      <c r="C141" s="212"/>
      <c r="D141" s="212"/>
      <c r="E141" s="212"/>
      <c r="F141" s="212"/>
      <c r="G141" s="212"/>
      <c r="H141" s="212"/>
      <c r="I141" s="212"/>
      <c r="J141" s="212"/>
      <c r="K141" s="212"/>
      <c r="L141" s="212"/>
      <c r="M141" s="212"/>
      <c r="N141" s="212"/>
      <c r="O141" s="212"/>
      <c r="P141" s="212"/>
      <c r="Q141" s="212"/>
      <c r="R141" s="212"/>
      <c r="S141" s="212"/>
      <c r="T141" s="212"/>
      <c r="U141" s="212"/>
      <c r="V141" s="212"/>
      <c r="W141" s="212"/>
      <c r="X141" s="212"/>
      <c r="Y141" s="212"/>
      <c r="Z141" s="212"/>
      <c r="AA141" s="212"/>
      <c r="AB141" s="212"/>
    </row>
    <row r="142" spans="2:28">
      <c r="B142" s="212"/>
      <c r="C142" s="212"/>
      <c r="D142" s="212"/>
      <c r="E142" s="212"/>
      <c r="F142" s="212"/>
      <c r="G142" s="212"/>
      <c r="H142" s="212"/>
      <c r="I142" s="212"/>
      <c r="J142" s="212"/>
      <c r="K142" s="212"/>
      <c r="L142" s="212"/>
      <c r="M142" s="212"/>
      <c r="N142" s="212"/>
      <c r="O142" s="212"/>
      <c r="P142" s="212"/>
      <c r="Q142" s="212"/>
      <c r="R142" s="212"/>
      <c r="S142" s="212"/>
      <c r="T142" s="212"/>
      <c r="U142" s="212"/>
      <c r="V142" s="212"/>
      <c r="W142" s="212"/>
      <c r="X142" s="212"/>
      <c r="Y142" s="212"/>
      <c r="Z142" s="212"/>
      <c r="AA142" s="212"/>
      <c r="AB142" s="212"/>
    </row>
    <row r="143" spans="2:28">
      <c r="B143" s="212"/>
      <c r="C143" s="212"/>
      <c r="D143" s="212"/>
      <c r="E143" s="212"/>
      <c r="F143" s="212"/>
      <c r="G143" s="212"/>
      <c r="H143" s="212"/>
      <c r="I143" s="212"/>
      <c r="J143" s="212"/>
      <c r="K143" s="212"/>
      <c r="L143" s="212"/>
      <c r="M143" s="212"/>
      <c r="N143" s="212"/>
      <c r="O143" s="212"/>
      <c r="P143" s="212"/>
      <c r="Q143" s="212"/>
      <c r="R143" s="212"/>
      <c r="S143" s="212"/>
      <c r="T143" s="212"/>
      <c r="U143" s="212"/>
      <c r="V143" s="212"/>
      <c r="W143" s="212"/>
      <c r="X143" s="212"/>
      <c r="Y143" s="212"/>
      <c r="Z143" s="212"/>
      <c r="AA143" s="212"/>
      <c r="AB143" s="212"/>
    </row>
    <row r="144" spans="2:28">
      <c r="B144" s="212"/>
      <c r="C144" s="212"/>
      <c r="D144" s="212"/>
      <c r="E144" s="212"/>
      <c r="F144" s="212"/>
      <c r="G144" s="212"/>
      <c r="H144" s="212"/>
      <c r="I144" s="212"/>
      <c r="J144" s="212"/>
      <c r="K144" s="212"/>
      <c r="L144" s="216"/>
      <c r="M144" s="212"/>
      <c r="N144" s="212"/>
      <c r="O144" s="212"/>
      <c r="P144" s="212"/>
      <c r="Q144" s="212"/>
      <c r="R144" s="212"/>
      <c r="S144" s="212"/>
      <c r="T144" s="212"/>
      <c r="U144" s="212"/>
      <c r="V144" s="212"/>
      <c r="W144" s="212"/>
      <c r="X144" s="212"/>
      <c r="Y144" s="212"/>
      <c r="Z144" s="212"/>
      <c r="AA144" s="212"/>
      <c r="AB144" s="212"/>
    </row>
    <row r="145" spans="2:28">
      <c r="B145" s="212"/>
      <c r="C145" s="212"/>
      <c r="D145" s="212"/>
      <c r="E145" s="212"/>
      <c r="F145" s="212"/>
      <c r="G145" s="212"/>
      <c r="H145" s="212"/>
      <c r="I145" s="212"/>
      <c r="J145" s="212"/>
      <c r="K145" s="212"/>
      <c r="L145" s="216"/>
      <c r="M145" s="212"/>
      <c r="N145" s="212"/>
      <c r="O145" s="212"/>
      <c r="P145" s="212"/>
      <c r="Q145" s="212"/>
      <c r="R145" s="212"/>
      <c r="S145" s="212"/>
      <c r="T145" s="212"/>
      <c r="U145" s="212"/>
      <c r="V145" s="212"/>
      <c r="W145" s="212"/>
      <c r="X145" s="212"/>
      <c r="Y145" s="212"/>
      <c r="Z145" s="212"/>
      <c r="AA145" s="212"/>
      <c r="AB145" s="212"/>
    </row>
    <row r="146" spans="2:28">
      <c r="B146" s="212"/>
      <c r="C146" s="212"/>
      <c r="D146" s="212"/>
      <c r="E146" s="212"/>
      <c r="F146" s="212"/>
      <c r="G146" s="212"/>
      <c r="H146" s="212"/>
      <c r="I146" s="212"/>
      <c r="J146" s="212"/>
      <c r="K146" s="212"/>
      <c r="L146" s="212"/>
      <c r="M146" s="212"/>
      <c r="N146" s="212"/>
      <c r="O146" s="212"/>
      <c r="P146" s="212"/>
      <c r="Q146" s="212"/>
      <c r="R146" s="212"/>
      <c r="S146" s="212"/>
      <c r="T146" s="212"/>
      <c r="U146" s="212"/>
      <c r="V146" s="212"/>
      <c r="W146" s="212"/>
      <c r="X146" s="212"/>
      <c r="Y146" s="212"/>
      <c r="Z146" s="212"/>
      <c r="AA146" s="212"/>
      <c r="AB146" s="212"/>
    </row>
    <row r="147" spans="2:28">
      <c r="B147" s="212"/>
      <c r="C147" s="212"/>
      <c r="D147" s="212"/>
      <c r="E147" s="212"/>
      <c r="F147" s="212"/>
      <c r="G147" s="212"/>
      <c r="H147" s="212"/>
      <c r="I147" s="212"/>
      <c r="J147" s="212"/>
      <c r="K147" s="212"/>
      <c r="L147" s="217"/>
      <c r="M147" s="212"/>
      <c r="N147" s="212"/>
      <c r="O147" s="212"/>
      <c r="P147" s="212"/>
      <c r="Q147" s="212"/>
      <c r="R147" s="212"/>
      <c r="S147" s="212"/>
      <c r="T147" s="212"/>
      <c r="U147" s="212"/>
      <c r="V147" s="212"/>
      <c r="W147" s="212"/>
      <c r="X147" s="212"/>
      <c r="Y147" s="212"/>
      <c r="Z147" s="212"/>
      <c r="AA147" s="212"/>
      <c r="AB147" s="212"/>
    </row>
    <row r="148" spans="2:28">
      <c r="B148" s="212"/>
      <c r="C148" s="212"/>
      <c r="D148" s="212"/>
      <c r="E148" s="212"/>
      <c r="F148" s="212"/>
      <c r="G148" s="212"/>
      <c r="H148" s="212"/>
      <c r="I148" s="212"/>
      <c r="J148" s="212"/>
      <c r="K148" s="212"/>
      <c r="L148" s="212"/>
      <c r="M148" s="212"/>
      <c r="N148" s="212"/>
      <c r="O148" s="212"/>
      <c r="P148" s="212"/>
      <c r="Q148" s="212"/>
      <c r="R148" s="212"/>
      <c r="S148" s="212"/>
      <c r="T148" s="212"/>
      <c r="U148" s="212"/>
      <c r="V148" s="212"/>
      <c r="W148" s="212"/>
      <c r="X148" s="212"/>
      <c r="Y148" s="212"/>
      <c r="Z148" s="212"/>
      <c r="AA148" s="212"/>
      <c r="AB148" s="212"/>
    </row>
    <row r="149" spans="2:28">
      <c r="B149" s="212"/>
      <c r="C149" s="212"/>
      <c r="D149" s="212"/>
      <c r="E149" s="212"/>
      <c r="F149" s="212"/>
      <c r="G149" s="212"/>
      <c r="H149" s="212"/>
      <c r="I149" s="212"/>
      <c r="J149" s="212"/>
      <c r="K149" s="212"/>
      <c r="L149" s="212"/>
      <c r="M149" s="212"/>
      <c r="N149" s="212"/>
      <c r="O149" s="212"/>
      <c r="P149" s="212"/>
      <c r="Q149" s="212"/>
      <c r="R149" s="212"/>
      <c r="S149" s="212"/>
      <c r="T149" s="212"/>
      <c r="U149" s="212"/>
      <c r="V149" s="212"/>
      <c r="W149" s="212"/>
      <c r="X149" s="212"/>
      <c r="Y149" s="212"/>
      <c r="Z149" s="212"/>
      <c r="AA149" s="212"/>
      <c r="AB149" s="212"/>
    </row>
    <row r="150" spans="2:28">
      <c r="B150" s="212"/>
      <c r="C150" s="212"/>
      <c r="D150" s="212"/>
      <c r="E150" s="212"/>
      <c r="F150" s="212"/>
      <c r="G150" s="212"/>
      <c r="H150" s="212"/>
      <c r="I150" s="212"/>
      <c r="J150" s="212"/>
      <c r="K150" s="212"/>
      <c r="L150" s="212"/>
      <c r="M150" s="212"/>
      <c r="N150" s="212"/>
      <c r="O150" s="212"/>
      <c r="P150" s="212"/>
      <c r="Q150" s="212"/>
      <c r="R150" s="212"/>
      <c r="S150" s="212"/>
      <c r="T150" s="212"/>
      <c r="U150" s="212"/>
      <c r="V150" s="212"/>
      <c r="W150" s="212"/>
      <c r="X150" s="212"/>
      <c r="Y150" s="212"/>
      <c r="Z150" s="212"/>
      <c r="AA150" s="212"/>
      <c r="AB150" s="212"/>
    </row>
    <row r="151" spans="2:28">
      <c r="B151" s="212"/>
      <c r="C151" s="212"/>
      <c r="D151" s="212"/>
      <c r="E151" s="212"/>
      <c r="F151" s="212"/>
      <c r="G151" s="212"/>
      <c r="H151" s="212"/>
      <c r="I151" s="212"/>
      <c r="J151" s="212"/>
      <c r="K151" s="212"/>
      <c r="L151" s="212"/>
      <c r="M151" s="212"/>
      <c r="N151" s="212"/>
      <c r="O151" s="212"/>
      <c r="P151" s="212"/>
      <c r="Q151" s="212"/>
      <c r="R151" s="212"/>
      <c r="S151" s="212"/>
      <c r="T151" s="212"/>
      <c r="U151" s="212"/>
      <c r="V151" s="212"/>
      <c r="W151" s="212"/>
      <c r="X151" s="212"/>
      <c r="Y151" s="212"/>
      <c r="Z151" s="212"/>
      <c r="AA151" s="212"/>
      <c r="AB151" s="212"/>
    </row>
    <row r="152" spans="2:28">
      <c r="B152" s="212"/>
      <c r="C152" s="212"/>
      <c r="D152" s="212"/>
      <c r="E152" s="212"/>
      <c r="F152" s="212"/>
      <c r="G152" s="212"/>
      <c r="H152" s="212"/>
      <c r="I152" s="212"/>
      <c r="J152" s="212"/>
      <c r="K152" s="212"/>
      <c r="L152" s="212"/>
      <c r="M152" s="212"/>
      <c r="N152" s="212"/>
      <c r="O152" s="212"/>
      <c r="P152" s="212"/>
      <c r="Q152" s="212"/>
      <c r="R152" s="212"/>
      <c r="S152" s="212"/>
      <c r="T152" s="212"/>
      <c r="U152" s="212"/>
      <c r="V152" s="212"/>
      <c r="W152" s="212"/>
      <c r="X152" s="212"/>
      <c r="Y152" s="212"/>
      <c r="Z152" s="212"/>
      <c r="AA152" s="212"/>
      <c r="AB152" s="212"/>
    </row>
    <row r="153" spans="2:28">
      <c r="B153" s="212"/>
      <c r="C153" s="212"/>
      <c r="D153" s="212"/>
      <c r="E153" s="212"/>
      <c r="F153" s="212"/>
      <c r="G153" s="212"/>
      <c r="H153" s="212"/>
      <c r="I153" s="212"/>
      <c r="J153" s="212"/>
      <c r="K153" s="212"/>
      <c r="L153" s="212"/>
      <c r="M153" s="212"/>
      <c r="N153" s="212"/>
      <c r="O153" s="212"/>
      <c r="P153" s="212"/>
      <c r="Q153" s="212"/>
      <c r="R153" s="212"/>
      <c r="S153" s="212"/>
      <c r="T153" s="212"/>
      <c r="U153" s="212"/>
      <c r="V153" s="212"/>
      <c r="W153" s="212"/>
      <c r="X153" s="212"/>
      <c r="Y153" s="212"/>
      <c r="Z153" s="212"/>
      <c r="AA153" s="212"/>
      <c r="AB153" s="212"/>
    </row>
    <row r="154" spans="2:28">
      <c r="B154" s="212"/>
      <c r="C154" s="212"/>
      <c r="D154" s="212"/>
      <c r="E154" s="212"/>
      <c r="F154" s="212"/>
      <c r="G154" s="212"/>
      <c r="H154" s="212"/>
      <c r="I154" s="212"/>
      <c r="J154" s="212"/>
      <c r="K154" s="212"/>
      <c r="L154" s="212"/>
      <c r="M154" s="212"/>
      <c r="N154" s="212"/>
      <c r="O154" s="212"/>
      <c r="P154" s="212"/>
      <c r="Q154" s="212"/>
      <c r="R154" s="212"/>
      <c r="S154" s="212"/>
      <c r="T154" s="212"/>
      <c r="U154" s="212"/>
      <c r="V154" s="212"/>
      <c r="W154" s="212"/>
      <c r="X154" s="212"/>
      <c r="Y154" s="212"/>
      <c r="Z154" s="212"/>
      <c r="AA154" s="212"/>
      <c r="AB154" s="212"/>
    </row>
    <row r="155" spans="2:28">
      <c r="B155" s="212"/>
      <c r="C155" s="212"/>
      <c r="D155" s="212"/>
      <c r="E155" s="212"/>
      <c r="F155" s="212"/>
      <c r="G155" s="212"/>
      <c r="H155" s="212"/>
      <c r="I155" s="212"/>
      <c r="J155" s="212"/>
      <c r="K155" s="212"/>
      <c r="L155" s="212"/>
      <c r="M155" s="212"/>
      <c r="N155" s="212"/>
      <c r="O155" s="212"/>
      <c r="P155" s="212"/>
      <c r="Q155" s="212"/>
      <c r="R155" s="212"/>
      <c r="S155" s="212"/>
      <c r="T155" s="212"/>
      <c r="U155" s="212"/>
      <c r="V155" s="212"/>
      <c r="W155" s="212"/>
      <c r="X155" s="212"/>
      <c r="Y155" s="212"/>
      <c r="Z155" s="212"/>
      <c r="AA155" s="212"/>
      <c r="AB155" s="212"/>
    </row>
    <row r="158" spans="2:28">
      <c r="B158" s="212"/>
      <c r="C158" s="212"/>
      <c r="D158" s="212"/>
      <c r="E158" s="212"/>
      <c r="F158" s="212"/>
      <c r="G158" s="212"/>
      <c r="H158" s="212"/>
      <c r="I158" s="212"/>
      <c r="J158" s="212"/>
      <c r="K158" s="212"/>
      <c r="L158" s="212"/>
      <c r="M158" s="212"/>
      <c r="N158" s="212"/>
      <c r="O158" s="212"/>
      <c r="P158" s="212"/>
      <c r="Q158" s="212"/>
      <c r="R158" s="212"/>
      <c r="S158" s="212"/>
      <c r="T158" s="212"/>
      <c r="U158" s="212"/>
      <c r="V158" s="212"/>
      <c r="W158" s="212"/>
      <c r="X158" s="212"/>
      <c r="Y158" s="212"/>
      <c r="Z158" s="212"/>
      <c r="AA158" s="212"/>
      <c r="AB158" s="212"/>
    </row>
    <row r="159" spans="2:28">
      <c r="B159" s="212"/>
      <c r="C159" s="212"/>
      <c r="D159" s="212"/>
      <c r="E159" s="212"/>
      <c r="F159" s="212"/>
      <c r="G159" s="212"/>
      <c r="H159" s="212"/>
      <c r="I159" s="212"/>
      <c r="J159" s="212"/>
      <c r="K159" s="212"/>
      <c r="L159" s="212"/>
      <c r="M159" s="212"/>
      <c r="N159" s="212"/>
      <c r="O159" s="212"/>
      <c r="P159" s="212"/>
      <c r="Q159" s="212"/>
      <c r="R159" s="212"/>
      <c r="S159" s="212"/>
      <c r="T159" s="212"/>
      <c r="U159" s="212"/>
      <c r="V159" s="212"/>
      <c r="W159" s="212"/>
      <c r="X159" s="212"/>
      <c r="Y159" s="212"/>
      <c r="Z159" s="212"/>
      <c r="AA159" s="212"/>
      <c r="AB159" s="212"/>
    </row>
    <row r="160" spans="2:28">
      <c r="B160" s="212"/>
      <c r="C160" s="212"/>
      <c r="D160" s="212"/>
      <c r="E160" s="212"/>
      <c r="F160" s="212"/>
      <c r="G160" s="212"/>
      <c r="H160" s="212"/>
      <c r="I160" s="212"/>
      <c r="J160" s="212"/>
      <c r="K160" s="212"/>
      <c r="L160" s="212"/>
      <c r="M160" s="212"/>
      <c r="N160" s="212"/>
      <c r="O160" s="212"/>
      <c r="P160" s="212"/>
      <c r="Q160" s="212"/>
      <c r="R160" s="212"/>
      <c r="S160" s="212"/>
      <c r="T160" s="212"/>
      <c r="U160" s="212"/>
      <c r="V160" s="212"/>
      <c r="W160" s="212"/>
      <c r="X160" s="212"/>
      <c r="Y160" s="212"/>
      <c r="Z160" s="212"/>
      <c r="AA160" s="212"/>
      <c r="AB160" s="212"/>
    </row>
    <row r="161" spans="2:28">
      <c r="B161" s="212"/>
      <c r="C161" s="212"/>
      <c r="D161" s="212"/>
      <c r="E161" s="212"/>
      <c r="F161" s="212"/>
      <c r="G161" s="212"/>
      <c r="H161" s="212"/>
      <c r="I161" s="212"/>
      <c r="J161" s="212"/>
      <c r="K161" s="212"/>
      <c r="L161" s="212"/>
      <c r="M161" s="212"/>
      <c r="N161" s="212"/>
      <c r="O161" s="212"/>
      <c r="P161" s="212"/>
      <c r="Q161" s="212"/>
      <c r="R161" s="212"/>
      <c r="S161" s="212"/>
      <c r="T161" s="212"/>
      <c r="U161" s="212"/>
      <c r="V161" s="212"/>
      <c r="W161" s="212"/>
      <c r="X161" s="212"/>
      <c r="Y161" s="212"/>
      <c r="Z161" s="212"/>
      <c r="AA161" s="212"/>
      <c r="AB161" s="212"/>
    </row>
    <row r="162" spans="2:28">
      <c r="B162" s="212"/>
      <c r="C162" s="212"/>
      <c r="D162" s="212"/>
      <c r="E162" s="212"/>
      <c r="F162" s="212"/>
      <c r="G162" s="212"/>
      <c r="H162" s="212"/>
      <c r="I162" s="212"/>
      <c r="J162" s="212"/>
      <c r="K162" s="212"/>
      <c r="L162" s="212"/>
      <c r="M162" s="212"/>
      <c r="N162" s="212"/>
      <c r="O162" s="212"/>
      <c r="P162" s="212"/>
      <c r="Q162" s="212"/>
      <c r="R162" s="212"/>
      <c r="S162" s="212"/>
      <c r="T162" s="212"/>
      <c r="U162" s="212"/>
      <c r="V162" s="212"/>
      <c r="W162" s="212"/>
      <c r="X162" s="212"/>
      <c r="Y162" s="212"/>
      <c r="Z162" s="212"/>
      <c r="AA162" s="212"/>
      <c r="AB162" s="212"/>
    </row>
    <row r="163" spans="2:28">
      <c r="B163" s="212"/>
      <c r="C163" s="212"/>
      <c r="D163" s="212"/>
      <c r="E163" s="212"/>
      <c r="F163" s="212"/>
      <c r="G163" s="212"/>
      <c r="H163" s="212"/>
      <c r="I163" s="212"/>
      <c r="J163" s="212"/>
      <c r="K163" s="212"/>
      <c r="L163" s="212"/>
      <c r="M163" s="212"/>
      <c r="N163" s="212"/>
      <c r="O163" s="212"/>
      <c r="P163" s="212"/>
      <c r="Q163" s="212"/>
      <c r="R163" s="212"/>
      <c r="S163" s="212"/>
      <c r="T163" s="212"/>
      <c r="U163" s="212"/>
      <c r="V163" s="212"/>
      <c r="W163" s="212"/>
      <c r="X163" s="212"/>
      <c r="Y163" s="212"/>
      <c r="Z163" s="212"/>
      <c r="AA163" s="212"/>
      <c r="AB163" s="212"/>
    </row>
    <row r="164" spans="2:28">
      <c r="B164" s="212"/>
      <c r="C164" s="212"/>
      <c r="D164" s="212"/>
      <c r="E164" s="212"/>
      <c r="F164" s="212"/>
      <c r="G164" s="212"/>
      <c r="H164" s="212"/>
      <c r="I164" s="212"/>
      <c r="J164" s="212"/>
      <c r="K164" s="212"/>
      <c r="L164" s="212"/>
      <c r="M164" s="212"/>
      <c r="N164" s="212"/>
      <c r="O164" s="212"/>
      <c r="P164" s="212"/>
      <c r="Q164" s="212"/>
      <c r="R164" s="212"/>
      <c r="S164" s="212"/>
      <c r="T164" s="212"/>
      <c r="U164" s="212"/>
      <c r="V164" s="212"/>
      <c r="W164" s="212"/>
      <c r="X164" s="212"/>
      <c r="Y164" s="212"/>
      <c r="Z164" s="212"/>
      <c r="AA164" s="212"/>
      <c r="AB164" s="212"/>
    </row>
    <row r="165" spans="2:28">
      <c r="B165" s="212"/>
      <c r="C165" s="212"/>
      <c r="D165" s="212"/>
      <c r="E165" s="212"/>
      <c r="F165" s="212"/>
      <c r="G165" s="212"/>
      <c r="H165" s="212"/>
      <c r="I165" s="212"/>
      <c r="J165" s="212"/>
      <c r="K165" s="212"/>
      <c r="L165" s="212"/>
      <c r="M165" s="212"/>
      <c r="N165" s="212"/>
      <c r="O165" s="212"/>
      <c r="P165" s="212"/>
      <c r="Q165" s="212"/>
      <c r="R165" s="212"/>
      <c r="S165" s="212"/>
      <c r="T165" s="212"/>
      <c r="U165" s="212"/>
      <c r="V165" s="212"/>
      <c r="W165" s="212"/>
      <c r="X165" s="212"/>
      <c r="Y165" s="212"/>
      <c r="Z165" s="212"/>
      <c r="AA165" s="212"/>
      <c r="AB165" s="212"/>
    </row>
    <row r="166" spans="2:28">
      <c r="B166" s="212"/>
      <c r="C166" s="212"/>
      <c r="D166" s="212"/>
      <c r="E166" s="212"/>
      <c r="F166" s="212"/>
      <c r="G166" s="212"/>
      <c r="H166" s="212"/>
      <c r="I166" s="212"/>
      <c r="J166" s="212"/>
      <c r="K166" s="212"/>
      <c r="L166" s="212"/>
      <c r="M166" s="212"/>
      <c r="N166" s="212"/>
      <c r="O166" s="212"/>
      <c r="P166" s="212"/>
      <c r="Q166" s="212"/>
      <c r="R166" s="212"/>
      <c r="S166" s="212"/>
      <c r="T166" s="212"/>
      <c r="U166" s="212"/>
      <c r="V166" s="212"/>
      <c r="W166" s="212"/>
      <c r="X166" s="212"/>
      <c r="Y166" s="212"/>
      <c r="Z166" s="212"/>
      <c r="AA166" s="212"/>
      <c r="AB166" s="212"/>
    </row>
    <row r="167" spans="2:28">
      <c r="B167" s="212"/>
      <c r="C167" s="212"/>
      <c r="D167" s="212"/>
      <c r="E167" s="212"/>
      <c r="F167" s="212"/>
      <c r="G167" s="212"/>
      <c r="H167" s="212"/>
      <c r="I167" s="212"/>
      <c r="J167" s="212"/>
      <c r="K167" s="212"/>
      <c r="L167" s="212"/>
      <c r="M167" s="212"/>
      <c r="N167" s="212"/>
      <c r="O167" s="212"/>
      <c r="P167" s="212"/>
      <c r="Q167" s="212"/>
      <c r="R167" s="212"/>
      <c r="S167" s="212"/>
      <c r="T167" s="212"/>
      <c r="U167" s="212"/>
      <c r="V167" s="212"/>
      <c r="W167" s="212"/>
      <c r="X167" s="212"/>
      <c r="Y167" s="212"/>
      <c r="Z167" s="212"/>
      <c r="AA167" s="212"/>
      <c r="AB167" s="212"/>
    </row>
    <row r="168" spans="2:28">
      <c r="B168" s="212"/>
      <c r="C168" s="212"/>
      <c r="D168" s="212"/>
      <c r="E168" s="212"/>
      <c r="F168" s="212"/>
      <c r="G168" s="212"/>
      <c r="H168" s="212"/>
      <c r="I168" s="212"/>
      <c r="J168" s="212"/>
      <c r="K168" s="212"/>
      <c r="L168" s="212"/>
      <c r="M168" s="212"/>
      <c r="N168" s="212"/>
      <c r="O168" s="212"/>
      <c r="P168" s="212"/>
      <c r="Q168" s="212"/>
      <c r="R168" s="212"/>
      <c r="S168" s="212"/>
      <c r="T168" s="212"/>
      <c r="U168" s="212"/>
      <c r="V168" s="212"/>
      <c r="W168" s="212"/>
      <c r="X168" s="212"/>
      <c r="Y168" s="212"/>
      <c r="Z168" s="212"/>
      <c r="AA168" s="212"/>
      <c r="AB168" s="212"/>
    </row>
    <row r="169" spans="2:28">
      <c r="B169" s="212"/>
      <c r="C169" s="212"/>
      <c r="D169" s="212"/>
      <c r="E169" s="212"/>
      <c r="F169" s="212"/>
      <c r="G169" s="212"/>
      <c r="H169" s="212"/>
      <c r="I169" s="212"/>
      <c r="J169" s="212"/>
      <c r="K169" s="212"/>
      <c r="L169" s="212"/>
      <c r="M169" s="212"/>
      <c r="N169" s="212"/>
      <c r="O169" s="212"/>
      <c r="P169" s="212"/>
      <c r="Q169" s="212"/>
      <c r="R169" s="212"/>
      <c r="S169" s="212"/>
      <c r="T169" s="212"/>
      <c r="U169" s="212"/>
      <c r="V169" s="212"/>
      <c r="W169" s="212"/>
      <c r="X169" s="212"/>
      <c r="Y169" s="212"/>
      <c r="Z169" s="212"/>
      <c r="AA169" s="212"/>
      <c r="AB169" s="212"/>
    </row>
    <row r="170" spans="2:28">
      <c r="B170" s="212"/>
      <c r="C170" s="212"/>
      <c r="D170" s="212"/>
      <c r="E170" s="212"/>
      <c r="F170" s="212"/>
      <c r="G170" s="212"/>
      <c r="H170" s="212"/>
      <c r="I170" s="212"/>
      <c r="J170" s="212"/>
      <c r="K170" s="212"/>
      <c r="L170" s="212"/>
      <c r="M170" s="212"/>
      <c r="N170" s="212"/>
      <c r="O170" s="212"/>
      <c r="P170" s="212"/>
      <c r="Q170" s="212"/>
      <c r="R170" s="212"/>
      <c r="S170" s="212"/>
      <c r="T170" s="212"/>
      <c r="U170" s="212"/>
      <c r="V170" s="212"/>
      <c r="W170" s="212"/>
      <c r="X170" s="212"/>
      <c r="Y170" s="212"/>
      <c r="Z170" s="212"/>
      <c r="AA170" s="212"/>
      <c r="AB170" s="212"/>
    </row>
    <row r="171" spans="2:28">
      <c r="B171" s="212"/>
      <c r="C171" s="212"/>
      <c r="D171" s="212"/>
      <c r="E171" s="212"/>
      <c r="F171" s="212"/>
      <c r="G171" s="212"/>
      <c r="H171" s="212"/>
      <c r="I171" s="212"/>
      <c r="J171" s="212"/>
      <c r="K171" s="212"/>
      <c r="L171" s="212"/>
      <c r="M171" s="212"/>
      <c r="N171" s="212"/>
      <c r="O171" s="212"/>
      <c r="P171" s="212"/>
      <c r="Q171" s="212"/>
      <c r="R171" s="212"/>
      <c r="S171" s="212"/>
      <c r="T171" s="212"/>
      <c r="U171" s="212"/>
      <c r="V171" s="212"/>
      <c r="W171" s="212"/>
      <c r="X171" s="212"/>
      <c r="Y171" s="212"/>
      <c r="Z171" s="212"/>
      <c r="AA171" s="212"/>
      <c r="AB171" s="212"/>
    </row>
    <row r="172" spans="2:28">
      <c r="B172" s="212"/>
      <c r="C172" s="212"/>
      <c r="D172" s="212"/>
      <c r="E172" s="212"/>
      <c r="F172" s="212"/>
      <c r="G172" s="212"/>
      <c r="H172" s="212"/>
      <c r="I172" s="212"/>
      <c r="J172" s="212"/>
      <c r="K172" s="212"/>
      <c r="L172" s="212"/>
      <c r="M172" s="212"/>
      <c r="N172" s="212"/>
      <c r="O172" s="212"/>
      <c r="P172" s="212"/>
      <c r="Q172" s="212"/>
      <c r="R172" s="212"/>
      <c r="S172" s="212"/>
      <c r="T172" s="212"/>
      <c r="U172" s="212"/>
      <c r="V172" s="212"/>
      <c r="W172" s="212"/>
      <c r="X172" s="212"/>
      <c r="Y172" s="212"/>
      <c r="Z172" s="212"/>
      <c r="AA172" s="212"/>
      <c r="AB172" s="212"/>
    </row>
    <row r="173" spans="2:28">
      <c r="B173" s="212"/>
      <c r="C173" s="212"/>
      <c r="D173" s="212"/>
      <c r="E173" s="212"/>
      <c r="F173" s="212"/>
      <c r="G173" s="212"/>
      <c r="H173" s="212"/>
      <c r="I173" s="212"/>
      <c r="J173" s="212"/>
      <c r="K173" s="212"/>
      <c r="L173" s="212"/>
      <c r="M173" s="212"/>
      <c r="N173" s="212"/>
      <c r="O173" s="212"/>
      <c r="P173" s="212"/>
      <c r="Q173" s="212"/>
      <c r="R173" s="212"/>
      <c r="S173" s="212"/>
      <c r="T173" s="212"/>
      <c r="U173" s="212"/>
      <c r="V173" s="212"/>
      <c r="W173" s="212"/>
      <c r="X173" s="212"/>
      <c r="Y173" s="212"/>
      <c r="Z173" s="212"/>
      <c r="AA173" s="212"/>
      <c r="AB173" s="212"/>
    </row>
    <row r="174" spans="2:28">
      <c r="B174" s="212"/>
      <c r="C174" s="212"/>
      <c r="D174" s="212"/>
      <c r="E174" s="212"/>
      <c r="F174" s="212"/>
      <c r="G174" s="212"/>
      <c r="H174" s="212"/>
      <c r="I174" s="212"/>
      <c r="J174" s="212"/>
      <c r="K174" s="212"/>
      <c r="L174" s="212"/>
      <c r="M174" s="212"/>
      <c r="N174" s="212"/>
      <c r="O174" s="212"/>
      <c r="P174" s="212"/>
      <c r="Q174" s="212"/>
      <c r="R174" s="212"/>
      <c r="S174" s="212"/>
      <c r="T174" s="212"/>
      <c r="U174" s="212"/>
      <c r="V174" s="212"/>
      <c r="W174" s="212"/>
      <c r="X174" s="212"/>
      <c r="Y174" s="212"/>
      <c r="Z174" s="212"/>
      <c r="AA174" s="212"/>
      <c r="AB174" s="212"/>
    </row>
    <row r="175" spans="2:28">
      <c r="B175" s="212"/>
      <c r="C175" s="212"/>
      <c r="D175" s="212"/>
      <c r="E175" s="212"/>
      <c r="F175" s="212"/>
      <c r="G175" s="212"/>
      <c r="H175" s="212"/>
      <c r="I175" s="212"/>
      <c r="J175" s="212"/>
      <c r="K175" s="212"/>
      <c r="L175" s="212"/>
      <c r="M175" s="212"/>
      <c r="N175" s="212"/>
      <c r="O175" s="212"/>
      <c r="P175" s="212"/>
      <c r="Q175" s="212"/>
      <c r="R175" s="212"/>
      <c r="S175" s="212"/>
      <c r="T175" s="212"/>
      <c r="U175" s="212"/>
      <c r="V175" s="212"/>
      <c r="W175" s="212"/>
      <c r="X175" s="212"/>
      <c r="Y175" s="212"/>
      <c r="Z175" s="212"/>
      <c r="AA175" s="212"/>
      <c r="AB175" s="212"/>
    </row>
    <row r="176" spans="2:28">
      <c r="B176" s="212"/>
      <c r="C176" s="212"/>
      <c r="D176" s="212"/>
      <c r="E176" s="212"/>
      <c r="F176" s="212"/>
      <c r="G176" s="212"/>
      <c r="H176" s="212"/>
      <c r="I176" s="212"/>
      <c r="J176" s="212"/>
      <c r="K176" s="212"/>
      <c r="L176" s="212"/>
      <c r="M176" s="212"/>
      <c r="N176" s="212"/>
      <c r="O176" s="212"/>
      <c r="P176" s="212"/>
      <c r="Q176" s="212"/>
      <c r="R176" s="212"/>
      <c r="S176" s="212"/>
      <c r="T176" s="212"/>
      <c r="U176" s="212"/>
      <c r="V176" s="212"/>
      <c r="W176" s="212"/>
      <c r="X176" s="212"/>
      <c r="Y176" s="212"/>
      <c r="Z176" s="212"/>
      <c r="AA176" s="212"/>
      <c r="AB176" s="212"/>
    </row>
    <row r="177" spans="2:28">
      <c r="B177" s="212"/>
      <c r="C177" s="212"/>
      <c r="D177" s="212"/>
      <c r="E177" s="212"/>
      <c r="F177" s="212"/>
      <c r="G177" s="212"/>
      <c r="H177" s="212"/>
      <c r="I177" s="212"/>
      <c r="J177" s="212"/>
      <c r="K177" s="212"/>
      <c r="L177" s="212"/>
      <c r="M177" s="212"/>
      <c r="N177" s="212"/>
      <c r="O177" s="212"/>
      <c r="P177" s="212"/>
      <c r="Q177" s="212"/>
      <c r="R177" s="212"/>
      <c r="S177" s="212"/>
      <c r="T177" s="212"/>
      <c r="U177" s="212"/>
      <c r="V177" s="212"/>
      <c r="W177" s="212"/>
      <c r="X177" s="212"/>
      <c r="Y177" s="212"/>
      <c r="Z177" s="212"/>
      <c r="AA177" s="212"/>
      <c r="AB177" s="212"/>
    </row>
    <row r="180" spans="2:28">
      <c r="B180" s="212"/>
      <c r="C180" s="212"/>
      <c r="D180" s="212"/>
      <c r="E180" s="212"/>
      <c r="F180" s="212"/>
      <c r="G180" s="212"/>
      <c r="H180" s="212"/>
      <c r="I180" s="212"/>
      <c r="J180" s="212"/>
      <c r="K180" s="212"/>
      <c r="L180" s="212"/>
      <c r="M180" s="212"/>
      <c r="N180" s="212"/>
      <c r="O180" s="212"/>
      <c r="P180" s="212"/>
      <c r="Q180" s="212"/>
      <c r="R180" s="212"/>
      <c r="S180" s="212"/>
      <c r="T180" s="212"/>
      <c r="U180" s="212"/>
      <c r="V180" s="212"/>
      <c r="W180" s="212"/>
      <c r="X180" s="212"/>
      <c r="Y180" s="212"/>
      <c r="Z180" s="212"/>
      <c r="AA180" s="212"/>
      <c r="AB180" s="212"/>
    </row>
    <row r="181" spans="2:28">
      <c r="B181" s="212"/>
      <c r="C181" s="212"/>
      <c r="D181" s="212"/>
      <c r="E181" s="212"/>
      <c r="F181" s="212"/>
      <c r="G181" s="212"/>
      <c r="H181" s="212"/>
      <c r="I181" s="212"/>
      <c r="J181" s="212"/>
      <c r="K181" s="212"/>
      <c r="L181" s="212"/>
      <c r="M181" s="212"/>
      <c r="N181" s="212"/>
      <c r="O181" s="212"/>
      <c r="P181" s="212"/>
      <c r="Q181" s="212"/>
      <c r="R181" s="212"/>
      <c r="S181" s="212"/>
      <c r="T181" s="212"/>
      <c r="U181" s="212"/>
      <c r="V181" s="212"/>
      <c r="W181" s="212"/>
      <c r="X181" s="212"/>
      <c r="Y181" s="212"/>
      <c r="Z181" s="212"/>
      <c r="AA181" s="212"/>
      <c r="AB181" s="212"/>
    </row>
    <row r="182" spans="2:28">
      <c r="B182" s="212"/>
      <c r="C182" s="212"/>
      <c r="D182" s="212"/>
      <c r="E182" s="212"/>
      <c r="F182" s="212"/>
      <c r="G182" s="212"/>
      <c r="H182" s="212"/>
      <c r="I182" s="212"/>
      <c r="J182" s="212"/>
      <c r="K182" s="212"/>
      <c r="L182" s="212"/>
      <c r="M182" s="212"/>
      <c r="N182" s="212"/>
      <c r="O182" s="212"/>
      <c r="P182" s="212"/>
      <c r="Q182" s="212"/>
      <c r="R182" s="212"/>
      <c r="S182" s="212"/>
      <c r="T182" s="212"/>
      <c r="U182" s="212"/>
      <c r="V182" s="212"/>
      <c r="W182" s="212"/>
      <c r="X182" s="212"/>
      <c r="Y182" s="212"/>
      <c r="Z182" s="212"/>
      <c r="AA182" s="212"/>
      <c r="AB182" s="212"/>
    </row>
    <row r="183" spans="2:28">
      <c r="B183" s="212"/>
      <c r="C183" s="212"/>
      <c r="D183" s="212"/>
      <c r="E183" s="212"/>
      <c r="F183" s="212"/>
      <c r="G183" s="212"/>
      <c r="H183" s="212"/>
      <c r="I183" s="212"/>
      <c r="J183" s="212"/>
      <c r="K183" s="212"/>
      <c r="L183" s="212"/>
      <c r="M183" s="212"/>
      <c r="N183" s="212"/>
      <c r="O183" s="212"/>
      <c r="P183" s="212"/>
      <c r="Q183" s="212"/>
      <c r="R183" s="212"/>
      <c r="S183" s="212"/>
      <c r="T183" s="212"/>
      <c r="U183" s="212"/>
      <c r="V183" s="212"/>
      <c r="W183" s="212"/>
      <c r="X183" s="212"/>
      <c r="Y183" s="212"/>
      <c r="Z183" s="212"/>
      <c r="AA183" s="212"/>
      <c r="AB183" s="212"/>
    </row>
    <row r="184" spans="2:28">
      <c r="B184" s="212"/>
      <c r="C184" s="212"/>
      <c r="D184" s="212"/>
      <c r="E184" s="212"/>
      <c r="F184" s="212"/>
      <c r="G184" s="212"/>
      <c r="H184" s="212"/>
      <c r="I184" s="212"/>
      <c r="J184" s="212"/>
      <c r="K184" s="212"/>
      <c r="L184" s="212"/>
      <c r="M184" s="212"/>
      <c r="N184" s="212"/>
      <c r="O184" s="212"/>
      <c r="P184" s="212"/>
      <c r="Q184" s="212"/>
      <c r="R184" s="212"/>
      <c r="S184" s="212"/>
      <c r="T184" s="212"/>
      <c r="U184" s="212"/>
      <c r="V184" s="212"/>
      <c r="W184" s="212"/>
      <c r="X184" s="212"/>
      <c r="Y184" s="212"/>
      <c r="Z184" s="212"/>
      <c r="AA184" s="212"/>
      <c r="AB184" s="212"/>
    </row>
    <row r="185" spans="2:28">
      <c r="B185" s="212"/>
      <c r="C185" s="212"/>
      <c r="D185" s="212"/>
      <c r="E185" s="212"/>
      <c r="F185" s="212"/>
      <c r="G185" s="212"/>
      <c r="H185" s="212"/>
      <c r="I185" s="212"/>
      <c r="J185" s="212"/>
      <c r="K185" s="212"/>
      <c r="L185" s="212"/>
      <c r="M185" s="212"/>
      <c r="N185" s="212"/>
      <c r="O185" s="212"/>
      <c r="P185" s="212"/>
      <c r="Q185" s="212"/>
      <c r="R185" s="212"/>
      <c r="S185" s="212"/>
      <c r="T185" s="212"/>
      <c r="U185" s="212"/>
      <c r="V185" s="212"/>
      <c r="W185" s="212"/>
      <c r="X185" s="212"/>
      <c r="Y185" s="212"/>
      <c r="Z185" s="212"/>
      <c r="AA185" s="212"/>
      <c r="AB185" s="212"/>
    </row>
    <row r="186" spans="2:28">
      <c r="B186" s="212"/>
      <c r="C186" s="212"/>
      <c r="D186" s="212"/>
      <c r="E186" s="212"/>
      <c r="F186" s="212"/>
      <c r="G186" s="212"/>
      <c r="H186" s="212"/>
      <c r="I186" s="212"/>
      <c r="J186" s="212"/>
      <c r="K186" s="212"/>
      <c r="L186" s="212"/>
      <c r="M186" s="212"/>
      <c r="N186" s="212"/>
      <c r="O186" s="212"/>
      <c r="P186" s="212"/>
      <c r="Q186" s="212"/>
      <c r="R186" s="212"/>
      <c r="S186" s="212"/>
      <c r="T186" s="212"/>
      <c r="U186" s="212"/>
      <c r="V186" s="212"/>
      <c r="W186" s="212"/>
      <c r="X186" s="212"/>
      <c r="Y186" s="212"/>
      <c r="Z186" s="212"/>
      <c r="AA186" s="212"/>
      <c r="AB186" s="212"/>
    </row>
    <row r="187" spans="2:28">
      <c r="B187" s="212"/>
      <c r="C187" s="212"/>
      <c r="D187" s="212"/>
      <c r="E187" s="212"/>
      <c r="F187" s="212"/>
      <c r="G187" s="212"/>
      <c r="H187" s="212"/>
      <c r="I187" s="212"/>
      <c r="J187" s="212"/>
      <c r="K187" s="212"/>
      <c r="L187" s="212"/>
      <c r="M187" s="212"/>
      <c r="N187" s="212"/>
      <c r="O187" s="212"/>
      <c r="P187" s="212"/>
      <c r="Q187" s="212"/>
      <c r="R187" s="212"/>
      <c r="S187" s="212"/>
      <c r="T187" s="212"/>
      <c r="U187" s="212"/>
      <c r="V187" s="212"/>
      <c r="W187" s="212"/>
      <c r="X187" s="212"/>
      <c r="Y187" s="212"/>
      <c r="Z187" s="212"/>
      <c r="AA187" s="212"/>
      <c r="AB187" s="212"/>
    </row>
    <row r="188" spans="2:28">
      <c r="B188" s="212"/>
      <c r="C188" s="212"/>
      <c r="D188" s="212"/>
      <c r="E188" s="212"/>
      <c r="F188" s="212"/>
      <c r="G188" s="212"/>
      <c r="H188" s="212"/>
      <c r="I188" s="212"/>
      <c r="J188" s="212"/>
      <c r="K188" s="212"/>
      <c r="L188" s="212"/>
      <c r="M188" s="212"/>
      <c r="N188" s="212"/>
      <c r="O188" s="212"/>
      <c r="P188" s="212"/>
      <c r="Q188" s="212"/>
      <c r="R188" s="212"/>
      <c r="S188" s="212"/>
      <c r="T188" s="212"/>
      <c r="U188" s="212"/>
      <c r="V188" s="212"/>
      <c r="W188" s="212"/>
      <c r="X188" s="212"/>
      <c r="Y188" s="212"/>
      <c r="Z188" s="212"/>
      <c r="AA188" s="212"/>
      <c r="AB188" s="212"/>
    </row>
    <row r="189" spans="2:28">
      <c r="B189" s="212"/>
      <c r="C189" s="212"/>
      <c r="D189" s="212"/>
      <c r="E189" s="212"/>
      <c r="F189" s="212"/>
      <c r="G189" s="212"/>
      <c r="H189" s="212"/>
      <c r="I189" s="212"/>
      <c r="J189" s="212"/>
      <c r="K189" s="212"/>
      <c r="L189" s="212"/>
      <c r="M189" s="212"/>
      <c r="N189" s="212"/>
      <c r="O189" s="212"/>
      <c r="P189" s="212"/>
      <c r="Q189" s="212"/>
      <c r="R189" s="212"/>
      <c r="S189" s="212"/>
      <c r="T189" s="212"/>
      <c r="U189" s="212"/>
      <c r="V189" s="212"/>
      <c r="W189" s="212"/>
      <c r="X189" s="212"/>
      <c r="Y189" s="212"/>
      <c r="Z189" s="212"/>
      <c r="AA189" s="212"/>
      <c r="AB189" s="212"/>
    </row>
    <row r="190" spans="2:28">
      <c r="B190" s="212"/>
      <c r="C190" s="212"/>
      <c r="D190" s="212"/>
      <c r="E190" s="212"/>
      <c r="F190" s="212"/>
      <c r="G190" s="212"/>
      <c r="H190" s="212"/>
      <c r="I190" s="212"/>
      <c r="J190" s="212"/>
      <c r="K190" s="212"/>
      <c r="L190" s="212"/>
      <c r="M190" s="212"/>
      <c r="N190" s="212"/>
      <c r="O190" s="212"/>
      <c r="P190" s="212"/>
      <c r="Q190" s="212"/>
      <c r="R190" s="212"/>
      <c r="S190" s="212"/>
      <c r="T190" s="212"/>
      <c r="U190" s="212"/>
      <c r="V190" s="212"/>
      <c r="W190" s="212"/>
      <c r="X190" s="212"/>
      <c r="Y190" s="212"/>
      <c r="Z190" s="212"/>
      <c r="AA190" s="212"/>
      <c r="AB190" s="212"/>
    </row>
    <row r="191" spans="2:28">
      <c r="B191" s="212"/>
      <c r="C191" s="212"/>
      <c r="D191" s="212"/>
      <c r="E191" s="212"/>
      <c r="F191" s="212"/>
      <c r="G191" s="212"/>
      <c r="H191" s="212"/>
      <c r="I191" s="212"/>
      <c r="J191" s="212"/>
      <c r="K191" s="212"/>
      <c r="L191" s="212"/>
      <c r="M191" s="212"/>
      <c r="N191" s="212"/>
      <c r="O191" s="212"/>
      <c r="P191" s="212"/>
      <c r="Q191" s="212"/>
      <c r="R191" s="212"/>
      <c r="S191" s="212"/>
      <c r="T191" s="212"/>
      <c r="U191" s="212"/>
      <c r="V191" s="212"/>
      <c r="W191" s="212"/>
      <c r="X191" s="212"/>
      <c r="Y191" s="212"/>
      <c r="Z191" s="212"/>
      <c r="AA191" s="212"/>
      <c r="AB191" s="212"/>
    </row>
    <row r="192" spans="2:28">
      <c r="B192" s="212"/>
      <c r="C192" s="212"/>
      <c r="D192" s="212"/>
      <c r="E192" s="212"/>
      <c r="F192" s="212"/>
      <c r="G192" s="212"/>
      <c r="H192" s="212"/>
      <c r="I192" s="212"/>
      <c r="J192" s="212"/>
      <c r="K192" s="212"/>
      <c r="L192" s="212"/>
      <c r="M192" s="212"/>
      <c r="N192" s="212"/>
      <c r="O192" s="212"/>
      <c r="P192" s="212"/>
      <c r="Q192" s="212"/>
      <c r="R192" s="212"/>
      <c r="S192" s="212"/>
      <c r="T192" s="212"/>
      <c r="U192" s="212"/>
      <c r="V192" s="212"/>
      <c r="W192" s="212"/>
      <c r="X192" s="212"/>
      <c r="Y192" s="212"/>
      <c r="Z192" s="212"/>
      <c r="AA192" s="212"/>
      <c r="AB192" s="212"/>
    </row>
    <row r="193" spans="2:28">
      <c r="B193" s="212"/>
      <c r="C193" s="212"/>
      <c r="D193" s="212"/>
      <c r="E193" s="212"/>
      <c r="F193" s="212"/>
      <c r="G193" s="212"/>
      <c r="H193" s="212"/>
      <c r="I193" s="212"/>
      <c r="J193" s="212"/>
      <c r="K193" s="212"/>
      <c r="L193" s="212"/>
      <c r="M193" s="212"/>
      <c r="N193" s="212"/>
      <c r="O193" s="212"/>
      <c r="P193" s="212"/>
      <c r="Q193" s="212"/>
      <c r="R193" s="212"/>
      <c r="S193" s="212"/>
      <c r="T193" s="212"/>
      <c r="U193" s="212"/>
      <c r="V193" s="212"/>
      <c r="W193" s="212"/>
      <c r="X193" s="212"/>
      <c r="Y193" s="212"/>
      <c r="Z193" s="212"/>
      <c r="AA193" s="212"/>
      <c r="AB193" s="212"/>
    </row>
    <row r="194" spans="2:28">
      <c r="B194" s="212"/>
      <c r="C194" s="212"/>
      <c r="D194" s="212"/>
      <c r="E194" s="212"/>
      <c r="F194" s="212"/>
      <c r="G194" s="212"/>
      <c r="H194" s="212"/>
      <c r="I194" s="212"/>
      <c r="J194" s="212"/>
      <c r="K194" s="212"/>
      <c r="L194" s="212"/>
      <c r="M194" s="212"/>
      <c r="N194" s="212"/>
      <c r="O194" s="212"/>
      <c r="P194" s="212"/>
      <c r="Q194" s="212"/>
      <c r="R194" s="212"/>
      <c r="S194" s="212"/>
      <c r="T194" s="212"/>
      <c r="U194" s="212"/>
      <c r="V194" s="212"/>
      <c r="W194" s="212"/>
      <c r="X194" s="212"/>
      <c r="Y194" s="212"/>
      <c r="Z194" s="212"/>
      <c r="AA194" s="212"/>
      <c r="AB194" s="212"/>
    </row>
    <row r="195" spans="2:28">
      <c r="B195" s="212"/>
      <c r="C195" s="212"/>
      <c r="D195" s="212"/>
      <c r="E195" s="212"/>
      <c r="F195" s="212"/>
      <c r="G195" s="212"/>
      <c r="H195" s="212"/>
      <c r="I195" s="212"/>
      <c r="J195" s="212"/>
      <c r="K195" s="212"/>
      <c r="L195" s="212"/>
      <c r="M195" s="212"/>
      <c r="N195" s="212"/>
      <c r="O195" s="212"/>
      <c r="P195" s="212"/>
      <c r="Q195" s="212"/>
      <c r="R195" s="212"/>
      <c r="S195" s="212"/>
      <c r="T195" s="212"/>
      <c r="U195" s="212"/>
      <c r="V195" s="212"/>
      <c r="W195" s="212"/>
      <c r="X195" s="212"/>
      <c r="Y195" s="212"/>
      <c r="Z195" s="212"/>
      <c r="AA195" s="212"/>
      <c r="AB195" s="212"/>
    </row>
    <row r="196" spans="2:28">
      <c r="B196" s="212"/>
      <c r="C196" s="212"/>
      <c r="D196" s="212"/>
      <c r="E196" s="212"/>
      <c r="F196" s="212"/>
      <c r="G196" s="212"/>
      <c r="H196" s="212"/>
      <c r="I196" s="212"/>
      <c r="J196" s="212"/>
      <c r="K196" s="212"/>
      <c r="L196" s="212"/>
      <c r="M196" s="212"/>
      <c r="N196" s="212"/>
      <c r="O196" s="212"/>
      <c r="P196" s="212"/>
      <c r="Q196" s="212"/>
      <c r="R196" s="212"/>
      <c r="S196" s="212"/>
      <c r="T196" s="212"/>
      <c r="U196" s="212"/>
      <c r="V196" s="212"/>
      <c r="W196" s="212"/>
      <c r="X196" s="212"/>
      <c r="Y196" s="212"/>
      <c r="Z196" s="212"/>
      <c r="AA196" s="212"/>
      <c r="AB196" s="212"/>
    </row>
    <row r="197" spans="2:28">
      <c r="B197" s="212"/>
      <c r="C197" s="212"/>
      <c r="D197" s="212"/>
      <c r="E197" s="212"/>
      <c r="F197" s="212"/>
      <c r="G197" s="212"/>
      <c r="H197" s="212"/>
      <c r="I197" s="212"/>
      <c r="J197" s="212"/>
      <c r="K197" s="212"/>
      <c r="L197" s="212"/>
      <c r="M197" s="212"/>
      <c r="N197" s="212"/>
      <c r="O197" s="212"/>
      <c r="P197" s="212"/>
      <c r="Q197" s="212"/>
      <c r="R197" s="212"/>
      <c r="S197" s="212"/>
      <c r="T197" s="212"/>
      <c r="U197" s="212"/>
      <c r="V197" s="212"/>
      <c r="W197" s="212"/>
      <c r="X197" s="212"/>
      <c r="Y197" s="212"/>
      <c r="Z197" s="212"/>
      <c r="AA197" s="212"/>
      <c r="AB197" s="212"/>
    </row>
    <row r="198" spans="2:28">
      <c r="B198" s="212"/>
      <c r="C198" s="212"/>
      <c r="D198" s="212"/>
      <c r="E198" s="212"/>
      <c r="F198" s="212"/>
      <c r="G198" s="212"/>
      <c r="H198" s="212"/>
      <c r="I198" s="212"/>
      <c r="J198" s="212"/>
      <c r="K198" s="212"/>
      <c r="L198" s="212"/>
      <c r="M198" s="212"/>
      <c r="N198" s="212"/>
      <c r="O198" s="212"/>
      <c r="P198" s="212"/>
      <c r="Q198" s="212"/>
      <c r="R198" s="212"/>
      <c r="S198" s="212"/>
      <c r="T198" s="212"/>
      <c r="U198" s="212"/>
      <c r="V198" s="212"/>
      <c r="W198" s="212"/>
      <c r="X198" s="212"/>
      <c r="Y198" s="212"/>
      <c r="Z198" s="212"/>
      <c r="AA198" s="212"/>
      <c r="AB198" s="212"/>
    </row>
    <row r="199" spans="2:28">
      <c r="B199" s="212"/>
      <c r="C199" s="212"/>
      <c r="D199" s="212"/>
      <c r="E199" s="212"/>
      <c r="F199" s="212"/>
      <c r="G199" s="212"/>
      <c r="H199" s="212"/>
      <c r="I199" s="212"/>
      <c r="J199" s="212"/>
      <c r="K199" s="212"/>
      <c r="L199" s="212"/>
      <c r="M199" s="212"/>
      <c r="N199" s="212"/>
      <c r="O199" s="212"/>
      <c r="P199" s="212"/>
      <c r="Q199" s="212"/>
      <c r="R199" s="212"/>
      <c r="S199" s="212"/>
      <c r="T199" s="212"/>
      <c r="U199" s="212"/>
      <c r="V199" s="212"/>
      <c r="W199" s="212"/>
      <c r="X199" s="212"/>
      <c r="Y199" s="212"/>
      <c r="Z199" s="212"/>
      <c r="AA199" s="212"/>
      <c r="AB199" s="212"/>
    </row>
    <row r="200" spans="2:28">
      <c r="B200" s="212"/>
      <c r="C200" s="212"/>
      <c r="D200" s="212"/>
      <c r="E200" s="212"/>
      <c r="F200" s="212"/>
      <c r="G200" s="212"/>
      <c r="H200" s="212"/>
      <c r="I200" s="212"/>
      <c r="J200" s="212"/>
      <c r="K200" s="212"/>
      <c r="L200" s="212"/>
      <c r="M200" s="212"/>
      <c r="N200" s="212"/>
      <c r="O200" s="212"/>
      <c r="P200" s="212"/>
      <c r="Q200" s="212"/>
      <c r="R200" s="212"/>
      <c r="S200" s="212"/>
      <c r="T200" s="212"/>
      <c r="U200" s="212"/>
      <c r="V200" s="212"/>
      <c r="W200" s="212"/>
      <c r="X200" s="212"/>
      <c r="Y200" s="212"/>
      <c r="Z200" s="212"/>
      <c r="AA200" s="212"/>
      <c r="AB200" s="212"/>
    </row>
    <row r="201" spans="2:28">
      <c r="B201" s="212"/>
      <c r="C201" s="212"/>
      <c r="D201" s="212"/>
      <c r="E201" s="212"/>
      <c r="F201" s="212"/>
      <c r="G201" s="212"/>
      <c r="H201" s="212"/>
      <c r="I201" s="212"/>
      <c r="J201" s="212"/>
      <c r="K201" s="212"/>
      <c r="L201" s="212"/>
      <c r="M201" s="212"/>
      <c r="N201" s="212"/>
      <c r="O201" s="212"/>
      <c r="P201" s="212"/>
      <c r="Q201" s="212"/>
      <c r="R201" s="212"/>
      <c r="S201" s="212"/>
      <c r="T201" s="212"/>
      <c r="U201" s="212"/>
      <c r="V201" s="212"/>
      <c r="W201" s="212"/>
      <c r="X201" s="212"/>
      <c r="Y201" s="212"/>
      <c r="Z201" s="212"/>
      <c r="AA201" s="212"/>
      <c r="AB201" s="212"/>
    </row>
    <row r="202" spans="2:28">
      <c r="B202" s="212"/>
      <c r="C202" s="212"/>
      <c r="D202" s="212"/>
      <c r="E202" s="212"/>
      <c r="F202" s="212"/>
      <c r="G202" s="212"/>
      <c r="H202" s="212"/>
      <c r="I202" s="212"/>
      <c r="J202" s="212"/>
      <c r="K202" s="212"/>
      <c r="L202" s="212"/>
      <c r="M202" s="212"/>
      <c r="N202" s="212"/>
      <c r="O202" s="212"/>
      <c r="P202" s="212"/>
      <c r="Q202" s="212"/>
      <c r="R202" s="212"/>
      <c r="S202" s="212"/>
      <c r="T202" s="212"/>
      <c r="U202" s="212"/>
      <c r="V202" s="212"/>
      <c r="W202" s="212"/>
      <c r="X202" s="212"/>
      <c r="Y202" s="212"/>
      <c r="Z202" s="212"/>
      <c r="AA202" s="212"/>
      <c r="AB202" s="212"/>
    </row>
    <row r="203" spans="2:28">
      <c r="B203" s="212"/>
      <c r="C203" s="212"/>
      <c r="D203" s="212"/>
      <c r="E203" s="212"/>
      <c r="F203" s="212"/>
      <c r="G203" s="212"/>
      <c r="H203" s="212"/>
      <c r="I203" s="212"/>
      <c r="J203" s="212"/>
      <c r="K203" s="212"/>
      <c r="L203" s="212"/>
      <c r="M203" s="212"/>
      <c r="N203" s="212"/>
      <c r="O203" s="212"/>
      <c r="P203" s="212"/>
      <c r="Q203" s="212"/>
      <c r="R203" s="212"/>
      <c r="S203" s="212"/>
      <c r="T203" s="212"/>
      <c r="U203" s="212"/>
      <c r="V203" s="212"/>
      <c r="W203" s="212"/>
      <c r="X203" s="212"/>
      <c r="Y203" s="212"/>
      <c r="Z203" s="212"/>
      <c r="AA203" s="212"/>
      <c r="AB203" s="212"/>
    </row>
    <row r="204" spans="2:28">
      <c r="B204" s="212"/>
      <c r="C204" s="212"/>
      <c r="D204" s="212"/>
      <c r="E204" s="212"/>
      <c r="F204" s="212"/>
      <c r="G204" s="212"/>
      <c r="H204" s="212"/>
      <c r="I204" s="212"/>
      <c r="J204" s="212"/>
      <c r="K204" s="212"/>
      <c r="L204" s="212"/>
      <c r="M204" s="212"/>
      <c r="N204" s="212"/>
      <c r="O204" s="212"/>
      <c r="P204" s="212"/>
      <c r="Q204" s="212"/>
      <c r="R204" s="212"/>
      <c r="S204" s="212"/>
      <c r="T204" s="212"/>
      <c r="U204" s="212"/>
      <c r="V204" s="212"/>
      <c r="W204" s="212"/>
      <c r="X204" s="212"/>
      <c r="Y204" s="212"/>
      <c r="Z204" s="212"/>
      <c r="AA204" s="212"/>
      <c r="AB204" s="212"/>
    </row>
    <row r="205" spans="2:28">
      <c r="B205" s="212"/>
      <c r="C205" s="212"/>
      <c r="D205" s="212"/>
      <c r="E205" s="212"/>
      <c r="F205" s="212"/>
      <c r="G205" s="212"/>
      <c r="H205" s="212"/>
      <c r="I205" s="212"/>
      <c r="J205" s="212"/>
      <c r="K205" s="212"/>
      <c r="L205" s="212"/>
      <c r="M205" s="212"/>
      <c r="N205" s="212"/>
      <c r="O205" s="212"/>
      <c r="P205" s="212"/>
      <c r="Q205" s="212"/>
      <c r="R205" s="212"/>
      <c r="S205" s="212"/>
      <c r="T205" s="212"/>
      <c r="U205" s="212"/>
      <c r="V205" s="212"/>
      <c r="W205" s="212"/>
      <c r="X205" s="212"/>
      <c r="Y205" s="212"/>
      <c r="Z205" s="212"/>
      <c r="AA205" s="212"/>
      <c r="AB205" s="212"/>
    </row>
    <row r="206" spans="2:28">
      <c r="B206" s="212"/>
      <c r="C206" s="212"/>
      <c r="D206" s="212"/>
      <c r="E206" s="212"/>
      <c r="F206" s="212"/>
      <c r="G206" s="212"/>
      <c r="H206" s="212"/>
      <c r="I206" s="212"/>
      <c r="J206" s="212"/>
      <c r="K206" s="212"/>
      <c r="L206" s="212"/>
      <c r="M206" s="212"/>
      <c r="N206" s="212"/>
      <c r="O206" s="212"/>
      <c r="P206" s="212"/>
      <c r="Q206" s="212"/>
      <c r="R206" s="212"/>
      <c r="S206" s="212"/>
      <c r="T206" s="212"/>
      <c r="U206" s="212"/>
      <c r="V206" s="212"/>
      <c r="W206" s="212"/>
      <c r="X206" s="212"/>
      <c r="Y206" s="212"/>
      <c r="Z206" s="212"/>
      <c r="AA206" s="212"/>
      <c r="AB206" s="212"/>
    </row>
    <row r="207" spans="2:28">
      <c r="B207" s="212"/>
      <c r="C207" s="212"/>
      <c r="D207" s="212"/>
      <c r="E207" s="212"/>
      <c r="F207" s="212"/>
      <c r="G207" s="212"/>
      <c r="H207" s="212"/>
      <c r="I207" s="212"/>
      <c r="J207" s="212"/>
      <c r="K207" s="212"/>
      <c r="L207" s="212"/>
      <c r="M207" s="212"/>
      <c r="N207" s="212"/>
      <c r="O207" s="212"/>
      <c r="P207" s="212"/>
      <c r="Q207" s="212"/>
      <c r="R207" s="212"/>
      <c r="S207" s="212"/>
      <c r="T207" s="212"/>
      <c r="U207" s="212"/>
      <c r="V207" s="212"/>
      <c r="W207" s="212"/>
      <c r="X207" s="212"/>
      <c r="Y207" s="212"/>
      <c r="Z207" s="212"/>
      <c r="AA207" s="212"/>
      <c r="AB207" s="212"/>
    </row>
    <row r="208" spans="2:28">
      <c r="B208" s="212"/>
      <c r="C208" s="212"/>
      <c r="D208" s="212"/>
      <c r="E208" s="212"/>
      <c r="F208" s="212"/>
      <c r="G208" s="212"/>
      <c r="H208" s="212"/>
      <c r="I208" s="212"/>
      <c r="J208" s="212"/>
      <c r="K208" s="212"/>
      <c r="L208" s="212"/>
      <c r="M208" s="212"/>
      <c r="N208" s="212"/>
      <c r="O208" s="212"/>
      <c r="P208" s="212"/>
      <c r="Q208" s="212"/>
      <c r="R208" s="212"/>
      <c r="S208" s="212"/>
      <c r="T208" s="212"/>
      <c r="U208" s="212"/>
      <c r="V208" s="212"/>
      <c r="W208" s="212"/>
      <c r="X208" s="212"/>
      <c r="Y208" s="212"/>
      <c r="Z208" s="212"/>
      <c r="AA208" s="212"/>
      <c r="AB208" s="212"/>
    </row>
    <row r="209" spans="2:28">
      <c r="B209" s="212"/>
      <c r="C209" s="212"/>
      <c r="D209" s="212"/>
      <c r="E209" s="212"/>
      <c r="F209" s="212"/>
      <c r="G209" s="212"/>
      <c r="H209" s="212"/>
      <c r="I209" s="212"/>
      <c r="J209" s="212"/>
      <c r="K209" s="212"/>
      <c r="L209" s="212"/>
      <c r="M209" s="212"/>
      <c r="N209" s="212"/>
      <c r="O209" s="212"/>
      <c r="P209" s="212"/>
      <c r="Q209" s="212"/>
      <c r="R209" s="212"/>
      <c r="S209" s="212"/>
      <c r="T209" s="212"/>
      <c r="U209" s="212"/>
      <c r="V209" s="212"/>
      <c r="W209" s="212"/>
      <c r="X209" s="212"/>
      <c r="Y209" s="212"/>
      <c r="Z209" s="212"/>
      <c r="AA209" s="212"/>
      <c r="AB209" s="212"/>
    </row>
    <row r="210" spans="2:28">
      <c r="B210" s="212"/>
      <c r="C210" s="212"/>
      <c r="D210" s="212"/>
      <c r="E210" s="212"/>
      <c r="F210" s="212"/>
      <c r="G210" s="212"/>
      <c r="H210" s="212"/>
      <c r="I210" s="212"/>
      <c r="J210" s="212"/>
      <c r="K210" s="212"/>
      <c r="L210" s="212"/>
      <c r="M210" s="212"/>
      <c r="N210" s="212"/>
      <c r="O210" s="212"/>
      <c r="P210" s="212"/>
      <c r="Q210" s="212"/>
      <c r="R210" s="212"/>
      <c r="S210" s="212"/>
      <c r="T210" s="212"/>
      <c r="U210" s="212"/>
      <c r="V210" s="212"/>
      <c r="W210" s="212"/>
      <c r="X210" s="212"/>
      <c r="Y210" s="212"/>
      <c r="Z210" s="212"/>
      <c r="AA210" s="212"/>
      <c r="AB210" s="212"/>
    </row>
    <row r="211" spans="2:28">
      <c r="B211" s="212"/>
      <c r="C211" s="212"/>
      <c r="D211" s="212"/>
      <c r="E211" s="212"/>
      <c r="F211" s="212"/>
      <c r="G211" s="212"/>
      <c r="H211" s="212"/>
      <c r="I211" s="212"/>
      <c r="J211" s="212"/>
      <c r="K211" s="212"/>
      <c r="L211" s="212"/>
      <c r="M211" s="212"/>
      <c r="N211" s="212"/>
      <c r="O211" s="212"/>
      <c r="P211" s="212"/>
      <c r="Q211" s="212"/>
      <c r="R211" s="212"/>
      <c r="S211" s="212"/>
      <c r="T211" s="212"/>
      <c r="U211" s="212"/>
      <c r="V211" s="212"/>
      <c r="W211" s="212"/>
      <c r="X211" s="212"/>
      <c r="Y211" s="212"/>
      <c r="Z211" s="212"/>
      <c r="AA211" s="212"/>
      <c r="AB211" s="212"/>
    </row>
    <row r="212" spans="2:28">
      <c r="B212" s="212"/>
      <c r="C212" s="212"/>
      <c r="D212" s="212"/>
      <c r="E212" s="212"/>
      <c r="F212" s="212"/>
      <c r="G212" s="212"/>
      <c r="H212" s="212"/>
      <c r="I212" s="212"/>
      <c r="J212" s="212"/>
      <c r="K212" s="212"/>
      <c r="L212" s="212"/>
      <c r="M212" s="212"/>
      <c r="N212" s="212"/>
      <c r="O212" s="212"/>
      <c r="P212" s="212"/>
      <c r="Q212" s="212"/>
      <c r="R212" s="212"/>
      <c r="S212" s="212"/>
      <c r="T212" s="212"/>
      <c r="U212" s="212"/>
      <c r="V212" s="212"/>
      <c r="W212" s="212"/>
      <c r="X212" s="212"/>
      <c r="Y212" s="212"/>
      <c r="Z212" s="212"/>
      <c r="AA212" s="212"/>
      <c r="AB212" s="212"/>
    </row>
    <row r="213" spans="2:28">
      <c r="B213" s="280"/>
      <c r="C213" s="280"/>
      <c r="D213" s="280"/>
      <c r="E213" s="280"/>
      <c r="F213" s="280"/>
      <c r="G213" s="280"/>
      <c r="H213" s="280"/>
      <c r="I213" s="280"/>
      <c r="J213" s="280"/>
      <c r="K213" s="280"/>
      <c r="L213" s="280"/>
      <c r="M213" s="280"/>
      <c r="N213" s="280"/>
      <c r="O213" s="280"/>
      <c r="P213" s="280"/>
      <c r="Q213" s="280"/>
      <c r="R213" s="280"/>
      <c r="S213" s="280"/>
      <c r="T213" s="280"/>
      <c r="U213" s="280"/>
      <c r="V213" s="280"/>
      <c r="W213" s="280"/>
      <c r="X213" s="280"/>
      <c r="Y213" s="280"/>
      <c r="Z213" s="280"/>
      <c r="AA213" s="280"/>
      <c r="AB213" s="280"/>
    </row>
    <row r="214" spans="2:28">
      <c r="B214" s="280"/>
      <c r="C214" s="280"/>
      <c r="D214" s="280"/>
      <c r="E214" s="280"/>
      <c r="F214" s="280"/>
      <c r="G214" s="280"/>
      <c r="H214" s="280"/>
      <c r="I214" s="280"/>
      <c r="J214" s="280"/>
      <c r="K214" s="280"/>
      <c r="L214" s="280"/>
      <c r="M214" s="280"/>
      <c r="N214" s="280"/>
      <c r="O214" s="280"/>
      <c r="P214" s="280"/>
      <c r="Q214" s="280"/>
      <c r="R214" s="280"/>
      <c r="S214" s="280"/>
      <c r="T214" s="280"/>
      <c r="U214" s="280"/>
      <c r="V214" s="280"/>
      <c r="W214" s="280"/>
      <c r="X214" s="280"/>
      <c r="Y214" s="280"/>
      <c r="Z214" s="280"/>
      <c r="AA214" s="280"/>
      <c r="AB214" s="280"/>
    </row>
    <row r="215" spans="2:28">
      <c r="B215" s="280"/>
      <c r="C215" s="280"/>
      <c r="D215" s="280"/>
      <c r="E215" s="280"/>
      <c r="F215" s="280"/>
      <c r="G215" s="280"/>
      <c r="H215" s="280"/>
      <c r="I215" s="280"/>
      <c r="J215" s="280"/>
      <c r="K215" s="280"/>
      <c r="L215" s="280"/>
      <c r="M215" s="280"/>
      <c r="N215" s="280"/>
      <c r="O215" s="280"/>
      <c r="P215" s="280"/>
      <c r="Q215" s="280"/>
      <c r="R215" s="280"/>
      <c r="S215" s="280"/>
      <c r="T215" s="280"/>
      <c r="U215" s="280"/>
      <c r="V215" s="280"/>
      <c r="W215" s="280"/>
      <c r="X215" s="280"/>
      <c r="Y215" s="280"/>
      <c r="Z215" s="280"/>
      <c r="AA215" s="280"/>
      <c r="AB215" s="280"/>
    </row>
  </sheetData>
  <mergeCells count="1">
    <mergeCell ref="B2:AB2"/>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84993" r:id="rId4" name="CommandButton1">
          <controlPr defaultSize="0" autoLine="0" r:id="rId5">
            <anchor moveWithCells="1" sizeWithCells="1">
              <from>
                <xdr:col>1</xdr:col>
                <xdr:colOff>28575</xdr:colOff>
                <xdr:row>2</xdr:row>
                <xdr:rowOff>257175</xdr:rowOff>
              </from>
              <to>
                <xdr:col>3</xdr:col>
                <xdr:colOff>533400</xdr:colOff>
                <xdr:row>3</xdr:row>
                <xdr:rowOff>276225</xdr:rowOff>
              </to>
            </anchor>
          </controlPr>
        </control>
      </mc:Choice>
      <mc:Fallback>
        <control shapeId="84993" r:id="rId4" name="CommandButton1"/>
      </mc:Fallback>
    </mc:AlternateContent>
    <mc:AlternateContent xmlns:mc="http://schemas.openxmlformats.org/markup-compatibility/2006">
      <mc:Choice Requires="x14">
        <control shapeId="84995" r:id="rId6" name="CommandButton2">
          <controlPr defaultSize="0" autoLine="0" r:id="rId7">
            <anchor moveWithCells="1" sizeWithCells="1">
              <from>
                <xdr:col>1</xdr:col>
                <xdr:colOff>47625</xdr:colOff>
                <xdr:row>213</xdr:row>
                <xdr:rowOff>47625</xdr:rowOff>
              </from>
              <to>
                <xdr:col>3</xdr:col>
                <xdr:colOff>552450</xdr:colOff>
                <xdr:row>214</xdr:row>
                <xdr:rowOff>171450</xdr:rowOff>
              </to>
            </anchor>
          </controlPr>
        </control>
      </mc:Choice>
      <mc:Fallback>
        <control shapeId="84995" r:id="rId6" name="Command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6">
    <pageSetUpPr fitToPage="1"/>
  </sheetPr>
  <dimension ref="A1:B21"/>
  <sheetViews>
    <sheetView view="pageBreakPreview" zoomScale="85" zoomScaleNormal="100" zoomScaleSheetLayoutView="85" workbookViewId="0"/>
  </sheetViews>
  <sheetFormatPr baseColWidth="10" defaultColWidth="11.42578125" defaultRowHeight="15"/>
  <cols>
    <col min="1" max="1" width="50.5703125" style="97" customWidth="1"/>
    <col min="2" max="2" width="88.85546875" style="97" customWidth="1"/>
    <col min="3" max="16384" width="11.42578125" style="97"/>
  </cols>
  <sheetData>
    <row r="1" spans="1:2" ht="16.5" customHeight="1">
      <c r="A1" s="523"/>
      <c r="B1" s="523"/>
    </row>
    <row r="2" spans="1:2" ht="21" customHeight="1">
      <c r="A2" s="1827" t="s">
        <v>2463</v>
      </c>
      <c r="B2" s="1828"/>
    </row>
    <row r="3" spans="1:2" ht="26.25" customHeight="1">
      <c r="A3" s="523"/>
      <c r="B3" s="523"/>
    </row>
    <row r="4" spans="1:2" ht="36" customHeight="1"/>
    <row r="5" spans="1:2" ht="24" customHeight="1">
      <c r="A5" s="266" t="s">
        <v>3258</v>
      </c>
      <c r="B5" s="266" t="s">
        <v>608</v>
      </c>
    </row>
    <row r="6" spans="1:2" ht="90" customHeight="1">
      <c r="A6" s="267" t="s">
        <v>2464</v>
      </c>
      <c r="B6" s="267" t="s">
        <v>3212</v>
      </c>
    </row>
    <row r="7" spans="1:2" ht="37.5" customHeight="1">
      <c r="A7" s="267" t="s">
        <v>2100</v>
      </c>
      <c r="B7" s="267" t="s">
        <v>2865</v>
      </c>
    </row>
    <row r="8" spans="1:2" ht="46.5" customHeight="1">
      <c r="A8" s="267" t="s">
        <v>2465</v>
      </c>
      <c r="B8" s="267" t="s">
        <v>2866</v>
      </c>
    </row>
    <row r="9" spans="1:2" ht="47.25" customHeight="1">
      <c r="A9" s="267" t="s">
        <v>2466</v>
      </c>
      <c r="B9" s="267" t="s">
        <v>2867</v>
      </c>
    </row>
    <row r="10" spans="1:2" ht="35.25" customHeight="1">
      <c r="A10" s="267" t="s">
        <v>2467</v>
      </c>
      <c r="B10" s="267" t="s">
        <v>2468</v>
      </c>
    </row>
    <row r="11" spans="1:2" ht="45.75" customHeight="1">
      <c r="A11" s="267" t="s">
        <v>2469</v>
      </c>
      <c r="B11" s="267" t="s">
        <v>2470</v>
      </c>
    </row>
    <row r="12" spans="1:2" ht="48" customHeight="1">
      <c r="A12" s="267" t="s">
        <v>2102</v>
      </c>
      <c r="B12" s="267" t="s">
        <v>2471</v>
      </c>
    </row>
    <row r="13" spans="1:2" ht="35.25" customHeight="1">
      <c r="A13" s="267" t="s">
        <v>2472</v>
      </c>
      <c r="B13" s="267" t="s">
        <v>2473</v>
      </c>
    </row>
    <row r="14" spans="1:2" ht="30">
      <c r="A14" s="267" t="s">
        <v>2474</v>
      </c>
      <c r="B14" s="267" t="s">
        <v>2475</v>
      </c>
    </row>
    <row r="15" spans="1:2" ht="30">
      <c r="A15" s="267" t="s">
        <v>2476</v>
      </c>
      <c r="B15" s="267" t="s">
        <v>2477</v>
      </c>
    </row>
    <row r="16" spans="1:2" ht="60">
      <c r="A16" s="267" t="s">
        <v>2478</v>
      </c>
      <c r="B16" s="268" t="s">
        <v>2748</v>
      </c>
    </row>
    <row r="17" spans="1:2" ht="51" customHeight="1">
      <c r="A17" s="268" t="s">
        <v>2749</v>
      </c>
      <c r="B17" s="268" t="s">
        <v>2479</v>
      </c>
    </row>
    <row r="19" spans="1:2">
      <c r="A19" s="523"/>
      <c r="B19" s="523"/>
    </row>
    <row r="20" spans="1:2">
      <c r="A20" s="523"/>
      <c r="B20" s="523"/>
    </row>
    <row r="21" spans="1:2">
      <c r="A21" s="523"/>
      <c r="B21" s="523"/>
    </row>
  </sheetData>
  <mergeCells count="1">
    <mergeCell ref="A2:B2"/>
  </mergeCells>
  <pageMargins left="0.70866141732283472" right="0.70866141732283472" top="0.74803149606299213" bottom="0.74803149606299213" header="0.31496062992125984" footer="0.31496062992125984"/>
  <pageSetup paperSize="9" scale="62" orientation="portrait" r:id="rId1"/>
  <drawing r:id="rId2"/>
  <legacyDrawing r:id="rId3"/>
  <controls>
    <mc:AlternateContent xmlns:mc="http://schemas.openxmlformats.org/markup-compatibility/2006">
      <mc:Choice Requires="x14">
        <control shapeId="99329" r:id="rId4" name="CommandButton1">
          <controlPr defaultSize="0" autoLine="0" r:id="rId5">
            <anchor moveWithCells="1" sizeWithCells="1">
              <from>
                <xdr:col>0</xdr:col>
                <xdr:colOff>47625</xdr:colOff>
                <xdr:row>2</xdr:row>
                <xdr:rowOff>9525</xdr:rowOff>
              </from>
              <to>
                <xdr:col>0</xdr:col>
                <xdr:colOff>1952625</xdr:colOff>
                <xdr:row>2</xdr:row>
                <xdr:rowOff>323850</xdr:rowOff>
              </to>
            </anchor>
          </controlPr>
        </control>
      </mc:Choice>
      <mc:Fallback>
        <control shapeId="99329" r:id="rId4" name="CommandButton1"/>
      </mc:Fallback>
    </mc:AlternateContent>
    <mc:AlternateContent xmlns:mc="http://schemas.openxmlformats.org/markup-compatibility/2006">
      <mc:Choice Requires="x14">
        <control shapeId="99331" r:id="rId6" name="CommandButton2">
          <controlPr defaultSize="0" autoLine="0" r:id="rId7">
            <anchor moveWithCells="1" sizeWithCells="1">
              <from>
                <xdr:col>0</xdr:col>
                <xdr:colOff>57150</xdr:colOff>
                <xdr:row>19</xdr:row>
                <xdr:rowOff>28575</xdr:rowOff>
              </from>
              <to>
                <xdr:col>0</xdr:col>
                <xdr:colOff>1962150</xdr:colOff>
                <xdr:row>20</xdr:row>
                <xdr:rowOff>152400</xdr:rowOff>
              </to>
            </anchor>
          </controlPr>
        </control>
      </mc:Choice>
      <mc:Fallback>
        <control shapeId="99331" r:id="rId6" name="Command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dimension ref="B1:F320"/>
  <sheetViews>
    <sheetView showZeros="0" view="pageBreakPreview" zoomScale="85" zoomScaleNormal="110" zoomScaleSheetLayoutView="85" workbookViewId="0">
      <selection activeCell="B8" sqref="B8"/>
    </sheetView>
  </sheetViews>
  <sheetFormatPr baseColWidth="10" defaultColWidth="9.140625" defaultRowHeight="15"/>
  <cols>
    <col min="1" max="1" width="3.7109375" style="404" customWidth="1"/>
    <col min="2" max="2" width="30.7109375" style="404" customWidth="1"/>
    <col min="3" max="3" width="25.85546875" style="404" customWidth="1"/>
    <col min="4" max="4" width="13.140625" style="404" bestFit="1" customWidth="1"/>
    <col min="5" max="5" width="44.140625" style="404" customWidth="1"/>
    <col min="6" max="6" width="5.7109375" style="404" customWidth="1"/>
    <col min="7" max="248" width="9.140625" style="404"/>
    <col min="249" max="249" width="12.28515625" style="404" customWidth="1"/>
    <col min="250" max="253" width="9.140625" style="404"/>
    <col min="254" max="254" width="9.28515625" style="404" bestFit="1" customWidth="1"/>
    <col min="255" max="16384" width="9.140625" style="404"/>
  </cols>
  <sheetData>
    <row r="1" spans="2:6">
      <c r="E1" s="274"/>
    </row>
    <row r="2" spans="2:6" ht="21">
      <c r="B2" s="1829" t="s">
        <v>190</v>
      </c>
      <c r="C2" s="1830"/>
      <c r="D2" s="1830"/>
      <c r="E2" s="1830"/>
      <c r="F2" s="1831"/>
    </row>
    <row r="3" spans="2:6">
      <c r="B3" s="877"/>
      <c r="C3" s="878"/>
      <c r="D3" s="878"/>
      <c r="E3" s="878"/>
      <c r="F3" s="879"/>
    </row>
    <row r="4" spans="2:6">
      <c r="B4" s="880"/>
      <c r="C4" s="881"/>
      <c r="D4" s="881"/>
      <c r="E4" s="881"/>
      <c r="F4" s="882"/>
    </row>
    <row r="5" spans="2:6">
      <c r="B5" s="883"/>
      <c r="C5" s="732"/>
      <c r="D5" s="732"/>
      <c r="E5" s="732"/>
      <c r="F5" s="732"/>
    </row>
    <row r="6" spans="2:6" ht="37.5" customHeight="1">
      <c r="B6" s="853" t="s">
        <v>0</v>
      </c>
      <c r="C6" s="853" t="s">
        <v>8</v>
      </c>
      <c r="D6" s="852" t="s">
        <v>160</v>
      </c>
      <c r="E6" s="852" t="s">
        <v>717</v>
      </c>
      <c r="F6" s="727"/>
    </row>
    <row r="7" spans="2:6" ht="13.5" customHeight="1">
      <c r="B7" s="884" t="s">
        <v>707</v>
      </c>
      <c r="C7" s="846">
        <f>DATOS!N7</f>
        <v>0</v>
      </c>
      <c r="D7" s="666">
        <f>DATOS!Q14</f>
        <v>0</v>
      </c>
      <c r="E7" s="666">
        <f>DATOS!Q15</f>
        <v>0</v>
      </c>
      <c r="F7" s="885"/>
    </row>
    <row r="8" spans="2:6" ht="13.5" customHeight="1">
      <c r="B8" s="886" t="s">
        <v>2750</v>
      </c>
      <c r="C8" s="846">
        <f>DATOS!N8</f>
        <v>0</v>
      </c>
      <c r="D8" s="666">
        <f>POWER((1+DATOS!$Q$19),(C8-$C$7))*$D$7</f>
        <v>0</v>
      </c>
      <c r="E8" s="666">
        <f>POWER((1+DATOS!$Q$19),(C8-$C$7))*$E$7</f>
        <v>0</v>
      </c>
      <c r="F8" s="887"/>
    </row>
    <row r="9" spans="2:6" ht="13.5" customHeight="1">
      <c r="B9" s="886" t="s">
        <v>2751</v>
      </c>
      <c r="C9" s="846">
        <f>DATOS!N9</f>
        <v>0</v>
      </c>
      <c r="D9" s="666">
        <f>POWER((1+DATOS!$Q$19),(C9-$C$7))*$D$7</f>
        <v>0</v>
      </c>
      <c r="E9" s="666">
        <f>POWER((1+DATOS!$Q$19),(C9-$C$7))*$E$7</f>
        <v>0</v>
      </c>
      <c r="F9" s="731"/>
    </row>
    <row r="10" spans="2:6" ht="13.5" customHeight="1">
      <c r="B10" s="846">
        <v>1</v>
      </c>
      <c r="C10" s="834">
        <f>C9+1</f>
        <v>1</v>
      </c>
      <c r="D10" s="666">
        <f>POWER((1+DATOS!$Q$19),(C10-$C$7))*$D$7</f>
        <v>0</v>
      </c>
      <c r="E10" s="666">
        <f>POWER((1+DATOS!$Q$19),(C10-$C$7))*$E$7</f>
        <v>0</v>
      </c>
      <c r="F10" s="731"/>
    </row>
    <row r="11" spans="2:6" ht="13.5" customHeight="1">
      <c r="B11" s="846">
        <v>2</v>
      </c>
      <c r="C11" s="834">
        <f>C10+1</f>
        <v>2</v>
      </c>
      <c r="D11" s="666">
        <f>POWER((1+DATOS!$Q$19),(C11-$C$7))*$D$7</f>
        <v>0</v>
      </c>
      <c r="E11" s="666">
        <f>POWER((1+DATOS!$Q$19),(C11-$C$7))*$E$7</f>
        <v>0</v>
      </c>
      <c r="F11" s="731"/>
    </row>
    <row r="12" spans="2:6" ht="13.5" customHeight="1">
      <c r="B12" s="846">
        <v>3</v>
      </c>
      <c r="C12" s="834">
        <f>C11+1</f>
        <v>3</v>
      </c>
      <c r="D12" s="666">
        <f>POWER((1+DATOS!$Q$19),(C12-$C$7))*$D$7</f>
        <v>0</v>
      </c>
      <c r="E12" s="666">
        <f>POWER((1+DATOS!$Q$19),(C12-$C$7))*$E$7</f>
        <v>0</v>
      </c>
      <c r="F12" s="731"/>
    </row>
    <row r="13" spans="2:6" ht="13.5" customHeight="1">
      <c r="B13" s="846">
        <v>4</v>
      </c>
      <c r="C13" s="834">
        <f t="shared" ref="C13:C19" si="0">C12+1</f>
        <v>4</v>
      </c>
      <c r="D13" s="666">
        <f>POWER((1+DATOS!$Q$19),(C13-$C$7))*$D$7</f>
        <v>0</v>
      </c>
      <c r="E13" s="666">
        <f>POWER((1+DATOS!$Q$19),(C13-$C$7))*$E$7</f>
        <v>0</v>
      </c>
      <c r="F13" s="731"/>
    </row>
    <row r="14" spans="2:6" ht="13.5" customHeight="1">
      <c r="B14" s="846">
        <v>5</v>
      </c>
      <c r="C14" s="834">
        <f t="shared" si="0"/>
        <v>5</v>
      </c>
      <c r="D14" s="666">
        <f>POWER((1+DATOS!$Q$19),(C14-$C$7))*$D$7</f>
        <v>0</v>
      </c>
      <c r="E14" s="666">
        <f>POWER((1+DATOS!$Q$19),(C14-$C$7))*$E$7</f>
        <v>0</v>
      </c>
      <c r="F14" s="731"/>
    </row>
    <row r="15" spans="2:6" ht="13.5" customHeight="1">
      <c r="B15" s="846">
        <v>6</v>
      </c>
      <c r="C15" s="834">
        <f t="shared" si="0"/>
        <v>6</v>
      </c>
      <c r="D15" s="666">
        <f>POWER((1+DATOS!$Q$19),(C15-$C$7))*$D$7</f>
        <v>0</v>
      </c>
      <c r="E15" s="666">
        <f>POWER((1+DATOS!$Q$19),(C15-$C$7))*$E$7</f>
        <v>0</v>
      </c>
      <c r="F15" s="731"/>
    </row>
    <row r="16" spans="2:6" ht="13.5" customHeight="1">
      <c r="B16" s="846">
        <v>7</v>
      </c>
      <c r="C16" s="834">
        <f t="shared" si="0"/>
        <v>7</v>
      </c>
      <c r="D16" s="666">
        <f>POWER((1+DATOS!$Q$19),(C16-$C$7))*$D$7</f>
        <v>0</v>
      </c>
      <c r="E16" s="666">
        <f>POWER((1+DATOS!$Q$19),(C16-$C$7))*$E$7</f>
        <v>0</v>
      </c>
      <c r="F16" s="731"/>
    </row>
    <row r="17" spans="2:6" ht="13.5" customHeight="1">
      <c r="B17" s="846">
        <v>8</v>
      </c>
      <c r="C17" s="834">
        <f t="shared" si="0"/>
        <v>8</v>
      </c>
      <c r="D17" s="666">
        <f>POWER((1+DATOS!$Q$19),(C17-$C$7))*$D$7</f>
        <v>0</v>
      </c>
      <c r="E17" s="666">
        <f>POWER((1+DATOS!$Q$19),(C17-$C$7))*$E$7</f>
        <v>0</v>
      </c>
      <c r="F17" s="731"/>
    </row>
    <row r="18" spans="2:6" ht="13.5" customHeight="1">
      <c r="B18" s="846">
        <v>9</v>
      </c>
      <c r="C18" s="834">
        <f t="shared" si="0"/>
        <v>9</v>
      </c>
      <c r="D18" s="666">
        <f>POWER((1+DATOS!$Q$19),(C18-$C$7))*$D$7</f>
        <v>0</v>
      </c>
      <c r="E18" s="666">
        <f>POWER((1+DATOS!$Q$19),(C18-$C$7))*$E$7</f>
        <v>0</v>
      </c>
      <c r="F18" s="731"/>
    </row>
    <row r="19" spans="2:6" ht="13.5" customHeight="1">
      <c r="B19" s="846">
        <v>10</v>
      </c>
      <c r="C19" s="834">
        <f t="shared" si="0"/>
        <v>10</v>
      </c>
      <c r="D19" s="666">
        <f>POWER((1+DATOS!$Q$19),(C19-$C$7))*$D$7</f>
        <v>0</v>
      </c>
      <c r="E19" s="666">
        <f>POWER((1+DATOS!$Q$19),(C19-$C$7))*$E$7</f>
        <v>0</v>
      </c>
      <c r="F19" s="727"/>
    </row>
    <row r="20" spans="2:6">
      <c r="B20" s="732"/>
      <c r="C20" s="732"/>
      <c r="D20" s="732"/>
      <c r="E20" s="732"/>
      <c r="F20" s="727"/>
    </row>
    <row r="21" spans="2:6" ht="19.5" customHeight="1">
      <c r="B21" s="1832" t="s">
        <v>2868</v>
      </c>
      <c r="C21" s="1832"/>
      <c r="D21" s="1832"/>
      <c r="E21" s="1832"/>
      <c r="F21" s="1832"/>
    </row>
    <row r="23" spans="2:6" ht="15.75" customHeight="1">
      <c r="B23" s="1833" t="s">
        <v>2869</v>
      </c>
      <c r="C23" s="1834"/>
      <c r="D23" s="1834"/>
      <c r="E23" s="1835"/>
    </row>
    <row r="24" spans="2:6" ht="30" customHeight="1">
      <c r="B24" s="852" t="s">
        <v>128</v>
      </c>
      <c r="C24" s="852" t="s">
        <v>131</v>
      </c>
      <c r="D24" s="852" t="s">
        <v>132</v>
      </c>
      <c r="E24" s="852" t="s">
        <v>2870</v>
      </c>
    </row>
    <row r="25" spans="2:6" ht="18.75" customHeight="1">
      <c r="B25" s="848" t="s">
        <v>136</v>
      </c>
      <c r="C25" s="621">
        <f>DATOS!Q25</f>
        <v>0</v>
      </c>
      <c r="D25" s="888">
        <f>E8</f>
        <v>0</v>
      </c>
      <c r="E25" s="889">
        <f>C25*D25/1000</f>
        <v>0</v>
      </c>
    </row>
    <row r="26" spans="2:6">
      <c r="B26" s="1836" t="s">
        <v>10</v>
      </c>
      <c r="C26" s="1837"/>
      <c r="D26" s="1838"/>
      <c r="E26" s="890">
        <f>SUM(E25:E25)</f>
        <v>0</v>
      </c>
    </row>
    <row r="27" spans="2:6" ht="15" customHeight="1">
      <c r="B27" s="1833" t="s">
        <v>3013</v>
      </c>
      <c r="C27" s="1834"/>
      <c r="D27" s="1834"/>
      <c r="E27" s="1835"/>
    </row>
    <row r="28" spans="2:6" ht="42.75" customHeight="1">
      <c r="B28" s="852" t="s">
        <v>133</v>
      </c>
      <c r="C28" s="852" t="s">
        <v>134</v>
      </c>
      <c r="D28" s="852" t="s">
        <v>135</v>
      </c>
      <c r="E28" s="852" t="s">
        <v>2871</v>
      </c>
    </row>
    <row r="29" spans="2:6" ht="16.5" customHeight="1">
      <c r="B29" s="848" t="s">
        <v>136</v>
      </c>
      <c r="C29" s="716">
        <f>E26</f>
        <v>0</v>
      </c>
      <c r="D29" s="778">
        <f>POWER((1+DATOS!Q19),(DATOS!N8-DATOS!Q23))*SUM(DATOS!Q27:S32)</f>
        <v>0</v>
      </c>
      <c r="E29" s="778">
        <f>C29+D29</f>
        <v>0</v>
      </c>
    </row>
    <row r="30" spans="2:6" ht="16.5" customHeight="1">
      <c r="B30" s="870" t="s">
        <v>137</v>
      </c>
      <c r="C30" s="891">
        <f>IFERROR(C29/E29,0)</f>
        <v>0</v>
      </c>
      <c r="D30" s="891">
        <f>IFERROR(D29/E29,0)</f>
        <v>0</v>
      </c>
      <c r="E30" s="891">
        <f>IFERROR((C29+D29)/E29,0)</f>
        <v>0</v>
      </c>
    </row>
    <row r="32" spans="2:6" ht="17.25" customHeight="1"/>
    <row r="38" spans="4:4">
      <c r="D38" s="780"/>
    </row>
    <row r="53" spans="2:2">
      <c r="B53" s="645"/>
    </row>
    <row r="54" spans="2:2">
      <c r="B54" s="645"/>
    </row>
    <row r="55" spans="2:2">
      <c r="B55" s="645"/>
    </row>
    <row r="320" ht="15" customHeight="1"/>
  </sheetData>
  <mergeCells count="5">
    <mergeCell ref="B2:F2"/>
    <mergeCell ref="B21:F21"/>
    <mergeCell ref="B27:E27"/>
    <mergeCell ref="B23:E23"/>
    <mergeCell ref="B26:D26"/>
  </mergeCells>
  <printOptions horizontalCentered="1" verticalCentered="1"/>
  <pageMargins left="0.19685039370078741" right="0.19685039370078741" top="0.19685039370078741" bottom="0.19685039370078741" header="0.31496062992125984" footer="0.31496062992125984"/>
  <pageSetup paperSize="9" scale="50" orientation="portrait" r:id="rId1"/>
  <drawing r:id="rId2"/>
  <legacyDrawing r:id="rId3"/>
  <controls>
    <mc:AlternateContent xmlns:mc="http://schemas.openxmlformats.org/markup-compatibility/2006">
      <mc:Choice Requires="x14">
        <control shapeId="119809" r:id="rId4" name="CommandButton1">
          <controlPr defaultSize="0" autoLine="0" autoPict="0" r:id="rId5">
            <anchor moveWithCells="1" sizeWithCells="1">
              <from>
                <xdr:col>1</xdr:col>
                <xdr:colOff>19050</xdr:colOff>
                <xdr:row>2</xdr:row>
                <xdr:rowOff>66675</xdr:rowOff>
              </from>
              <to>
                <xdr:col>1</xdr:col>
                <xdr:colOff>1676400</xdr:colOff>
                <xdr:row>3</xdr:row>
                <xdr:rowOff>190500</xdr:rowOff>
              </to>
            </anchor>
          </controlPr>
        </control>
      </mc:Choice>
      <mc:Fallback>
        <control shapeId="119809" r:id="rId4" name="CommandButton1"/>
      </mc:Fallback>
    </mc:AlternateContent>
    <mc:AlternateContent xmlns:mc="http://schemas.openxmlformats.org/markup-compatibility/2006">
      <mc:Choice Requires="x14">
        <control shapeId="119810" r:id="rId6" name="CommandButton2">
          <controlPr defaultSize="0" autoLine="0" r:id="rId7">
            <anchor moveWithCells="1" sizeWithCells="1">
              <from>
                <xdr:col>0</xdr:col>
                <xdr:colOff>228600</xdr:colOff>
                <xdr:row>30</xdr:row>
                <xdr:rowOff>47625</xdr:rowOff>
              </from>
              <to>
                <xdr:col>1</xdr:col>
                <xdr:colOff>1885950</xdr:colOff>
                <xdr:row>31</xdr:row>
                <xdr:rowOff>209550</xdr:rowOff>
              </to>
            </anchor>
          </controlPr>
        </control>
      </mc:Choice>
      <mc:Fallback>
        <control shapeId="119810" r:id="rId6" name="Command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8"/>
  <dimension ref="A2:S105"/>
  <sheetViews>
    <sheetView showZeros="0" view="pageBreakPreview" zoomScale="55" zoomScaleNormal="85" zoomScaleSheetLayoutView="55" workbookViewId="0"/>
  </sheetViews>
  <sheetFormatPr baseColWidth="10" defaultColWidth="11.42578125" defaultRowHeight="15"/>
  <cols>
    <col min="1" max="1" width="11.42578125" style="606"/>
    <col min="2" max="2" width="24.42578125" style="607" customWidth="1"/>
    <col min="3" max="3" width="19.5703125" style="607" customWidth="1"/>
    <col min="4" max="4" width="24" style="607" customWidth="1"/>
    <col min="5" max="5" width="19.28515625" style="607" customWidth="1"/>
    <col min="6" max="6" width="21" style="607" bestFit="1" customWidth="1"/>
    <col min="7" max="7" width="18.140625" style="607" customWidth="1"/>
    <col min="8" max="8" width="23.42578125" style="607" customWidth="1"/>
    <col min="9" max="9" width="26.140625" style="607" customWidth="1"/>
    <col min="10" max="10" width="25.28515625" style="607" customWidth="1"/>
    <col min="11" max="14" width="23.7109375" style="607" customWidth="1"/>
    <col min="15" max="15" width="22" style="607" customWidth="1"/>
    <col min="16" max="16" width="9.28515625" style="404" customWidth="1"/>
    <col min="17" max="18" width="19" style="404" customWidth="1"/>
    <col min="19" max="20" width="11.42578125" style="404"/>
    <col min="21" max="21" width="12" style="404" bestFit="1" customWidth="1"/>
    <col min="22" max="16384" width="11.42578125" style="404"/>
  </cols>
  <sheetData>
    <row r="2" spans="1:19" ht="26.25" customHeight="1">
      <c r="A2" s="1839" t="s">
        <v>2872</v>
      </c>
      <c r="B2" s="1839"/>
      <c r="C2" s="1839"/>
      <c r="D2" s="1839"/>
      <c r="E2" s="1839"/>
      <c r="F2" s="1839"/>
      <c r="G2" s="1839"/>
      <c r="H2" s="1839"/>
      <c r="I2" s="1839"/>
      <c r="J2" s="1839"/>
      <c r="K2" s="1839"/>
      <c r="L2" s="1839"/>
      <c r="M2" s="1839"/>
      <c r="N2" s="1839"/>
      <c r="O2" s="1839"/>
      <c r="P2" s="1839"/>
      <c r="Q2" s="1839"/>
      <c r="R2" s="1839"/>
      <c r="S2" s="1839"/>
    </row>
    <row r="3" spans="1:19" ht="14.25" customHeight="1">
      <c r="A3" s="605"/>
      <c r="B3" s="605"/>
      <c r="C3" s="605"/>
      <c r="D3" s="605"/>
      <c r="E3" s="605"/>
      <c r="F3" s="605"/>
      <c r="G3" s="605"/>
      <c r="H3" s="605"/>
      <c r="I3" s="605"/>
      <c r="J3" s="605"/>
      <c r="K3" s="605"/>
      <c r="L3" s="605"/>
      <c r="M3" s="605"/>
      <c r="N3" s="605"/>
      <c r="O3" s="605"/>
      <c r="P3" s="605"/>
      <c r="Q3" s="605"/>
      <c r="R3" s="605"/>
      <c r="S3" s="605"/>
    </row>
    <row r="4" spans="1:19" ht="26.25" customHeight="1">
      <c r="A4" s="605"/>
      <c r="B4" s="605"/>
      <c r="C4" s="605"/>
      <c r="D4" s="605"/>
      <c r="E4" s="605"/>
      <c r="F4" s="605"/>
      <c r="G4" s="605"/>
      <c r="H4" s="605"/>
      <c r="I4" s="605"/>
      <c r="J4" s="605"/>
      <c r="K4" s="605"/>
      <c r="L4" s="605"/>
      <c r="M4" s="605"/>
      <c r="N4" s="605"/>
      <c r="O4" s="605"/>
      <c r="P4" s="605"/>
      <c r="Q4" s="605"/>
      <c r="R4" s="605"/>
      <c r="S4" s="605"/>
    </row>
    <row r="5" spans="1:19" ht="15" customHeight="1"/>
    <row r="6" spans="1:19" ht="26.25" customHeight="1">
      <c r="B6" s="608"/>
      <c r="D6" s="609"/>
      <c r="E6" s="610"/>
      <c r="F6" s="404"/>
      <c r="G6" s="404"/>
      <c r="J6" s="611"/>
    </row>
    <row r="7" spans="1:19" ht="24" customHeight="1">
      <c r="A7" s="1166">
        <v>1</v>
      </c>
      <c r="B7" s="1167" t="s">
        <v>2873</v>
      </c>
      <c r="C7" s="613"/>
      <c r="D7" s="614"/>
      <c r="E7" s="615"/>
      <c r="F7" s="403"/>
      <c r="G7" s="403"/>
      <c r="H7" s="613"/>
      <c r="I7" s="613"/>
      <c r="J7" s="616"/>
      <c r="K7" s="613"/>
      <c r="L7" s="613"/>
      <c r="M7" s="613"/>
      <c r="N7" s="613"/>
      <c r="O7" s="403"/>
      <c r="P7" s="403"/>
      <c r="Q7" s="403"/>
      <c r="R7" s="403"/>
      <c r="S7" s="403"/>
    </row>
    <row r="8" spans="1:19" ht="14.25" customHeight="1">
      <c r="E8" s="611"/>
      <c r="J8" s="611"/>
    </row>
    <row r="9" spans="1:19" ht="14.25" customHeight="1">
      <c r="B9" s="617" t="s">
        <v>2874</v>
      </c>
      <c r="E9" s="611"/>
      <c r="J9" s="611"/>
    </row>
    <row r="10" spans="1:19" ht="14.25" customHeight="1">
      <c r="E10" s="611"/>
      <c r="J10" s="611"/>
    </row>
    <row r="11" spans="1:19" s="618" customFormat="1" ht="17.25" customHeight="1">
      <c r="A11" s="608"/>
      <c r="B11" s="1840" t="s">
        <v>786</v>
      </c>
      <c r="C11" s="1832"/>
      <c r="D11" s="1832"/>
      <c r="E11" s="1832"/>
      <c r="F11" s="1832"/>
      <c r="G11" s="1832"/>
      <c r="H11" s="1832"/>
      <c r="I11" s="1832"/>
      <c r="J11" s="1832"/>
      <c r="K11" s="1832"/>
      <c r="L11" s="1832"/>
      <c r="M11" s="1832"/>
      <c r="N11" s="1832"/>
    </row>
    <row r="12" spans="1:19" ht="50.25" customHeight="1">
      <c r="B12" s="1791" t="s">
        <v>1</v>
      </c>
      <c r="C12" s="1792" t="s">
        <v>2</v>
      </c>
      <c r="D12" s="1792" t="s">
        <v>140</v>
      </c>
      <c r="E12" s="1792" t="s">
        <v>2875</v>
      </c>
      <c r="F12" s="1792"/>
      <c r="G12" s="1792" t="s">
        <v>2876</v>
      </c>
      <c r="H12" s="1792"/>
      <c r="I12" s="1792" t="s">
        <v>787</v>
      </c>
      <c r="J12" s="1792"/>
      <c r="K12" s="1792" t="s">
        <v>789</v>
      </c>
      <c r="L12" s="1792"/>
      <c r="M12" s="1792" t="s">
        <v>788</v>
      </c>
      <c r="N12" s="1792"/>
      <c r="Q12" s="1792" t="s">
        <v>792</v>
      </c>
      <c r="R12" s="1792" t="s">
        <v>264</v>
      </c>
    </row>
    <row r="13" spans="1:19" ht="30.75" customHeight="1">
      <c r="B13" s="1791"/>
      <c r="C13" s="1792"/>
      <c r="D13" s="1792"/>
      <c r="E13" s="619" t="s">
        <v>790</v>
      </c>
      <c r="F13" s="619" t="s">
        <v>791</v>
      </c>
      <c r="G13" s="619" t="s">
        <v>790</v>
      </c>
      <c r="H13" s="619" t="s">
        <v>791</v>
      </c>
      <c r="I13" s="619" t="s">
        <v>790</v>
      </c>
      <c r="J13" s="619" t="s">
        <v>791</v>
      </c>
      <c r="K13" s="619" t="s">
        <v>790</v>
      </c>
      <c r="L13" s="619" t="s">
        <v>791</v>
      </c>
      <c r="M13" s="619" t="s">
        <v>790</v>
      </c>
      <c r="N13" s="619" t="s">
        <v>791</v>
      </c>
      <c r="Q13" s="1792"/>
      <c r="R13" s="1792"/>
    </row>
    <row r="14" spans="1:19" s="608" customFormat="1" ht="21" customHeight="1">
      <c r="B14" s="596">
        <v>1</v>
      </c>
      <c r="C14" s="620">
        <f>'Población Y RR.SS'!E8</f>
        <v>0</v>
      </c>
      <c r="D14" s="621">
        <f>'Población Y RR.SS'!C25</f>
        <v>0</v>
      </c>
      <c r="E14" s="622">
        <f>(D14*C14)/1000</f>
        <v>0</v>
      </c>
      <c r="F14" s="623">
        <f>E14*365</f>
        <v>0</v>
      </c>
      <c r="G14" s="624">
        <f>'Población Y RR.SS'!D29</f>
        <v>0</v>
      </c>
      <c r="H14" s="623">
        <f>G14*365</f>
        <v>0</v>
      </c>
      <c r="I14" s="625">
        <f>DATOS!AQ30*DATOS!AQ31*DATOS!Q26/1000</f>
        <v>0</v>
      </c>
      <c r="J14" s="623">
        <f>I14*365</f>
        <v>0</v>
      </c>
      <c r="K14" s="625">
        <f>Q14*R14</f>
        <v>0</v>
      </c>
      <c r="L14" s="623">
        <f>K14*365</f>
        <v>0</v>
      </c>
      <c r="M14" s="626">
        <f>E14+G14+I14+K14</f>
        <v>0</v>
      </c>
      <c r="N14" s="626">
        <f>F14+H14+J14+L14</f>
        <v>0</v>
      </c>
      <c r="Q14" s="627">
        <f>DATOS!AQ26</f>
        <v>0</v>
      </c>
      <c r="R14" s="628">
        <f>DATOS!S82+DATOS!S92</f>
        <v>0</v>
      </c>
    </row>
    <row r="15" spans="1:19" s="606" customFormat="1" ht="21" customHeight="1">
      <c r="B15" s="596">
        <v>2</v>
      </c>
      <c r="C15" s="620">
        <f>'Población Y RR.SS'!E9</f>
        <v>0</v>
      </c>
      <c r="D15" s="629">
        <f>POWER((1+DATOS!$Q$19),('Demanda Oferta'!B15-$B$14))*$D$14</f>
        <v>0</v>
      </c>
      <c r="E15" s="622">
        <f>(D15*C15)/1000</f>
        <v>0</v>
      </c>
      <c r="F15" s="623">
        <f t="shared" ref="F15:F25" si="0">E15*365</f>
        <v>0</v>
      </c>
      <c r="G15" s="630">
        <f>POWER((1+DATOS!$Q$19),(B15-$B$14))*$G$14</f>
        <v>0</v>
      </c>
      <c r="H15" s="623">
        <f>G15*365</f>
        <v>0</v>
      </c>
      <c r="I15" s="625">
        <f>POWER((1+DATOS!$Q$19),(B15-$B$14))*$I$14</f>
        <v>0</v>
      </c>
      <c r="J15" s="623">
        <f>I15*365</f>
        <v>0</v>
      </c>
      <c r="K15" s="625">
        <f t="shared" ref="K15:K24" si="1">Q15*R15</f>
        <v>0</v>
      </c>
      <c r="L15" s="623">
        <f t="shared" ref="L15:L25" si="2">K15*365</f>
        <v>0</v>
      </c>
      <c r="M15" s="626">
        <f t="shared" ref="M15:M25" si="3">E15+G15+I15+K15</f>
        <v>0</v>
      </c>
      <c r="N15" s="626">
        <f t="shared" ref="N15:N25" si="4">F15+H15+J15+L15</f>
        <v>0</v>
      </c>
      <c r="Q15" s="627">
        <f>POWER((1+DATOS!$Q$19),('Demanda Oferta'!B15-'Demanda Oferta'!$B$14))*$Q$14</f>
        <v>0</v>
      </c>
      <c r="R15" s="628">
        <f>POWER((1+DATOS!$Q$18),('Demanda Oferta'!B15-'Demanda Oferta'!$B$14))*$R$14</f>
        <v>0</v>
      </c>
    </row>
    <row r="16" spans="1:19" s="606" customFormat="1" ht="21" customHeight="1">
      <c r="A16" s="631">
        <v>1</v>
      </c>
      <c r="B16" s="849">
        <v>3</v>
      </c>
      <c r="C16" s="620">
        <f>'Población Y RR.SS'!E10</f>
        <v>0</v>
      </c>
      <c r="D16" s="892">
        <f>POWER((1+DATOS!$Q$19),('Demanda Oferta'!B16-$B$14))*$D$14</f>
        <v>0</v>
      </c>
      <c r="E16" s="622">
        <f t="shared" ref="E16:E25" si="5">(D16*C16)/1000</f>
        <v>0</v>
      </c>
      <c r="F16" s="622">
        <f t="shared" si="0"/>
        <v>0</v>
      </c>
      <c r="G16" s="893">
        <f>POWER((1+DATOS!$Q$19),(B16-$B$14))*$G$14</f>
        <v>0</v>
      </c>
      <c r="H16" s="622">
        <f t="shared" ref="H16:H24" si="6">G16*365</f>
        <v>0</v>
      </c>
      <c r="I16" s="625">
        <f>POWER((1+DATOS!$Q$19),(B16-$B$14))*$I$14</f>
        <v>0</v>
      </c>
      <c r="J16" s="622">
        <f t="shared" ref="J16:J25" si="7">I16*365</f>
        <v>0</v>
      </c>
      <c r="K16" s="625">
        <f t="shared" si="1"/>
        <v>0</v>
      </c>
      <c r="L16" s="622">
        <f t="shared" si="2"/>
        <v>0</v>
      </c>
      <c r="M16" s="626">
        <f t="shared" si="3"/>
        <v>0</v>
      </c>
      <c r="N16" s="626">
        <f t="shared" si="4"/>
        <v>0</v>
      </c>
      <c r="O16" s="608"/>
      <c r="P16" s="608"/>
      <c r="Q16" s="627">
        <f>POWER((1+DATOS!$Q$19),('Demanda Oferta'!B16-'Demanda Oferta'!$B$14))*$Q$14</f>
        <v>0</v>
      </c>
      <c r="R16" s="628">
        <f>POWER((1+DATOS!$Q$18),('Demanda Oferta'!B16-'Demanda Oferta'!$B$14))*$R$14</f>
        <v>0</v>
      </c>
    </row>
    <row r="17" spans="1:18" s="606" customFormat="1" ht="21" customHeight="1">
      <c r="A17" s="606">
        <v>2</v>
      </c>
      <c r="B17" s="596">
        <v>4</v>
      </c>
      <c r="C17" s="620">
        <f>'Población Y RR.SS'!E11</f>
        <v>0</v>
      </c>
      <c r="D17" s="629">
        <f>POWER((1+DATOS!$Q$19),('Demanda Oferta'!B17-$B$14))*$D$14</f>
        <v>0</v>
      </c>
      <c r="E17" s="622">
        <f t="shared" si="5"/>
        <v>0</v>
      </c>
      <c r="F17" s="623">
        <f t="shared" si="0"/>
        <v>0</v>
      </c>
      <c r="G17" s="630">
        <f>POWER((1+DATOS!$Q$19),(B17-$B$14))*$G$14</f>
        <v>0</v>
      </c>
      <c r="H17" s="623">
        <f t="shared" si="6"/>
        <v>0</v>
      </c>
      <c r="I17" s="625">
        <f>POWER((1+DATOS!$Q$19),(B17-$B$14))*$I$14</f>
        <v>0</v>
      </c>
      <c r="J17" s="623">
        <f t="shared" si="7"/>
        <v>0</v>
      </c>
      <c r="K17" s="625">
        <f t="shared" si="1"/>
        <v>0</v>
      </c>
      <c r="L17" s="623">
        <f t="shared" si="2"/>
        <v>0</v>
      </c>
      <c r="M17" s="626">
        <f t="shared" si="3"/>
        <v>0</v>
      </c>
      <c r="N17" s="626">
        <f t="shared" si="4"/>
        <v>0</v>
      </c>
      <c r="Q17" s="627">
        <f>POWER((1+DATOS!$Q$19),('Demanda Oferta'!B17-'Demanda Oferta'!$B$14))*$Q$14</f>
        <v>0</v>
      </c>
      <c r="R17" s="628">
        <f>POWER((1+DATOS!$Q$18),('Demanda Oferta'!B17-'Demanda Oferta'!$B$14))*$R$14</f>
        <v>0</v>
      </c>
    </row>
    <row r="18" spans="1:18" s="606" customFormat="1" ht="21" customHeight="1">
      <c r="A18" s="606">
        <v>3</v>
      </c>
      <c r="B18" s="596">
        <v>5</v>
      </c>
      <c r="C18" s="620">
        <f>'Población Y RR.SS'!E12</f>
        <v>0</v>
      </c>
      <c r="D18" s="629">
        <f>POWER((1+DATOS!$Q$19),('Demanda Oferta'!B18-$B$14))*$D$14</f>
        <v>0</v>
      </c>
      <c r="E18" s="622">
        <f t="shared" si="5"/>
        <v>0</v>
      </c>
      <c r="F18" s="623">
        <f t="shared" si="0"/>
        <v>0</v>
      </c>
      <c r="G18" s="630">
        <f>POWER((1+DATOS!$Q$19),(B18-$B$14))*$G$14</f>
        <v>0</v>
      </c>
      <c r="H18" s="623">
        <f>G18*365</f>
        <v>0</v>
      </c>
      <c r="I18" s="625">
        <f>POWER((1+DATOS!$Q$19),(B18-$B$14))*$I$14</f>
        <v>0</v>
      </c>
      <c r="J18" s="623">
        <f t="shared" si="7"/>
        <v>0</v>
      </c>
      <c r="K18" s="625">
        <f t="shared" si="1"/>
        <v>0</v>
      </c>
      <c r="L18" s="623">
        <f t="shared" si="2"/>
        <v>0</v>
      </c>
      <c r="M18" s="626">
        <f t="shared" si="3"/>
        <v>0</v>
      </c>
      <c r="N18" s="626">
        <f t="shared" si="4"/>
        <v>0</v>
      </c>
      <c r="Q18" s="627">
        <f>POWER((1+DATOS!$Q$19),('Demanda Oferta'!B18-'Demanda Oferta'!$B$14))*$Q$14</f>
        <v>0</v>
      </c>
      <c r="R18" s="628">
        <f>POWER((1+DATOS!$Q$18),('Demanda Oferta'!B18-'Demanda Oferta'!$B$14))*$R$14</f>
        <v>0</v>
      </c>
    </row>
    <row r="19" spans="1:18" s="606" customFormat="1" ht="21" customHeight="1">
      <c r="A19" s="606">
        <v>4</v>
      </c>
      <c r="B19" s="596">
        <v>6</v>
      </c>
      <c r="C19" s="620">
        <f>'Población Y RR.SS'!E13</f>
        <v>0</v>
      </c>
      <c r="D19" s="629">
        <f>POWER((1+DATOS!$Q$19),('Demanda Oferta'!B19-$B$14))*$D$14</f>
        <v>0</v>
      </c>
      <c r="E19" s="622">
        <f t="shared" si="5"/>
        <v>0</v>
      </c>
      <c r="F19" s="623">
        <f t="shared" si="0"/>
        <v>0</v>
      </c>
      <c r="G19" s="630">
        <f>POWER((1+DATOS!$Q$19),(B19-$B$14))*$G$14</f>
        <v>0</v>
      </c>
      <c r="H19" s="623">
        <f t="shared" si="6"/>
        <v>0</v>
      </c>
      <c r="I19" s="625">
        <f>POWER((1+DATOS!$Q$19),(B19-$B$14))*$I$14</f>
        <v>0</v>
      </c>
      <c r="J19" s="623">
        <f t="shared" si="7"/>
        <v>0</v>
      </c>
      <c r="K19" s="625">
        <f t="shared" si="1"/>
        <v>0</v>
      </c>
      <c r="L19" s="623">
        <f t="shared" si="2"/>
        <v>0</v>
      </c>
      <c r="M19" s="626">
        <f t="shared" si="3"/>
        <v>0</v>
      </c>
      <c r="N19" s="626">
        <f t="shared" si="4"/>
        <v>0</v>
      </c>
      <c r="Q19" s="627">
        <f>POWER((1+DATOS!$Q$19),('Demanda Oferta'!B19-'Demanda Oferta'!$B$14))*$Q$14</f>
        <v>0</v>
      </c>
      <c r="R19" s="628">
        <f>POWER((1+DATOS!$Q$18),('Demanda Oferta'!B19-'Demanda Oferta'!$B$14))*$R$14</f>
        <v>0</v>
      </c>
    </row>
    <row r="20" spans="1:18" s="606" customFormat="1" ht="21" customHeight="1">
      <c r="A20" s="606">
        <v>5</v>
      </c>
      <c r="B20" s="596">
        <v>7</v>
      </c>
      <c r="C20" s="620">
        <f>'Población Y RR.SS'!E14</f>
        <v>0</v>
      </c>
      <c r="D20" s="629">
        <f>POWER((1+DATOS!$Q$19),('Demanda Oferta'!B20-$B$14))*$D$14</f>
        <v>0</v>
      </c>
      <c r="E20" s="622">
        <f t="shared" si="5"/>
        <v>0</v>
      </c>
      <c r="F20" s="623">
        <f t="shared" si="0"/>
        <v>0</v>
      </c>
      <c r="G20" s="630">
        <f>POWER((1+DATOS!$Q$19),(B20-$B$14))*$G$14</f>
        <v>0</v>
      </c>
      <c r="H20" s="623">
        <f t="shared" si="6"/>
        <v>0</v>
      </c>
      <c r="I20" s="625">
        <f>POWER((1+DATOS!$Q$19),(B20-$B$14))*$I$14</f>
        <v>0</v>
      </c>
      <c r="J20" s="623">
        <f t="shared" si="7"/>
        <v>0</v>
      </c>
      <c r="K20" s="625">
        <f t="shared" si="1"/>
        <v>0</v>
      </c>
      <c r="L20" s="623">
        <f t="shared" si="2"/>
        <v>0</v>
      </c>
      <c r="M20" s="626">
        <f t="shared" si="3"/>
        <v>0</v>
      </c>
      <c r="N20" s="626">
        <f t="shared" si="4"/>
        <v>0</v>
      </c>
      <c r="Q20" s="627">
        <f>POWER((1+DATOS!$Q$19),('Demanda Oferta'!B20-'Demanda Oferta'!$B$14))*$Q$14</f>
        <v>0</v>
      </c>
      <c r="R20" s="628">
        <f>POWER((1+DATOS!$Q$18),('Demanda Oferta'!B20-'Demanda Oferta'!$B$14))*$R$14</f>
        <v>0</v>
      </c>
    </row>
    <row r="21" spans="1:18" s="608" customFormat="1" ht="21" customHeight="1">
      <c r="A21" s="606">
        <v>6</v>
      </c>
      <c r="B21" s="596">
        <v>8</v>
      </c>
      <c r="C21" s="620">
        <f>'Población Y RR.SS'!E15</f>
        <v>0</v>
      </c>
      <c r="D21" s="629">
        <f>POWER((1+DATOS!$Q$19),('Demanda Oferta'!B21-$B$14))*$D$14</f>
        <v>0</v>
      </c>
      <c r="E21" s="622">
        <f t="shared" si="5"/>
        <v>0</v>
      </c>
      <c r="F21" s="623">
        <f t="shared" si="0"/>
        <v>0</v>
      </c>
      <c r="G21" s="630">
        <f>POWER((1+DATOS!$Q$19),(B21-$B$14))*$G$14</f>
        <v>0</v>
      </c>
      <c r="H21" s="623">
        <f t="shared" si="6"/>
        <v>0</v>
      </c>
      <c r="I21" s="625">
        <f>POWER((1+DATOS!$Q$19),(B21-$B$14))*$I$14</f>
        <v>0</v>
      </c>
      <c r="J21" s="623">
        <f t="shared" si="7"/>
        <v>0</v>
      </c>
      <c r="K21" s="625">
        <f t="shared" si="1"/>
        <v>0</v>
      </c>
      <c r="L21" s="623">
        <f t="shared" si="2"/>
        <v>0</v>
      </c>
      <c r="M21" s="626">
        <f t="shared" si="3"/>
        <v>0</v>
      </c>
      <c r="N21" s="626">
        <f t="shared" si="4"/>
        <v>0</v>
      </c>
      <c r="Q21" s="627">
        <f>POWER((1+DATOS!$Q$19),('Demanda Oferta'!B21-'Demanda Oferta'!$B$14))*$Q$14</f>
        <v>0</v>
      </c>
      <c r="R21" s="628">
        <f>POWER((1+DATOS!$Q$18),('Demanda Oferta'!B21-'Demanda Oferta'!$B$14))*$R$14</f>
        <v>0</v>
      </c>
    </row>
    <row r="22" spans="1:18" s="608" customFormat="1" ht="21" customHeight="1">
      <c r="A22" s="606">
        <v>7</v>
      </c>
      <c r="B22" s="596">
        <v>9</v>
      </c>
      <c r="C22" s="620">
        <f>'Población Y RR.SS'!E16</f>
        <v>0</v>
      </c>
      <c r="D22" s="629">
        <f>POWER((1+DATOS!$Q$19),('Demanda Oferta'!B22-$B$14))*$D$14</f>
        <v>0</v>
      </c>
      <c r="E22" s="622">
        <f t="shared" si="5"/>
        <v>0</v>
      </c>
      <c r="F22" s="623">
        <f t="shared" si="0"/>
        <v>0</v>
      </c>
      <c r="G22" s="630">
        <f>POWER((1+DATOS!$Q$19),(B22-$B$14))*$G$14</f>
        <v>0</v>
      </c>
      <c r="H22" s="623">
        <f t="shared" si="6"/>
        <v>0</v>
      </c>
      <c r="I22" s="625">
        <f>POWER((1+DATOS!$Q$19),(B22-$B$14))*$I$14</f>
        <v>0</v>
      </c>
      <c r="J22" s="623">
        <f t="shared" si="7"/>
        <v>0</v>
      </c>
      <c r="K22" s="625">
        <f t="shared" si="1"/>
        <v>0</v>
      </c>
      <c r="L22" s="623">
        <f t="shared" si="2"/>
        <v>0</v>
      </c>
      <c r="M22" s="626">
        <f t="shared" si="3"/>
        <v>0</v>
      </c>
      <c r="N22" s="626">
        <f t="shared" si="4"/>
        <v>0</v>
      </c>
      <c r="Q22" s="627">
        <f>POWER((1+DATOS!$Q$19),('Demanda Oferta'!B22-'Demanda Oferta'!$B$14))*$Q$14</f>
        <v>0</v>
      </c>
      <c r="R22" s="628">
        <f>POWER((1+DATOS!$Q$18),('Demanda Oferta'!B22-'Demanda Oferta'!$B$14))*$R$14</f>
        <v>0</v>
      </c>
    </row>
    <row r="23" spans="1:18" s="608" customFormat="1" ht="21" customHeight="1">
      <c r="A23" s="606">
        <v>8</v>
      </c>
      <c r="B23" s="596">
        <v>10</v>
      </c>
      <c r="C23" s="620">
        <f>'Población Y RR.SS'!E17</f>
        <v>0</v>
      </c>
      <c r="D23" s="629">
        <f>POWER((1+DATOS!$Q$19),('Demanda Oferta'!B23-$B$14))*$D$14</f>
        <v>0</v>
      </c>
      <c r="E23" s="622">
        <f t="shared" si="5"/>
        <v>0</v>
      </c>
      <c r="F23" s="623">
        <f t="shared" si="0"/>
        <v>0</v>
      </c>
      <c r="G23" s="630">
        <f>POWER((1+DATOS!$Q$19),(B23-$B$14))*$G$14</f>
        <v>0</v>
      </c>
      <c r="H23" s="623">
        <f t="shared" si="6"/>
        <v>0</v>
      </c>
      <c r="I23" s="625">
        <f>POWER((1+DATOS!$Q$19),(B23-$B$14))*$I$14</f>
        <v>0</v>
      </c>
      <c r="J23" s="623">
        <f t="shared" si="7"/>
        <v>0</v>
      </c>
      <c r="K23" s="625">
        <f t="shared" si="1"/>
        <v>0</v>
      </c>
      <c r="L23" s="623">
        <f t="shared" si="2"/>
        <v>0</v>
      </c>
      <c r="M23" s="626">
        <f t="shared" si="3"/>
        <v>0</v>
      </c>
      <c r="N23" s="626">
        <f t="shared" si="4"/>
        <v>0</v>
      </c>
      <c r="Q23" s="627">
        <f>POWER((1+DATOS!$Q$19),('Demanda Oferta'!B23-'Demanda Oferta'!$B$14))*$Q$14</f>
        <v>0</v>
      </c>
      <c r="R23" s="628">
        <f>POWER((1+DATOS!$Q$18),('Demanda Oferta'!B23-'Demanda Oferta'!$B$14))*$R$14</f>
        <v>0</v>
      </c>
    </row>
    <row r="24" spans="1:18" s="608" customFormat="1" ht="21" customHeight="1">
      <c r="A24" s="606">
        <v>9</v>
      </c>
      <c r="B24" s="596">
        <v>11</v>
      </c>
      <c r="C24" s="620">
        <f>'Población Y RR.SS'!E18</f>
        <v>0</v>
      </c>
      <c r="D24" s="629">
        <f>POWER((1+DATOS!$Q$19),('Demanda Oferta'!B24-$B$14))*$D$14</f>
        <v>0</v>
      </c>
      <c r="E24" s="622">
        <f t="shared" si="5"/>
        <v>0</v>
      </c>
      <c r="F24" s="623">
        <f t="shared" si="0"/>
        <v>0</v>
      </c>
      <c r="G24" s="630">
        <f>POWER((1+DATOS!$Q$19),(B24-$B$14))*$G$14</f>
        <v>0</v>
      </c>
      <c r="H24" s="623">
        <f t="shared" si="6"/>
        <v>0</v>
      </c>
      <c r="I24" s="625">
        <f>POWER((1+DATOS!$Q$19),(B24-$B$14))*$I$14</f>
        <v>0</v>
      </c>
      <c r="J24" s="623">
        <f t="shared" si="7"/>
        <v>0</v>
      </c>
      <c r="K24" s="625">
        <f t="shared" si="1"/>
        <v>0</v>
      </c>
      <c r="L24" s="623">
        <f t="shared" si="2"/>
        <v>0</v>
      </c>
      <c r="M24" s="626">
        <f t="shared" si="3"/>
        <v>0</v>
      </c>
      <c r="N24" s="626">
        <f t="shared" si="4"/>
        <v>0</v>
      </c>
      <c r="Q24" s="627">
        <f>POWER((1+DATOS!$Q$19),('Demanda Oferta'!B24-'Demanda Oferta'!$B$14))*$Q$14</f>
        <v>0</v>
      </c>
      <c r="R24" s="628">
        <f>POWER((1+DATOS!$Q$18),('Demanda Oferta'!B24-'Demanda Oferta'!$B$14))*$R$14</f>
        <v>0</v>
      </c>
    </row>
    <row r="25" spans="1:18" s="608" customFormat="1" ht="21" customHeight="1">
      <c r="A25" s="606">
        <v>10</v>
      </c>
      <c r="B25" s="596">
        <v>12</v>
      </c>
      <c r="C25" s="620">
        <f>'Población Y RR.SS'!E19</f>
        <v>0</v>
      </c>
      <c r="D25" s="629">
        <f>POWER((1+DATOS!$Q$19),('Demanda Oferta'!B25-$B$14))*$D$14</f>
        <v>0</v>
      </c>
      <c r="E25" s="622">
        <f t="shared" si="5"/>
        <v>0</v>
      </c>
      <c r="F25" s="623">
        <f t="shared" si="0"/>
        <v>0</v>
      </c>
      <c r="G25" s="630">
        <f>POWER((1+DATOS!$Q$19),(B25-$B$14))*$G$14</f>
        <v>0</v>
      </c>
      <c r="H25" s="623">
        <f>G25*365</f>
        <v>0</v>
      </c>
      <c r="I25" s="625">
        <f>POWER((1+DATOS!$Q$19),(B25-$B$14))*$I$14</f>
        <v>0</v>
      </c>
      <c r="J25" s="623">
        <f t="shared" si="7"/>
        <v>0</v>
      </c>
      <c r="K25" s="625">
        <f>Q25*R25</f>
        <v>0</v>
      </c>
      <c r="L25" s="623">
        <f t="shared" si="2"/>
        <v>0</v>
      </c>
      <c r="M25" s="626">
        <f t="shared" si="3"/>
        <v>0</v>
      </c>
      <c r="N25" s="626">
        <f t="shared" si="4"/>
        <v>0</v>
      </c>
      <c r="Q25" s="627">
        <f>POWER((1+DATOS!$Q$19),('Demanda Oferta'!B25-'Demanda Oferta'!$B$14))*$Q$14</f>
        <v>0</v>
      </c>
      <c r="R25" s="628">
        <f>POWER((1+DATOS!$Q$18),('Demanda Oferta'!B25-'Demanda Oferta'!$B$14))*$R$14</f>
        <v>0</v>
      </c>
    </row>
    <row r="26" spans="1:18" ht="15" customHeight="1">
      <c r="J26" s="632"/>
    </row>
    <row r="27" spans="1:18">
      <c r="H27" s="633"/>
      <c r="I27" s="633"/>
      <c r="J27" s="633"/>
      <c r="K27" s="608"/>
      <c r="L27" s="634"/>
      <c r="Q27" s="607"/>
      <c r="R27" s="607"/>
    </row>
    <row r="29" spans="1:18" ht="33" customHeight="1">
      <c r="B29" s="1841" t="s">
        <v>1</v>
      </c>
      <c r="C29" s="1843" t="s">
        <v>705</v>
      </c>
      <c r="D29" s="1845" t="s">
        <v>148</v>
      </c>
      <c r="E29" s="1846"/>
      <c r="F29" s="1847"/>
      <c r="G29" s="1843" t="s">
        <v>144</v>
      </c>
      <c r="H29" s="1843" t="s">
        <v>706</v>
      </c>
      <c r="I29" s="1845" t="s">
        <v>2877</v>
      </c>
      <c r="J29" s="1846"/>
      <c r="K29" s="1847"/>
      <c r="L29" s="635"/>
      <c r="M29" s="633"/>
      <c r="N29" s="633"/>
    </row>
    <row r="30" spans="1:18" ht="32.25" customHeight="1">
      <c r="B30" s="1842"/>
      <c r="C30" s="1844"/>
      <c r="D30" s="619" t="s">
        <v>145</v>
      </c>
      <c r="E30" s="619" t="s">
        <v>147</v>
      </c>
      <c r="F30" s="619" t="s">
        <v>146</v>
      </c>
      <c r="G30" s="1844"/>
      <c r="H30" s="1844"/>
      <c r="I30" s="619" t="s">
        <v>529</v>
      </c>
      <c r="J30" s="619" t="s">
        <v>530</v>
      </c>
      <c r="K30" s="619" t="s">
        <v>2878</v>
      </c>
      <c r="L30" s="635"/>
      <c r="M30" s="633"/>
      <c r="N30" s="633"/>
    </row>
    <row r="31" spans="1:18" ht="23.25" customHeight="1">
      <c r="B31" s="596">
        <v>1</v>
      </c>
      <c r="C31" s="636">
        <f t="shared" ref="C31:C42" si="8">E14</f>
        <v>0</v>
      </c>
      <c r="D31" s="636">
        <f t="shared" ref="D31:D42" si="9">G14</f>
        <v>0</v>
      </c>
      <c r="E31" s="636">
        <f t="shared" ref="E31:E42" si="10">I14</f>
        <v>0</v>
      </c>
      <c r="F31" s="636">
        <f>K14</f>
        <v>0</v>
      </c>
      <c r="G31" s="637">
        <f>SUM(C31:F31)</f>
        <v>0</v>
      </c>
      <c r="H31" s="637">
        <f>G31*365</f>
        <v>0</v>
      </c>
      <c r="I31" s="636">
        <f>E31</f>
        <v>0</v>
      </c>
      <c r="J31" s="636">
        <f>F31</f>
        <v>0</v>
      </c>
      <c r="K31" s="636">
        <f>C31+D31+E31+F31</f>
        <v>0</v>
      </c>
      <c r="L31" s="638"/>
      <c r="M31" s="638"/>
      <c r="N31" s="633"/>
    </row>
    <row r="32" spans="1:18" ht="23.25" customHeight="1">
      <c r="B32" s="596">
        <v>2</v>
      </c>
      <c r="C32" s="636">
        <f t="shared" si="8"/>
        <v>0</v>
      </c>
      <c r="D32" s="636">
        <f t="shared" si="9"/>
        <v>0</v>
      </c>
      <c r="E32" s="636">
        <f t="shared" si="10"/>
        <v>0</v>
      </c>
      <c r="F32" s="636">
        <f t="shared" ref="F32:F42" si="11">K15</f>
        <v>0</v>
      </c>
      <c r="G32" s="637">
        <f t="shared" ref="G32:G42" si="12">SUM(C32:F32)</f>
        <v>0</v>
      </c>
      <c r="H32" s="637">
        <f t="shared" ref="H32:H42" si="13">G32*365</f>
        <v>0</v>
      </c>
      <c r="I32" s="636">
        <f t="shared" ref="I32:I42" si="14">E32</f>
        <v>0</v>
      </c>
      <c r="J32" s="636">
        <f t="shared" ref="J32:J42" si="15">F32</f>
        <v>0</v>
      </c>
      <c r="K32" s="636">
        <f t="shared" ref="K32:K42" si="16">C32+D32+E32+F32</f>
        <v>0</v>
      </c>
      <c r="L32" s="638"/>
      <c r="M32" s="638"/>
      <c r="N32" s="633"/>
    </row>
    <row r="33" spans="1:15" ht="23.25" customHeight="1">
      <c r="B33" s="596">
        <v>3</v>
      </c>
      <c r="C33" s="636">
        <f t="shared" si="8"/>
        <v>0</v>
      </c>
      <c r="D33" s="636">
        <f t="shared" si="9"/>
        <v>0</v>
      </c>
      <c r="E33" s="636">
        <f t="shared" si="10"/>
        <v>0</v>
      </c>
      <c r="F33" s="636">
        <f t="shared" si="11"/>
        <v>0</v>
      </c>
      <c r="G33" s="637">
        <f t="shared" si="12"/>
        <v>0</v>
      </c>
      <c r="H33" s="637">
        <f t="shared" si="13"/>
        <v>0</v>
      </c>
      <c r="I33" s="636">
        <f t="shared" si="14"/>
        <v>0</v>
      </c>
      <c r="J33" s="636">
        <f t="shared" si="15"/>
        <v>0</v>
      </c>
      <c r="K33" s="636">
        <f t="shared" si="16"/>
        <v>0</v>
      </c>
      <c r="L33" s="638"/>
      <c r="M33" s="638"/>
      <c r="N33" s="633"/>
    </row>
    <row r="34" spans="1:15" ht="23.25" customHeight="1">
      <c r="B34" s="596">
        <v>4</v>
      </c>
      <c r="C34" s="636">
        <f t="shared" si="8"/>
        <v>0</v>
      </c>
      <c r="D34" s="636">
        <f t="shared" si="9"/>
        <v>0</v>
      </c>
      <c r="E34" s="636">
        <f t="shared" si="10"/>
        <v>0</v>
      </c>
      <c r="F34" s="636">
        <f t="shared" si="11"/>
        <v>0</v>
      </c>
      <c r="G34" s="637">
        <f t="shared" si="12"/>
        <v>0</v>
      </c>
      <c r="H34" s="637">
        <f t="shared" si="13"/>
        <v>0</v>
      </c>
      <c r="I34" s="636">
        <f t="shared" si="14"/>
        <v>0</v>
      </c>
      <c r="J34" s="636">
        <f t="shared" si="15"/>
        <v>0</v>
      </c>
      <c r="K34" s="636">
        <f t="shared" si="16"/>
        <v>0</v>
      </c>
      <c r="L34" s="638"/>
      <c r="M34" s="638"/>
      <c r="N34" s="633"/>
    </row>
    <row r="35" spans="1:15" ht="23.25" customHeight="1">
      <c r="B35" s="596">
        <v>5</v>
      </c>
      <c r="C35" s="636">
        <f t="shared" si="8"/>
        <v>0</v>
      </c>
      <c r="D35" s="636">
        <f t="shared" si="9"/>
        <v>0</v>
      </c>
      <c r="E35" s="636">
        <f t="shared" si="10"/>
        <v>0</v>
      </c>
      <c r="F35" s="636">
        <f t="shared" si="11"/>
        <v>0</v>
      </c>
      <c r="G35" s="637">
        <f t="shared" si="12"/>
        <v>0</v>
      </c>
      <c r="H35" s="637">
        <f t="shared" si="13"/>
        <v>0</v>
      </c>
      <c r="I35" s="636">
        <f t="shared" si="14"/>
        <v>0</v>
      </c>
      <c r="J35" s="636">
        <f t="shared" si="15"/>
        <v>0</v>
      </c>
      <c r="K35" s="636">
        <f t="shared" si="16"/>
        <v>0</v>
      </c>
      <c r="L35" s="638"/>
      <c r="M35" s="638"/>
      <c r="N35" s="633"/>
    </row>
    <row r="36" spans="1:15" ht="23.25" customHeight="1">
      <c r="B36" s="596">
        <v>6</v>
      </c>
      <c r="C36" s="636">
        <f t="shared" si="8"/>
        <v>0</v>
      </c>
      <c r="D36" s="636">
        <f t="shared" si="9"/>
        <v>0</v>
      </c>
      <c r="E36" s="636">
        <f t="shared" si="10"/>
        <v>0</v>
      </c>
      <c r="F36" s="636">
        <f t="shared" si="11"/>
        <v>0</v>
      </c>
      <c r="G36" s="637">
        <f t="shared" si="12"/>
        <v>0</v>
      </c>
      <c r="H36" s="637">
        <f t="shared" si="13"/>
        <v>0</v>
      </c>
      <c r="I36" s="636">
        <f t="shared" si="14"/>
        <v>0</v>
      </c>
      <c r="J36" s="636">
        <f t="shared" si="15"/>
        <v>0</v>
      </c>
      <c r="K36" s="636">
        <f t="shared" si="16"/>
        <v>0</v>
      </c>
      <c r="L36" s="638"/>
      <c r="M36" s="638"/>
      <c r="N36" s="633"/>
    </row>
    <row r="37" spans="1:15" ht="23.25" customHeight="1">
      <c r="B37" s="596">
        <v>7</v>
      </c>
      <c r="C37" s="636">
        <f t="shared" si="8"/>
        <v>0</v>
      </c>
      <c r="D37" s="636">
        <f t="shared" si="9"/>
        <v>0</v>
      </c>
      <c r="E37" s="636">
        <f t="shared" si="10"/>
        <v>0</v>
      </c>
      <c r="F37" s="636">
        <f t="shared" si="11"/>
        <v>0</v>
      </c>
      <c r="G37" s="637">
        <f t="shared" si="12"/>
        <v>0</v>
      </c>
      <c r="H37" s="637">
        <f t="shared" si="13"/>
        <v>0</v>
      </c>
      <c r="I37" s="636">
        <f t="shared" si="14"/>
        <v>0</v>
      </c>
      <c r="J37" s="636">
        <f t="shared" si="15"/>
        <v>0</v>
      </c>
      <c r="K37" s="636">
        <f t="shared" si="16"/>
        <v>0</v>
      </c>
      <c r="L37" s="638"/>
      <c r="M37" s="638"/>
      <c r="N37" s="633"/>
    </row>
    <row r="38" spans="1:15" ht="23.25" customHeight="1">
      <c r="B38" s="596">
        <v>8</v>
      </c>
      <c r="C38" s="636">
        <f t="shared" si="8"/>
        <v>0</v>
      </c>
      <c r="D38" s="636">
        <f t="shared" si="9"/>
        <v>0</v>
      </c>
      <c r="E38" s="636">
        <f t="shared" si="10"/>
        <v>0</v>
      </c>
      <c r="F38" s="636">
        <f t="shared" si="11"/>
        <v>0</v>
      </c>
      <c r="G38" s="637">
        <f t="shared" si="12"/>
        <v>0</v>
      </c>
      <c r="H38" s="637">
        <f t="shared" si="13"/>
        <v>0</v>
      </c>
      <c r="I38" s="636">
        <f t="shared" si="14"/>
        <v>0</v>
      </c>
      <c r="J38" s="636">
        <f t="shared" si="15"/>
        <v>0</v>
      </c>
      <c r="K38" s="636">
        <f t="shared" si="16"/>
        <v>0</v>
      </c>
      <c r="L38" s="638"/>
      <c r="M38" s="638"/>
      <c r="N38" s="633"/>
    </row>
    <row r="39" spans="1:15" ht="23.25" customHeight="1">
      <c r="B39" s="596">
        <v>9</v>
      </c>
      <c r="C39" s="636">
        <f t="shared" si="8"/>
        <v>0</v>
      </c>
      <c r="D39" s="636">
        <f t="shared" si="9"/>
        <v>0</v>
      </c>
      <c r="E39" s="636">
        <f t="shared" si="10"/>
        <v>0</v>
      </c>
      <c r="F39" s="636">
        <f t="shared" si="11"/>
        <v>0</v>
      </c>
      <c r="G39" s="637">
        <f t="shared" si="12"/>
        <v>0</v>
      </c>
      <c r="H39" s="637">
        <f t="shared" si="13"/>
        <v>0</v>
      </c>
      <c r="I39" s="636">
        <f t="shared" si="14"/>
        <v>0</v>
      </c>
      <c r="J39" s="636">
        <f t="shared" si="15"/>
        <v>0</v>
      </c>
      <c r="K39" s="636">
        <f t="shared" si="16"/>
        <v>0</v>
      </c>
      <c r="L39" s="638"/>
      <c r="M39" s="638"/>
      <c r="N39" s="633"/>
    </row>
    <row r="40" spans="1:15" ht="23.25" customHeight="1">
      <c r="B40" s="596">
        <v>10</v>
      </c>
      <c r="C40" s="636">
        <f t="shared" si="8"/>
        <v>0</v>
      </c>
      <c r="D40" s="636">
        <f t="shared" si="9"/>
        <v>0</v>
      </c>
      <c r="E40" s="636">
        <f t="shared" si="10"/>
        <v>0</v>
      </c>
      <c r="F40" s="636">
        <f t="shared" si="11"/>
        <v>0</v>
      </c>
      <c r="G40" s="637">
        <f t="shared" si="12"/>
        <v>0</v>
      </c>
      <c r="H40" s="637">
        <f t="shared" si="13"/>
        <v>0</v>
      </c>
      <c r="I40" s="636">
        <f t="shared" si="14"/>
        <v>0</v>
      </c>
      <c r="J40" s="636">
        <f t="shared" si="15"/>
        <v>0</v>
      </c>
      <c r="K40" s="636">
        <f t="shared" si="16"/>
        <v>0</v>
      </c>
      <c r="L40" s="638"/>
      <c r="M40" s="638"/>
      <c r="N40" s="633"/>
    </row>
    <row r="41" spans="1:15" ht="23.25" customHeight="1">
      <c r="B41" s="596">
        <v>11</v>
      </c>
      <c r="C41" s="636">
        <f t="shared" si="8"/>
        <v>0</v>
      </c>
      <c r="D41" s="636">
        <f t="shared" si="9"/>
        <v>0</v>
      </c>
      <c r="E41" s="636">
        <f t="shared" si="10"/>
        <v>0</v>
      </c>
      <c r="F41" s="636">
        <f t="shared" si="11"/>
        <v>0</v>
      </c>
      <c r="G41" s="637">
        <f t="shared" si="12"/>
        <v>0</v>
      </c>
      <c r="H41" s="637">
        <f t="shared" si="13"/>
        <v>0</v>
      </c>
      <c r="I41" s="636">
        <f t="shared" si="14"/>
        <v>0</v>
      </c>
      <c r="J41" s="636">
        <f t="shared" si="15"/>
        <v>0</v>
      </c>
      <c r="K41" s="636">
        <f t="shared" si="16"/>
        <v>0</v>
      </c>
      <c r="L41" s="638"/>
      <c r="M41" s="638"/>
      <c r="N41" s="633"/>
    </row>
    <row r="42" spans="1:15" ht="23.25" customHeight="1">
      <c r="B42" s="596">
        <v>12</v>
      </c>
      <c r="C42" s="636">
        <f t="shared" si="8"/>
        <v>0</v>
      </c>
      <c r="D42" s="636">
        <f t="shared" si="9"/>
        <v>0</v>
      </c>
      <c r="E42" s="636">
        <f t="shared" si="10"/>
        <v>0</v>
      </c>
      <c r="F42" s="636">
        <f t="shared" si="11"/>
        <v>0</v>
      </c>
      <c r="G42" s="637">
        <f t="shared" si="12"/>
        <v>0</v>
      </c>
      <c r="H42" s="637">
        <f t="shared" si="13"/>
        <v>0</v>
      </c>
      <c r="I42" s="636">
        <f t="shared" si="14"/>
        <v>0</v>
      </c>
      <c r="J42" s="636">
        <f t="shared" si="15"/>
        <v>0</v>
      </c>
      <c r="K42" s="636">
        <f t="shared" si="16"/>
        <v>0</v>
      </c>
      <c r="L42" s="638"/>
      <c r="M42" s="638"/>
      <c r="N42" s="633"/>
    </row>
    <row r="43" spans="1:15">
      <c r="L43" s="633"/>
      <c r="M43" s="633"/>
      <c r="N43" s="633"/>
    </row>
    <row r="44" spans="1:15">
      <c r="L44" s="633"/>
      <c r="M44" s="633"/>
      <c r="N44" s="633"/>
    </row>
    <row r="45" spans="1:15" s="405" customFormat="1" ht="14.25" customHeight="1">
      <c r="A45" s="639"/>
      <c r="B45" s="617" t="s">
        <v>2611</v>
      </c>
      <c r="C45" s="618"/>
      <c r="D45" s="640"/>
      <c r="E45" s="641"/>
      <c r="H45" s="618"/>
      <c r="I45" s="618"/>
      <c r="J45" s="642"/>
      <c r="K45" s="618"/>
      <c r="L45" s="618"/>
      <c r="M45" s="618"/>
      <c r="N45" s="618"/>
      <c r="O45" s="618"/>
    </row>
    <row r="46" spans="1:15" ht="14.25" customHeight="1">
      <c r="E46" s="611"/>
      <c r="J46" s="611"/>
    </row>
    <row r="47" spans="1:15" ht="15" customHeight="1"/>
    <row r="48" spans="1:15" s="618" customFormat="1" ht="17.25" customHeight="1">
      <c r="A48" s="608"/>
      <c r="B48" s="1791" t="s">
        <v>786</v>
      </c>
      <c r="C48" s="1791"/>
      <c r="D48" s="1791"/>
      <c r="E48" s="1791"/>
      <c r="F48" s="1791"/>
      <c r="G48" s="1791"/>
      <c r="H48" s="1791"/>
    </row>
    <row r="49" spans="2:18" ht="50.25" customHeight="1">
      <c r="B49" s="1791" t="s">
        <v>1</v>
      </c>
      <c r="C49" s="1792" t="s">
        <v>787</v>
      </c>
      <c r="D49" s="1792"/>
      <c r="E49" s="1792" t="s">
        <v>789</v>
      </c>
      <c r="F49" s="1792"/>
      <c r="G49" s="1792" t="s">
        <v>258</v>
      </c>
      <c r="H49" s="1792"/>
      <c r="I49" s="404"/>
      <c r="J49" s="404"/>
      <c r="K49" s="404"/>
      <c r="L49" s="404"/>
      <c r="M49" s="404"/>
      <c r="N49" s="404"/>
      <c r="O49" s="1792" t="s">
        <v>829</v>
      </c>
      <c r="Q49" s="1792" t="s">
        <v>704</v>
      </c>
      <c r="R49" s="1792" t="s">
        <v>264</v>
      </c>
    </row>
    <row r="50" spans="2:18" ht="30.75" customHeight="1">
      <c r="B50" s="1791"/>
      <c r="C50" s="619" t="s">
        <v>790</v>
      </c>
      <c r="D50" s="619" t="s">
        <v>791</v>
      </c>
      <c r="E50" s="619" t="s">
        <v>790</v>
      </c>
      <c r="F50" s="619" t="s">
        <v>791</v>
      </c>
      <c r="G50" s="619" t="s">
        <v>790</v>
      </c>
      <c r="H50" s="619" t="s">
        <v>791</v>
      </c>
      <c r="I50" s="404"/>
      <c r="J50" s="404"/>
      <c r="K50" s="404"/>
      <c r="L50" s="404"/>
      <c r="M50" s="404"/>
      <c r="N50" s="404"/>
      <c r="O50" s="1792"/>
      <c r="Q50" s="1792"/>
      <c r="R50" s="1792"/>
    </row>
    <row r="51" spans="2:18" s="608" customFormat="1" ht="21" customHeight="1">
      <c r="B51" s="596">
        <v>1</v>
      </c>
      <c r="C51" s="625">
        <f>DATOS!V44+DATOS!V60</f>
        <v>0</v>
      </c>
      <c r="D51" s="637">
        <f>C51*365</f>
        <v>0</v>
      </c>
      <c r="E51" s="625">
        <f t="shared" ref="E51:E62" si="17">Q51*R51</f>
        <v>0</v>
      </c>
      <c r="F51" s="623">
        <f>E51*365</f>
        <v>0</v>
      </c>
      <c r="G51" s="626">
        <f>DATOS!AT128</f>
        <v>0</v>
      </c>
      <c r="H51" s="626">
        <f>G51*365</f>
        <v>0</v>
      </c>
      <c r="O51" s="643">
        <v>1.7</v>
      </c>
      <c r="Q51" s="628">
        <f t="shared" ref="Q51:Q62" si="18">Q14</f>
        <v>0</v>
      </c>
      <c r="R51" s="628">
        <f>$O$51*DATOS!N71</f>
        <v>0</v>
      </c>
    </row>
    <row r="52" spans="2:18" s="606" customFormat="1" ht="21" customHeight="1">
      <c r="B52" s="596">
        <v>2</v>
      </c>
      <c r="C52" s="625">
        <f>C51</f>
        <v>0</v>
      </c>
      <c r="D52" s="637">
        <f t="shared" ref="D52:D62" si="19">C52*365</f>
        <v>0</v>
      </c>
      <c r="E52" s="625">
        <f t="shared" si="17"/>
        <v>0</v>
      </c>
      <c r="F52" s="623">
        <f>E52*365</f>
        <v>0</v>
      </c>
      <c r="G52" s="626">
        <f>G51</f>
        <v>0</v>
      </c>
      <c r="H52" s="626">
        <f>G52*365</f>
        <v>0</v>
      </c>
      <c r="Q52" s="628">
        <f t="shared" si="18"/>
        <v>0</v>
      </c>
      <c r="R52" s="628">
        <f t="shared" ref="R52:R62" si="20">R51</f>
        <v>0</v>
      </c>
    </row>
    <row r="53" spans="2:18" s="606" customFormat="1" ht="21" customHeight="1">
      <c r="B53" s="596">
        <v>3</v>
      </c>
      <c r="C53" s="625">
        <f t="shared" ref="C53:C62" si="21">C52</f>
        <v>0</v>
      </c>
      <c r="D53" s="637">
        <f t="shared" si="19"/>
        <v>0</v>
      </c>
      <c r="E53" s="625">
        <f t="shared" si="17"/>
        <v>0</v>
      </c>
      <c r="F53" s="623">
        <f>E53*365</f>
        <v>0</v>
      </c>
      <c r="G53" s="626">
        <f t="shared" ref="G53:G62" si="22">G52</f>
        <v>0</v>
      </c>
      <c r="H53" s="626">
        <f t="shared" ref="H53:H62" si="23">G53*365</f>
        <v>0</v>
      </c>
      <c r="Q53" s="628">
        <f t="shared" si="18"/>
        <v>0</v>
      </c>
      <c r="R53" s="628">
        <f t="shared" si="20"/>
        <v>0</v>
      </c>
    </row>
    <row r="54" spans="2:18" s="606" customFormat="1" ht="21" customHeight="1">
      <c r="B54" s="596">
        <v>4</v>
      </c>
      <c r="C54" s="625">
        <f t="shared" si="21"/>
        <v>0</v>
      </c>
      <c r="D54" s="637">
        <f t="shared" si="19"/>
        <v>0</v>
      </c>
      <c r="E54" s="625">
        <f t="shared" si="17"/>
        <v>0</v>
      </c>
      <c r="F54" s="623">
        <f t="shared" ref="F54:F62" si="24">E54*365</f>
        <v>0</v>
      </c>
      <c r="G54" s="626">
        <f t="shared" si="22"/>
        <v>0</v>
      </c>
      <c r="H54" s="626">
        <f t="shared" si="23"/>
        <v>0</v>
      </c>
      <c r="Q54" s="628">
        <f t="shared" si="18"/>
        <v>0</v>
      </c>
      <c r="R54" s="628">
        <f t="shared" si="20"/>
        <v>0</v>
      </c>
    </row>
    <row r="55" spans="2:18" s="606" customFormat="1" ht="21" customHeight="1">
      <c r="B55" s="596">
        <v>5</v>
      </c>
      <c r="C55" s="625">
        <f t="shared" si="21"/>
        <v>0</v>
      </c>
      <c r="D55" s="637">
        <f t="shared" si="19"/>
        <v>0</v>
      </c>
      <c r="E55" s="625">
        <f t="shared" si="17"/>
        <v>0</v>
      </c>
      <c r="F55" s="623">
        <f>E55*365</f>
        <v>0</v>
      </c>
      <c r="G55" s="626">
        <f t="shared" si="22"/>
        <v>0</v>
      </c>
      <c r="H55" s="626">
        <f t="shared" si="23"/>
        <v>0</v>
      </c>
      <c r="Q55" s="628">
        <f t="shared" si="18"/>
        <v>0</v>
      </c>
      <c r="R55" s="628">
        <f t="shared" si="20"/>
        <v>0</v>
      </c>
    </row>
    <row r="56" spans="2:18" s="606" customFormat="1" ht="21" customHeight="1">
      <c r="B56" s="596">
        <v>6</v>
      </c>
      <c r="C56" s="625">
        <f t="shared" si="21"/>
        <v>0</v>
      </c>
      <c r="D56" s="637">
        <f t="shared" si="19"/>
        <v>0</v>
      </c>
      <c r="E56" s="625">
        <f t="shared" si="17"/>
        <v>0</v>
      </c>
      <c r="F56" s="623">
        <f t="shared" si="24"/>
        <v>0</v>
      </c>
      <c r="G56" s="626">
        <f t="shared" si="22"/>
        <v>0</v>
      </c>
      <c r="H56" s="626">
        <f t="shared" si="23"/>
        <v>0</v>
      </c>
      <c r="Q56" s="628">
        <f t="shared" si="18"/>
        <v>0</v>
      </c>
      <c r="R56" s="628">
        <f t="shared" si="20"/>
        <v>0</v>
      </c>
    </row>
    <row r="57" spans="2:18" s="606" customFormat="1" ht="21" customHeight="1">
      <c r="B57" s="596">
        <v>7</v>
      </c>
      <c r="C57" s="625">
        <f t="shared" si="21"/>
        <v>0</v>
      </c>
      <c r="D57" s="637">
        <f t="shared" si="19"/>
        <v>0</v>
      </c>
      <c r="E57" s="625">
        <f t="shared" si="17"/>
        <v>0</v>
      </c>
      <c r="F57" s="623">
        <f t="shared" si="24"/>
        <v>0</v>
      </c>
      <c r="G57" s="626">
        <f t="shared" si="22"/>
        <v>0</v>
      </c>
      <c r="H57" s="626">
        <f t="shared" si="23"/>
        <v>0</v>
      </c>
      <c r="Q57" s="628">
        <f t="shared" si="18"/>
        <v>0</v>
      </c>
      <c r="R57" s="628">
        <f t="shared" si="20"/>
        <v>0</v>
      </c>
    </row>
    <row r="58" spans="2:18" s="608" customFormat="1" ht="21" customHeight="1">
      <c r="B58" s="596">
        <v>8</v>
      </c>
      <c r="C58" s="625">
        <f t="shared" si="21"/>
        <v>0</v>
      </c>
      <c r="D58" s="637">
        <f t="shared" si="19"/>
        <v>0</v>
      </c>
      <c r="E58" s="625">
        <f t="shared" si="17"/>
        <v>0</v>
      </c>
      <c r="F58" s="623">
        <f t="shared" si="24"/>
        <v>0</v>
      </c>
      <c r="G58" s="626">
        <f t="shared" si="22"/>
        <v>0</v>
      </c>
      <c r="H58" s="626">
        <f t="shared" si="23"/>
        <v>0</v>
      </c>
      <c r="Q58" s="628">
        <f t="shared" si="18"/>
        <v>0</v>
      </c>
      <c r="R58" s="628">
        <f t="shared" si="20"/>
        <v>0</v>
      </c>
    </row>
    <row r="59" spans="2:18" s="608" customFormat="1" ht="21" customHeight="1">
      <c r="B59" s="596">
        <v>9</v>
      </c>
      <c r="C59" s="625">
        <f t="shared" si="21"/>
        <v>0</v>
      </c>
      <c r="D59" s="637">
        <f t="shared" si="19"/>
        <v>0</v>
      </c>
      <c r="E59" s="625">
        <f t="shared" si="17"/>
        <v>0</v>
      </c>
      <c r="F59" s="623">
        <f t="shared" si="24"/>
        <v>0</v>
      </c>
      <c r="G59" s="626">
        <f t="shared" si="22"/>
        <v>0</v>
      </c>
      <c r="H59" s="626">
        <f t="shared" si="23"/>
        <v>0</v>
      </c>
      <c r="Q59" s="628">
        <f t="shared" si="18"/>
        <v>0</v>
      </c>
      <c r="R59" s="628">
        <f t="shared" si="20"/>
        <v>0</v>
      </c>
    </row>
    <row r="60" spans="2:18" s="608" customFormat="1" ht="21" customHeight="1">
      <c r="B60" s="596">
        <v>10</v>
      </c>
      <c r="C60" s="625">
        <f t="shared" si="21"/>
        <v>0</v>
      </c>
      <c r="D60" s="637">
        <f t="shared" si="19"/>
        <v>0</v>
      </c>
      <c r="E60" s="625">
        <f t="shared" si="17"/>
        <v>0</v>
      </c>
      <c r="F60" s="623">
        <f t="shared" si="24"/>
        <v>0</v>
      </c>
      <c r="G60" s="626">
        <f t="shared" si="22"/>
        <v>0</v>
      </c>
      <c r="H60" s="626">
        <f t="shared" si="23"/>
        <v>0</v>
      </c>
      <c r="Q60" s="628">
        <f t="shared" si="18"/>
        <v>0</v>
      </c>
      <c r="R60" s="628">
        <f t="shared" si="20"/>
        <v>0</v>
      </c>
    </row>
    <row r="61" spans="2:18" s="608" customFormat="1" ht="21" customHeight="1">
      <c r="B61" s="596">
        <v>11</v>
      </c>
      <c r="C61" s="625">
        <f t="shared" si="21"/>
        <v>0</v>
      </c>
      <c r="D61" s="637">
        <f t="shared" si="19"/>
        <v>0</v>
      </c>
      <c r="E61" s="625">
        <f t="shared" si="17"/>
        <v>0</v>
      </c>
      <c r="F61" s="623">
        <f t="shared" si="24"/>
        <v>0</v>
      </c>
      <c r="G61" s="626">
        <f t="shared" si="22"/>
        <v>0</v>
      </c>
      <c r="H61" s="626">
        <f t="shared" si="23"/>
        <v>0</v>
      </c>
      <c r="Q61" s="628">
        <f t="shared" si="18"/>
        <v>0</v>
      </c>
      <c r="R61" s="628">
        <f t="shared" si="20"/>
        <v>0</v>
      </c>
    </row>
    <row r="62" spans="2:18" s="608" customFormat="1" ht="21" customHeight="1">
      <c r="B62" s="596">
        <v>12</v>
      </c>
      <c r="C62" s="625">
        <f t="shared" si="21"/>
        <v>0</v>
      </c>
      <c r="D62" s="637">
        <f t="shared" si="19"/>
        <v>0</v>
      </c>
      <c r="E62" s="625">
        <f t="shared" si="17"/>
        <v>0</v>
      </c>
      <c r="F62" s="623">
        <f t="shared" si="24"/>
        <v>0</v>
      </c>
      <c r="G62" s="626">
        <f t="shared" si="22"/>
        <v>0</v>
      </c>
      <c r="H62" s="626">
        <f t="shared" si="23"/>
        <v>0</v>
      </c>
      <c r="Q62" s="628">
        <f t="shared" si="18"/>
        <v>0</v>
      </c>
      <c r="R62" s="628">
        <f t="shared" si="20"/>
        <v>0</v>
      </c>
    </row>
    <row r="63" spans="2:18" ht="15" customHeight="1">
      <c r="J63" s="632"/>
    </row>
    <row r="64" spans="2:18" ht="25.5" customHeight="1">
      <c r="B64" s="608"/>
    </row>
    <row r="66" spans="1:19" s="405" customFormat="1" ht="17.25" customHeight="1">
      <c r="A66" s="1166">
        <v>2</v>
      </c>
      <c r="B66" s="1167" t="s">
        <v>793</v>
      </c>
      <c r="C66" s="612"/>
      <c r="D66" s="612"/>
      <c r="E66" s="612"/>
      <c r="F66" s="612"/>
      <c r="G66" s="612"/>
      <c r="H66" s="612"/>
      <c r="I66" s="612"/>
      <c r="J66" s="612"/>
      <c r="K66" s="644"/>
      <c r="L66" s="403"/>
      <c r="M66" s="403"/>
      <c r="N66" s="403"/>
      <c r="O66" s="403"/>
      <c r="P66" s="403"/>
      <c r="Q66" s="403"/>
      <c r="R66" s="403"/>
      <c r="S66" s="403"/>
    </row>
    <row r="67" spans="1:19">
      <c r="B67" s="404"/>
      <c r="C67" s="404"/>
      <c r="D67" s="404"/>
      <c r="E67" s="404"/>
      <c r="F67" s="404"/>
      <c r="G67" s="404"/>
      <c r="H67" s="645"/>
      <c r="I67" s="645"/>
      <c r="J67" s="645"/>
      <c r="K67" s="645"/>
      <c r="L67" s="405"/>
      <c r="M67" s="404"/>
      <c r="N67" s="404"/>
      <c r="O67" s="404"/>
    </row>
    <row r="68" spans="1:19" ht="19.5" customHeight="1">
      <c r="B68" s="1792" t="s">
        <v>793</v>
      </c>
      <c r="C68" s="1792"/>
      <c r="D68" s="1792"/>
      <c r="E68" s="1792"/>
      <c r="F68" s="1792"/>
      <c r="G68" s="1792"/>
      <c r="H68" s="1792"/>
      <c r="I68" s="1792"/>
      <c r="J68" s="1792"/>
      <c r="L68" s="635"/>
      <c r="M68" s="635"/>
      <c r="N68" s="635"/>
      <c r="O68" s="635"/>
      <c r="P68" s="635"/>
      <c r="Q68" s="635"/>
      <c r="R68" s="635"/>
      <c r="S68" s="635"/>
    </row>
    <row r="69" spans="1:19" ht="18" customHeight="1">
      <c r="B69" s="1792" t="s">
        <v>149</v>
      </c>
      <c r="C69" s="1792"/>
      <c r="D69" s="1792"/>
      <c r="E69" s="1792" t="s">
        <v>26</v>
      </c>
      <c r="F69" s="1792"/>
      <c r="G69" s="1792"/>
      <c r="H69" s="1792" t="s">
        <v>150</v>
      </c>
      <c r="I69" s="1792"/>
      <c r="J69" s="1792"/>
      <c r="L69" s="635"/>
      <c r="M69" s="635"/>
      <c r="N69" s="635"/>
      <c r="O69" s="635"/>
      <c r="P69" s="635"/>
      <c r="Q69" s="635"/>
      <c r="R69" s="635"/>
      <c r="S69" s="635"/>
    </row>
    <row r="70" spans="1:19" ht="15" customHeight="1">
      <c r="B70" s="1792" t="s">
        <v>143</v>
      </c>
      <c r="C70" s="1792"/>
      <c r="D70" s="1792"/>
      <c r="E70" s="1792" t="s">
        <v>143</v>
      </c>
      <c r="F70" s="1792"/>
      <c r="G70" s="1792"/>
      <c r="H70" s="1792" t="s">
        <v>143</v>
      </c>
      <c r="I70" s="1792"/>
      <c r="J70" s="1792"/>
      <c r="L70" s="635"/>
      <c r="M70" s="635"/>
      <c r="N70" s="635"/>
      <c r="O70" s="635"/>
      <c r="P70" s="635"/>
      <c r="Q70" s="635"/>
      <c r="R70" s="635"/>
      <c r="S70" s="635"/>
    </row>
    <row r="71" spans="1:19" ht="30" customHeight="1">
      <c r="B71" s="619" t="s">
        <v>9</v>
      </c>
      <c r="C71" s="619" t="s">
        <v>151</v>
      </c>
      <c r="D71" s="619" t="s">
        <v>27</v>
      </c>
      <c r="E71" s="619" t="s">
        <v>9</v>
      </c>
      <c r="F71" s="619" t="s">
        <v>151</v>
      </c>
      <c r="G71" s="619" t="s">
        <v>27</v>
      </c>
      <c r="H71" s="619" t="s">
        <v>9</v>
      </c>
      <c r="I71" s="619" t="s">
        <v>151</v>
      </c>
      <c r="J71" s="619" t="s">
        <v>27</v>
      </c>
      <c r="L71" s="646"/>
      <c r="M71" s="646"/>
      <c r="N71" s="646"/>
      <c r="O71" s="646"/>
      <c r="P71" s="646"/>
      <c r="Q71" s="646"/>
      <c r="R71" s="646"/>
      <c r="S71" s="646"/>
    </row>
    <row r="72" spans="1:19" ht="18" customHeight="1">
      <c r="B72" s="647">
        <f t="shared" ref="B72:B83" si="25">I31</f>
        <v>0</v>
      </c>
      <c r="C72" s="647">
        <f>C51</f>
        <v>0</v>
      </c>
      <c r="D72" s="648">
        <f>C72-B72</f>
        <v>0</v>
      </c>
      <c r="E72" s="648">
        <f t="shared" ref="E72:E83" si="26">J31</f>
        <v>0</v>
      </c>
      <c r="F72" s="647">
        <f>E51</f>
        <v>0</v>
      </c>
      <c r="G72" s="648">
        <f>E72-F72</f>
        <v>0</v>
      </c>
      <c r="H72" s="647">
        <f t="shared" ref="H72:H83" si="27">K31</f>
        <v>0</v>
      </c>
      <c r="I72" s="648">
        <f>G51</f>
        <v>0</v>
      </c>
      <c r="J72" s="648">
        <f>H72-I72</f>
        <v>0</v>
      </c>
      <c r="L72" s="638"/>
      <c r="M72" s="638"/>
      <c r="N72" s="638"/>
      <c r="O72" s="638"/>
      <c r="P72" s="638"/>
      <c r="Q72" s="638"/>
      <c r="R72" s="638"/>
      <c r="S72" s="638"/>
    </row>
    <row r="73" spans="1:19" ht="18" customHeight="1">
      <c r="A73" s="606">
        <v>0</v>
      </c>
      <c r="B73" s="647">
        <f t="shared" si="25"/>
        <v>0</v>
      </c>
      <c r="C73" s="647">
        <f t="shared" ref="C73:C83" si="28">C52</f>
        <v>0</v>
      </c>
      <c r="D73" s="648">
        <f t="shared" ref="D73:D83" si="29">C73-B73</f>
        <v>0</v>
      </c>
      <c r="E73" s="648">
        <f t="shared" si="26"/>
        <v>0</v>
      </c>
      <c r="F73" s="647">
        <f t="shared" ref="F73:F83" si="30">E52</f>
        <v>0</v>
      </c>
      <c r="G73" s="648">
        <f t="shared" ref="G73:G83" si="31">E73-F73</f>
        <v>0</v>
      </c>
      <c r="H73" s="647">
        <f t="shared" si="27"/>
        <v>0</v>
      </c>
      <c r="I73" s="648">
        <f t="shared" ref="I73:I83" si="32">G52</f>
        <v>0</v>
      </c>
      <c r="J73" s="648">
        <f t="shared" ref="J73:J83" si="33">H73-I73</f>
        <v>0</v>
      </c>
      <c r="L73" s="638"/>
      <c r="M73" s="638"/>
      <c r="N73" s="638"/>
      <c r="O73" s="638"/>
      <c r="P73" s="638"/>
      <c r="Q73" s="638"/>
      <c r="R73" s="638"/>
      <c r="S73" s="638"/>
    </row>
    <row r="74" spans="1:19" ht="18" customHeight="1">
      <c r="A74" s="606">
        <v>1</v>
      </c>
      <c r="B74" s="647">
        <f t="shared" si="25"/>
        <v>0</v>
      </c>
      <c r="C74" s="647">
        <f t="shared" si="28"/>
        <v>0</v>
      </c>
      <c r="D74" s="648">
        <f t="shared" si="29"/>
        <v>0</v>
      </c>
      <c r="E74" s="648">
        <f t="shared" si="26"/>
        <v>0</v>
      </c>
      <c r="F74" s="647">
        <f t="shared" si="30"/>
        <v>0</v>
      </c>
      <c r="G74" s="648">
        <f t="shared" si="31"/>
        <v>0</v>
      </c>
      <c r="H74" s="647">
        <f t="shared" si="27"/>
        <v>0</v>
      </c>
      <c r="I74" s="648">
        <f t="shared" si="32"/>
        <v>0</v>
      </c>
      <c r="J74" s="648">
        <f t="shared" si="33"/>
        <v>0</v>
      </c>
      <c r="L74" s="638"/>
      <c r="M74" s="638"/>
      <c r="N74" s="638"/>
      <c r="O74" s="638"/>
      <c r="P74" s="638"/>
      <c r="Q74" s="638"/>
      <c r="R74" s="638"/>
      <c r="S74" s="638"/>
    </row>
    <row r="75" spans="1:19" ht="18" customHeight="1">
      <c r="A75" s="606">
        <v>2</v>
      </c>
      <c r="B75" s="647">
        <f t="shared" si="25"/>
        <v>0</v>
      </c>
      <c r="C75" s="647">
        <f t="shared" si="28"/>
        <v>0</v>
      </c>
      <c r="D75" s="648">
        <f t="shared" si="29"/>
        <v>0</v>
      </c>
      <c r="E75" s="648">
        <f t="shared" si="26"/>
        <v>0</v>
      </c>
      <c r="F75" s="647">
        <f t="shared" si="30"/>
        <v>0</v>
      </c>
      <c r="G75" s="648">
        <f t="shared" si="31"/>
        <v>0</v>
      </c>
      <c r="H75" s="647">
        <f t="shared" si="27"/>
        <v>0</v>
      </c>
      <c r="I75" s="648">
        <f t="shared" si="32"/>
        <v>0</v>
      </c>
      <c r="J75" s="648">
        <f t="shared" si="33"/>
        <v>0</v>
      </c>
      <c r="K75" s="404"/>
      <c r="L75" s="638"/>
      <c r="M75" s="638"/>
      <c r="N75" s="638"/>
      <c r="O75" s="638"/>
      <c r="P75" s="638"/>
      <c r="Q75" s="638"/>
      <c r="R75" s="638"/>
      <c r="S75" s="638"/>
    </row>
    <row r="76" spans="1:19" ht="18" customHeight="1">
      <c r="A76" s="606">
        <v>3</v>
      </c>
      <c r="B76" s="647">
        <f t="shared" si="25"/>
        <v>0</v>
      </c>
      <c r="C76" s="647">
        <f t="shared" si="28"/>
        <v>0</v>
      </c>
      <c r="D76" s="648">
        <f t="shared" si="29"/>
        <v>0</v>
      </c>
      <c r="E76" s="648">
        <f t="shared" si="26"/>
        <v>0</v>
      </c>
      <c r="F76" s="647">
        <f t="shared" si="30"/>
        <v>0</v>
      </c>
      <c r="G76" s="648">
        <f t="shared" si="31"/>
        <v>0</v>
      </c>
      <c r="H76" s="647">
        <f t="shared" si="27"/>
        <v>0</v>
      </c>
      <c r="I76" s="648">
        <f t="shared" si="32"/>
        <v>0</v>
      </c>
      <c r="J76" s="648">
        <f t="shared" si="33"/>
        <v>0</v>
      </c>
      <c r="K76" s="404"/>
      <c r="L76" s="638"/>
      <c r="M76" s="638"/>
      <c r="N76" s="638"/>
      <c r="O76" s="638"/>
      <c r="P76" s="638"/>
      <c r="Q76" s="638"/>
      <c r="R76" s="638"/>
      <c r="S76" s="638"/>
    </row>
    <row r="77" spans="1:19" ht="18" customHeight="1">
      <c r="A77" s="606">
        <v>4</v>
      </c>
      <c r="B77" s="647">
        <f t="shared" si="25"/>
        <v>0</v>
      </c>
      <c r="C77" s="647">
        <f t="shared" si="28"/>
        <v>0</v>
      </c>
      <c r="D77" s="648">
        <f t="shared" si="29"/>
        <v>0</v>
      </c>
      <c r="E77" s="648">
        <f t="shared" si="26"/>
        <v>0</v>
      </c>
      <c r="F77" s="647">
        <f t="shared" si="30"/>
        <v>0</v>
      </c>
      <c r="G77" s="648">
        <f t="shared" si="31"/>
        <v>0</v>
      </c>
      <c r="H77" s="647">
        <f t="shared" si="27"/>
        <v>0</v>
      </c>
      <c r="I77" s="648">
        <f t="shared" si="32"/>
        <v>0</v>
      </c>
      <c r="J77" s="648">
        <f t="shared" si="33"/>
        <v>0</v>
      </c>
      <c r="K77" s="404"/>
      <c r="L77" s="638"/>
      <c r="M77" s="638"/>
      <c r="N77" s="638"/>
      <c r="O77" s="638"/>
      <c r="P77" s="638"/>
      <c r="Q77" s="638"/>
      <c r="R77" s="638"/>
      <c r="S77" s="638"/>
    </row>
    <row r="78" spans="1:19" ht="18" customHeight="1">
      <c r="A78" s="606">
        <v>5</v>
      </c>
      <c r="B78" s="647">
        <f t="shared" si="25"/>
        <v>0</v>
      </c>
      <c r="C78" s="647">
        <f t="shared" si="28"/>
        <v>0</v>
      </c>
      <c r="D78" s="648">
        <f t="shared" si="29"/>
        <v>0</v>
      </c>
      <c r="E78" s="648">
        <f t="shared" si="26"/>
        <v>0</v>
      </c>
      <c r="F78" s="647">
        <f t="shared" si="30"/>
        <v>0</v>
      </c>
      <c r="G78" s="648">
        <f t="shared" si="31"/>
        <v>0</v>
      </c>
      <c r="H78" s="647">
        <f t="shared" si="27"/>
        <v>0</v>
      </c>
      <c r="I78" s="648">
        <f t="shared" si="32"/>
        <v>0</v>
      </c>
      <c r="J78" s="648">
        <f t="shared" si="33"/>
        <v>0</v>
      </c>
      <c r="K78" s="404"/>
      <c r="L78" s="638"/>
      <c r="M78" s="638"/>
      <c r="N78" s="638"/>
      <c r="O78" s="638"/>
      <c r="P78" s="638"/>
      <c r="Q78" s="638"/>
      <c r="R78" s="638"/>
      <c r="S78" s="638"/>
    </row>
    <row r="79" spans="1:19" ht="18" customHeight="1">
      <c r="A79" s="606">
        <v>6</v>
      </c>
      <c r="B79" s="647">
        <f t="shared" si="25"/>
        <v>0</v>
      </c>
      <c r="C79" s="647">
        <f t="shared" si="28"/>
        <v>0</v>
      </c>
      <c r="D79" s="648">
        <f t="shared" si="29"/>
        <v>0</v>
      </c>
      <c r="E79" s="648">
        <f t="shared" si="26"/>
        <v>0</v>
      </c>
      <c r="F79" s="647">
        <f t="shared" si="30"/>
        <v>0</v>
      </c>
      <c r="G79" s="648">
        <f t="shared" si="31"/>
        <v>0</v>
      </c>
      <c r="H79" s="647">
        <f t="shared" si="27"/>
        <v>0</v>
      </c>
      <c r="I79" s="648">
        <f t="shared" si="32"/>
        <v>0</v>
      </c>
      <c r="J79" s="648">
        <f t="shared" si="33"/>
        <v>0</v>
      </c>
      <c r="K79" s="404"/>
      <c r="L79" s="638"/>
      <c r="M79" s="638"/>
      <c r="N79" s="638"/>
      <c r="O79" s="638"/>
      <c r="P79" s="638"/>
      <c r="Q79" s="638"/>
      <c r="R79" s="638"/>
      <c r="S79" s="638"/>
    </row>
    <row r="80" spans="1:19" ht="18" customHeight="1">
      <c r="A80" s="606">
        <v>7</v>
      </c>
      <c r="B80" s="647">
        <f t="shared" si="25"/>
        <v>0</v>
      </c>
      <c r="C80" s="647">
        <f t="shared" si="28"/>
        <v>0</v>
      </c>
      <c r="D80" s="648">
        <f t="shared" si="29"/>
        <v>0</v>
      </c>
      <c r="E80" s="648">
        <f t="shared" si="26"/>
        <v>0</v>
      </c>
      <c r="F80" s="647">
        <f t="shared" si="30"/>
        <v>0</v>
      </c>
      <c r="G80" s="648">
        <f t="shared" si="31"/>
        <v>0</v>
      </c>
      <c r="H80" s="647">
        <f t="shared" si="27"/>
        <v>0</v>
      </c>
      <c r="I80" s="648">
        <f t="shared" si="32"/>
        <v>0</v>
      </c>
      <c r="J80" s="648">
        <f t="shared" si="33"/>
        <v>0</v>
      </c>
      <c r="K80" s="404"/>
      <c r="L80" s="638"/>
      <c r="M80" s="638"/>
      <c r="N80" s="638"/>
      <c r="O80" s="638"/>
      <c r="P80" s="638"/>
      <c r="Q80" s="638"/>
      <c r="R80" s="638"/>
      <c r="S80" s="638"/>
    </row>
    <row r="81" spans="1:19" ht="18" customHeight="1">
      <c r="A81" s="606">
        <v>8</v>
      </c>
      <c r="B81" s="647">
        <f t="shared" si="25"/>
        <v>0</v>
      </c>
      <c r="C81" s="647">
        <f t="shared" si="28"/>
        <v>0</v>
      </c>
      <c r="D81" s="648">
        <f t="shared" si="29"/>
        <v>0</v>
      </c>
      <c r="E81" s="648">
        <f t="shared" si="26"/>
        <v>0</v>
      </c>
      <c r="F81" s="647">
        <f t="shared" si="30"/>
        <v>0</v>
      </c>
      <c r="G81" s="648">
        <f t="shared" si="31"/>
        <v>0</v>
      </c>
      <c r="H81" s="647">
        <f t="shared" si="27"/>
        <v>0</v>
      </c>
      <c r="I81" s="648">
        <f t="shared" si="32"/>
        <v>0</v>
      </c>
      <c r="J81" s="648">
        <f t="shared" si="33"/>
        <v>0</v>
      </c>
      <c r="K81" s="404"/>
      <c r="L81" s="638"/>
      <c r="M81" s="638"/>
      <c r="N81" s="638"/>
      <c r="O81" s="638"/>
      <c r="P81" s="638"/>
      <c r="Q81" s="638"/>
      <c r="R81" s="638"/>
      <c r="S81" s="638"/>
    </row>
    <row r="82" spans="1:19" ht="18" customHeight="1">
      <c r="A82" s="606">
        <v>9</v>
      </c>
      <c r="B82" s="647">
        <f t="shared" si="25"/>
        <v>0</v>
      </c>
      <c r="C82" s="647">
        <f t="shared" si="28"/>
        <v>0</v>
      </c>
      <c r="D82" s="648">
        <f t="shared" si="29"/>
        <v>0</v>
      </c>
      <c r="E82" s="648">
        <f t="shared" si="26"/>
        <v>0</v>
      </c>
      <c r="F82" s="647">
        <f t="shared" si="30"/>
        <v>0</v>
      </c>
      <c r="G82" s="648">
        <f t="shared" si="31"/>
        <v>0</v>
      </c>
      <c r="H82" s="647">
        <f t="shared" si="27"/>
        <v>0</v>
      </c>
      <c r="I82" s="648">
        <f t="shared" si="32"/>
        <v>0</v>
      </c>
      <c r="J82" s="648">
        <f t="shared" si="33"/>
        <v>0</v>
      </c>
      <c r="K82" s="404"/>
      <c r="L82" s="638"/>
      <c r="M82" s="638"/>
      <c r="N82" s="638"/>
      <c r="O82" s="638"/>
      <c r="P82" s="638"/>
      <c r="Q82" s="638"/>
      <c r="R82" s="638"/>
      <c r="S82" s="638"/>
    </row>
    <row r="83" spans="1:19" ht="18" customHeight="1">
      <c r="A83" s="606">
        <v>10</v>
      </c>
      <c r="B83" s="647">
        <f t="shared" si="25"/>
        <v>0</v>
      </c>
      <c r="C83" s="647">
        <f t="shared" si="28"/>
        <v>0</v>
      </c>
      <c r="D83" s="648">
        <f t="shared" si="29"/>
        <v>0</v>
      </c>
      <c r="E83" s="648">
        <f t="shared" si="26"/>
        <v>0</v>
      </c>
      <c r="F83" s="647">
        <f t="shared" si="30"/>
        <v>0</v>
      </c>
      <c r="G83" s="648">
        <f t="shared" si="31"/>
        <v>0</v>
      </c>
      <c r="H83" s="647">
        <f t="shared" si="27"/>
        <v>0</v>
      </c>
      <c r="I83" s="648">
        <f t="shared" si="32"/>
        <v>0</v>
      </c>
      <c r="J83" s="648">
        <f t="shared" si="33"/>
        <v>0</v>
      </c>
      <c r="K83" s="404"/>
      <c r="L83" s="638"/>
      <c r="M83" s="638"/>
      <c r="N83" s="638"/>
      <c r="O83" s="638"/>
      <c r="P83" s="638"/>
      <c r="Q83" s="638"/>
      <c r="R83" s="638"/>
      <c r="S83" s="638"/>
    </row>
    <row r="84" spans="1:19">
      <c r="B84" s="404"/>
      <c r="C84" s="404"/>
      <c r="D84" s="404"/>
      <c r="E84" s="404"/>
      <c r="F84" s="404"/>
      <c r="G84" s="404"/>
      <c r="H84" s="404"/>
      <c r="I84" s="404"/>
      <c r="J84" s="608"/>
      <c r="K84" s="609"/>
      <c r="L84" s="606"/>
      <c r="M84" s="606"/>
      <c r="N84" s="404"/>
      <c r="O84" s="404"/>
    </row>
    <row r="85" spans="1:19" ht="19.5" customHeight="1">
      <c r="B85" s="1792" t="s">
        <v>793</v>
      </c>
      <c r="C85" s="1792"/>
      <c r="D85" s="1792"/>
      <c r="E85" s="1792"/>
      <c r="F85" s="1792"/>
      <c r="G85" s="1792"/>
      <c r="H85" s="1792"/>
      <c r="I85" s="1792"/>
      <c r="J85" s="1792"/>
      <c r="L85" s="635"/>
      <c r="M85" s="635"/>
      <c r="N85" s="635"/>
      <c r="O85" s="635"/>
      <c r="P85" s="635"/>
      <c r="Q85" s="635"/>
      <c r="R85" s="635"/>
      <c r="S85" s="635"/>
    </row>
    <row r="86" spans="1:19" ht="18" customHeight="1">
      <c r="B86" s="1792" t="s">
        <v>149</v>
      </c>
      <c r="C86" s="1792"/>
      <c r="D86" s="1792"/>
      <c r="E86" s="1792" t="s">
        <v>26</v>
      </c>
      <c r="F86" s="1792"/>
      <c r="G86" s="1792"/>
      <c r="H86" s="1792" t="s">
        <v>150</v>
      </c>
      <c r="I86" s="1792"/>
      <c r="J86" s="1792"/>
      <c r="L86" s="635"/>
      <c r="M86" s="635"/>
      <c r="N86" s="635"/>
      <c r="O86" s="635"/>
      <c r="P86" s="635"/>
      <c r="Q86" s="635"/>
      <c r="R86" s="635"/>
      <c r="S86" s="635"/>
    </row>
    <row r="87" spans="1:19" ht="15" customHeight="1">
      <c r="B87" s="1792" t="s">
        <v>794</v>
      </c>
      <c r="C87" s="1792"/>
      <c r="D87" s="1792"/>
      <c r="E87" s="1792" t="s">
        <v>794</v>
      </c>
      <c r="F87" s="1792"/>
      <c r="G87" s="1792"/>
      <c r="H87" s="1792" t="s">
        <v>794</v>
      </c>
      <c r="I87" s="1792"/>
      <c r="J87" s="1792"/>
      <c r="L87" s="635"/>
      <c r="M87" s="635"/>
      <c r="N87" s="635"/>
      <c r="O87" s="635"/>
      <c r="P87" s="635"/>
      <c r="Q87" s="635"/>
      <c r="R87" s="635"/>
      <c r="S87" s="635"/>
    </row>
    <row r="88" spans="1:19" ht="30" customHeight="1">
      <c r="B88" s="619" t="s">
        <v>9</v>
      </c>
      <c r="C88" s="619" t="s">
        <v>151</v>
      </c>
      <c r="D88" s="619" t="s">
        <v>27</v>
      </c>
      <c r="E88" s="619" t="s">
        <v>9</v>
      </c>
      <c r="F88" s="619" t="s">
        <v>151</v>
      </c>
      <c r="G88" s="619" t="s">
        <v>27</v>
      </c>
      <c r="H88" s="619" t="s">
        <v>9</v>
      </c>
      <c r="I88" s="619" t="s">
        <v>151</v>
      </c>
      <c r="J88" s="619" t="s">
        <v>27</v>
      </c>
      <c r="L88" s="646"/>
      <c r="M88" s="646"/>
      <c r="N88" s="646"/>
      <c r="O88" s="646"/>
      <c r="P88" s="646"/>
      <c r="Q88" s="646"/>
      <c r="R88" s="646"/>
      <c r="S88" s="646"/>
    </row>
    <row r="89" spans="1:19" ht="18" customHeight="1">
      <c r="B89" s="647">
        <f>B72*365</f>
        <v>0</v>
      </c>
      <c r="C89" s="647">
        <f t="shared" ref="C89:J89" si="34">C72*365</f>
        <v>0</v>
      </c>
      <c r="D89" s="647">
        <f t="shared" si="34"/>
        <v>0</v>
      </c>
      <c r="E89" s="647">
        <f t="shared" si="34"/>
        <v>0</v>
      </c>
      <c r="F89" s="647">
        <f t="shared" si="34"/>
        <v>0</v>
      </c>
      <c r="G89" s="647">
        <f t="shared" si="34"/>
        <v>0</v>
      </c>
      <c r="H89" s="647">
        <f t="shared" si="34"/>
        <v>0</v>
      </c>
      <c r="I89" s="647">
        <f t="shared" si="34"/>
        <v>0</v>
      </c>
      <c r="J89" s="647">
        <f t="shared" si="34"/>
        <v>0</v>
      </c>
      <c r="L89" s="638"/>
      <c r="M89" s="638"/>
      <c r="N89" s="638"/>
      <c r="O89" s="638"/>
      <c r="P89" s="638"/>
      <c r="Q89" s="638"/>
      <c r="R89" s="638"/>
      <c r="S89" s="638"/>
    </row>
    <row r="90" spans="1:19" ht="18" customHeight="1">
      <c r="A90" s="606">
        <v>0</v>
      </c>
      <c r="B90" s="647">
        <f t="shared" ref="B90:J90" si="35">B73*365</f>
        <v>0</v>
      </c>
      <c r="C90" s="647">
        <f t="shared" si="35"/>
        <v>0</v>
      </c>
      <c r="D90" s="647">
        <f t="shared" si="35"/>
        <v>0</v>
      </c>
      <c r="E90" s="647">
        <f t="shared" si="35"/>
        <v>0</v>
      </c>
      <c r="F90" s="647">
        <f t="shared" si="35"/>
        <v>0</v>
      </c>
      <c r="G90" s="647">
        <f t="shared" si="35"/>
        <v>0</v>
      </c>
      <c r="H90" s="647">
        <f t="shared" si="35"/>
        <v>0</v>
      </c>
      <c r="I90" s="647">
        <f t="shared" si="35"/>
        <v>0</v>
      </c>
      <c r="J90" s="647">
        <f t="shared" si="35"/>
        <v>0</v>
      </c>
      <c r="L90" s="638"/>
      <c r="M90" s="638"/>
      <c r="N90" s="638"/>
      <c r="O90" s="638"/>
      <c r="P90" s="638"/>
      <c r="Q90" s="638"/>
      <c r="R90" s="638"/>
      <c r="S90" s="638"/>
    </row>
    <row r="91" spans="1:19" ht="18" customHeight="1">
      <c r="A91" s="606">
        <v>1</v>
      </c>
      <c r="B91" s="647">
        <f t="shared" ref="B91:J91" si="36">B74*365</f>
        <v>0</v>
      </c>
      <c r="C91" s="647">
        <f t="shared" si="36"/>
        <v>0</v>
      </c>
      <c r="D91" s="647">
        <f t="shared" si="36"/>
        <v>0</v>
      </c>
      <c r="E91" s="647">
        <f t="shared" si="36"/>
        <v>0</v>
      </c>
      <c r="F91" s="647">
        <f t="shared" si="36"/>
        <v>0</v>
      </c>
      <c r="G91" s="647">
        <f t="shared" si="36"/>
        <v>0</v>
      </c>
      <c r="H91" s="647">
        <f t="shared" si="36"/>
        <v>0</v>
      </c>
      <c r="I91" s="647">
        <f t="shared" si="36"/>
        <v>0</v>
      </c>
      <c r="J91" s="647">
        <f t="shared" si="36"/>
        <v>0</v>
      </c>
      <c r="L91" s="638"/>
      <c r="M91" s="638"/>
      <c r="N91" s="638"/>
      <c r="O91" s="638"/>
      <c r="P91" s="638"/>
      <c r="Q91" s="638"/>
      <c r="R91" s="638"/>
      <c r="S91" s="638"/>
    </row>
    <row r="92" spans="1:19" ht="18" customHeight="1">
      <c r="A92" s="606">
        <v>2</v>
      </c>
      <c r="B92" s="647">
        <f t="shared" ref="B92:J92" si="37">B75*365</f>
        <v>0</v>
      </c>
      <c r="C92" s="647">
        <f t="shared" si="37"/>
        <v>0</v>
      </c>
      <c r="D92" s="647">
        <f t="shared" si="37"/>
        <v>0</v>
      </c>
      <c r="E92" s="647">
        <f t="shared" si="37"/>
        <v>0</v>
      </c>
      <c r="F92" s="647">
        <f t="shared" si="37"/>
        <v>0</v>
      </c>
      <c r="G92" s="647">
        <f t="shared" si="37"/>
        <v>0</v>
      </c>
      <c r="H92" s="647">
        <f t="shared" si="37"/>
        <v>0</v>
      </c>
      <c r="I92" s="647">
        <f t="shared" si="37"/>
        <v>0</v>
      </c>
      <c r="J92" s="647">
        <f t="shared" si="37"/>
        <v>0</v>
      </c>
      <c r="K92" s="404"/>
      <c r="L92" s="638"/>
      <c r="M92" s="638"/>
      <c r="N92" s="638"/>
      <c r="O92" s="638"/>
      <c r="P92" s="638"/>
      <c r="Q92" s="638"/>
      <c r="R92" s="638"/>
      <c r="S92" s="638"/>
    </row>
    <row r="93" spans="1:19" ht="18" customHeight="1">
      <c r="A93" s="606">
        <v>3</v>
      </c>
      <c r="B93" s="647">
        <f t="shared" ref="B93:J93" si="38">B76*365</f>
        <v>0</v>
      </c>
      <c r="C93" s="647">
        <f t="shared" si="38"/>
        <v>0</v>
      </c>
      <c r="D93" s="647">
        <f t="shared" si="38"/>
        <v>0</v>
      </c>
      <c r="E93" s="647">
        <f t="shared" si="38"/>
        <v>0</v>
      </c>
      <c r="F93" s="647">
        <f t="shared" si="38"/>
        <v>0</v>
      </c>
      <c r="G93" s="647">
        <f t="shared" si="38"/>
        <v>0</v>
      </c>
      <c r="H93" s="647">
        <f t="shared" si="38"/>
        <v>0</v>
      </c>
      <c r="I93" s="647">
        <f t="shared" si="38"/>
        <v>0</v>
      </c>
      <c r="J93" s="647">
        <f t="shared" si="38"/>
        <v>0</v>
      </c>
      <c r="K93" s="404"/>
      <c r="L93" s="638"/>
      <c r="M93" s="638"/>
      <c r="N93" s="638"/>
      <c r="O93" s="638"/>
      <c r="P93" s="638"/>
      <c r="Q93" s="638"/>
      <c r="R93" s="638"/>
      <c r="S93" s="638"/>
    </row>
    <row r="94" spans="1:19" ht="18" customHeight="1">
      <c r="A94" s="606">
        <v>4</v>
      </c>
      <c r="B94" s="647">
        <f t="shared" ref="B94:J94" si="39">B77*365</f>
        <v>0</v>
      </c>
      <c r="C94" s="647">
        <f t="shared" si="39"/>
        <v>0</v>
      </c>
      <c r="D94" s="647">
        <f t="shared" si="39"/>
        <v>0</v>
      </c>
      <c r="E94" s="647">
        <f t="shared" si="39"/>
        <v>0</v>
      </c>
      <c r="F94" s="647">
        <f t="shared" si="39"/>
        <v>0</v>
      </c>
      <c r="G94" s="647">
        <f t="shared" si="39"/>
        <v>0</v>
      </c>
      <c r="H94" s="647">
        <f t="shared" si="39"/>
        <v>0</v>
      </c>
      <c r="I94" s="647">
        <f t="shared" si="39"/>
        <v>0</v>
      </c>
      <c r="J94" s="647">
        <f t="shared" si="39"/>
        <v>0</v>
      </c>
      <c r="K94" s="404"/>
      <c r="L94" s="638"/>
      <c r="M94" s="638"/>
      <c r="N94" s="638"/>
      <c r="O94" s="638"/>
      <c r="P94" s="638"/>
      <c r="Q94" s="638"/>
      <c r="R94" s="638"/>
      <c r="S94" s="638"/>
    </row>
    <row r="95" spans="1:19" ht="18" customHeight="1">
      <c r="A95" s="606">
        <v>5</v>
      </c>
      <c r="B95" s="647">
        <f t="shared" ref="B95:J95" si="40">B78*365</f>
        <v>0</v>
      </c>
      <c r="C95" s="647">
        <f t="shared" si="40"/>
        <v>0</v>
      </c>
      <c r="D95" s="647">
        <f t="shared" si="40"/>
        <v>0</v>
      </c>
      <c r="E95" s="647">
        <f t="shared" si="40"/>
        <v>0</v>
      </c>
      <c r="F95" s="647">
        <f t="shared" si="40"/>
        <v>0</v>
      </c>
      <c r="G95" s="647">
        <f t="shared" si="40"/>
        <v>0</v>
      </c>
      <c r="H95" s="647">
        <f t="shared" si="40"/>
        <v>0</v>
      </c>
      <c r="I95" s="647">
        <f t="shared" si="40"/>
        <v>0</v>
      </c>
      <c r="J95" s="647">
        <f t="shared" si="40"/>
        <v>0</v>
      </c>
      <c r="K95" s="404"/>
      <c r="L95" s="638"/>
      <c r="M95" s="638"/>
      <c r="N95" s="638"/>
      <c r="O95" s="638"/>
      <c r="P95" s="638"/>
      <c r="Q95" s="638"/>
      <c r="R95" s="638"/>
      <c r="S95" s="638"/>
    </row>
    <row r="96" spans="1:19" ht="18" customHeight="1">
      <c r="A96" s="606">
        <v>6</v>
      </c>
      <c r="B96" s="647">
        <f t="shared" ref="B96:J96" si="41">B79*365</f>
        <v>0</v>
      </c>
      <c r="C96" s="647">
        <f t="shared" si="41"/>
        <v>0</v>
      </c>
      <c r="D96" s="647">
        <f t="shared" si="41"/>
        <v>0</v>
      </c>
      <c r="E96" s="647">
        <f t="shared" si="41"/>
        <v>0</v>
      </c>
      <c r="F96" s="647">
        <f t="shared" si="41"/>
        <v>0</v>
      </c>
      <c r="G96" s="647">
        <f t="shared" si="41"/>
        <v>0</v>
      </c>
      <c r="H96" s="647">
        <f t="shared" si="41"/>
        <v>0</v>
      </c>
      <c r="I96" s="647">
        <f t="shared" si="41"/>
        <v>0</v>
      </c>
      <c r="J96" s="647">
        <f t="shared" si="41"/>
        <v>0</v>
      </c>
      <c r="K96" s="404"/>
      <c r="L96" s="638"/>
      <c r="M96" s="638"/>
      <c r="N96" s="638"/>
      <c r="O96" s="638"/>
      <c r="P96" s="638"/>
      <c r="Q96" s="638"/>
      <c r="R96" s="638"/>
      <c r="S96" s="638"/>
    </row>
    <row r="97" spans="1:19" ht="18" customHeight="1">
      <c r="A97" s="606">
        <v>7</v>
      </c>
      <c r="B97" s="647">
        <f t="shared" ref="B97:J97" si="42">B80*365</f>
        <v>0</v>
      </c>
      <c r="C97" s="647">
        <f t="shared" si="42"/>
        <v>0</v>
      </c>
      <c r="D97" s="647">
        <f t="shared" si="42"/>
        <v>0</v>
      </c>
      <c r="E97" s="647">
        <f t="shared" si="42"/>
        <v>0</v>
      </c>
      <c r="F97" s="647">
        <f t="shared" si="42"/>
        <v>0</v>
      </c>
      <c r="G97" s="647">
        <f t="shared" si="42"/>
        <v>0</v>
      </c>
      <c r="H97" s="647">
        <f t="shared" si="42"/>
        <v>0</v>
      </c>
      <c r="I97" s="647">
        <f t="shared" si="42"/>
        <v>0</v>
      </c>
      <c r="J97" s="647">
        <f t="shared" si="42"/>
        <v>0</v>
      </c>
      <c r="K97" s="404"/>
      <c r="L97" s="638"/>
      <c r="M97" s="638"/>
      <c r="N97" s="638"/>
      <c r="O97" s="638"/>
      <c r="P97" s="638"/>
      <c r="Q97" s="638"/>
      <c r="R97" s="638"/>
      <c r="S97" s="638"/>
    </row>
    <row r="98" spans="1:19" ht="18" customHeight="1">
      <c r="A98" s="606">
        <v>8</v>
      </c>
      <c r="B98" s="647">
        <f t="shared" ref="B98:J98" si="43">B81*365</f>
        <v>0</v>
      </c>
      <c r="C98" s="647">
        <f t="shared" si="43"/>
        <v>0</v>
      </c>
      <c r="D98" s="647">
        <f t="shared" si="43"/>
        <v>0</v>
      </c>
      <c r="E98" s="647">
        <f t="shared" si="43"/>
        <v>0</v>
      </c>
      <c r="F98" s="647">
        <f t="shared" si="43"/>
        <v>0</v>
      </c>
      <c r="G98" s="647">
        <f t="shared" si="43"/>
        <v>0</v>
      </c>
      <c r="H98" s="647">
        <f t="shared" si="43"/>
        <v>0</v>
      </c>
      <c r="I98" s="647">
        <f t="shared" si="43"/>
        <v>0</v>
      </c>
      <c r="J98" s="647">
        <f t="shared" si="43"/>
        <v>0</v>
      </c>
      <c r="K98" s="404"/>
      <c r="L98" s="638"/>
      <c r="M98" s="638"/>
      <c r="N98" s="638"/>
      <c r="O98" s="638"/>
      <c r="P98" s="638"/>
      <c r="Q98" s="638"/>
      <c r="R98" s="638"/>
      <c r="S98" s="638"/>
    </row>
    <row r="99" spans="1:19" ht="18" customHeight="1">
      <c r="A99" s="606">
        <v>9</v>
      </c>
      <c r="B99" s="647">
        <f t="shared" ref="B99:J99" si="44">B82*365</f>
        <v>0</v>
      </c>
      <c r="C99" s="647">
        <f t="shared" si="44"/>
        <v>0</v>
      </c>
      <c r="D99" s="647">
        <f t="shared" si="44"/>
        <v>0</v>
      </c>
      <c r="E99" s="647">
        <f t="shared" si="44"/>
        <v>0</v>
      </c>
      <c r="F99" s="647">
        <f t="shared" si="44"/>
        <v>0</v>
      </c>
      <c r="G99" s="647">
        <f t="shared" si="44"/>
        <v>0</v>
      </c>
      <c r="H99" s="647">
        <f t="shared" si="44"/>
        <v>0</v>
      </c>
      <c r="I99" s="647">
        <f t="shared" si="44"/>
        <v>0</v>
      </c>
      <c r="J99" s="647">
        <f t="shared" si="44"/>
        <v>0</v>
      </c>
      <c r="K99" s="404"/>
      <c r="L99" s="638"/>
      <c r="M99" s="638"/>
      <c r="N99" s="638"/>
      <c r="O99" s="638"/>
      <c r="P99" s="638"/>
      <c r="Q99" s="638"/>
      <c r="R99" s="638"/>
      <c r="S99" s="638"/>
    </row>
    <row r="100" spans="1:19" ht="18" customHeight="1">
      <c r="A100" s="606">
        <v>10</v>
      </c>
      <c r="B100" s="647">
        <f t="shared" ref="B100:I100" si="45">B83*365</f>
        <v>0</v>
      </c>
      <c r="C100" s="647">
        <f>C83*365</f>
        <v>0</v>
      </c>
      <c r="D100" s="647">
        <f t="shared" si="45"/>
        <v>0</v>
      </c>
      <c r="E100" s="647">
        <f t="shared" si="45"/>
        <v>0</v>
      </c>
      <c r="F100" s="647">
        <f t="shared" si="45"/>
        <v>0</v>
      </c>
      <c r="G100" s="647">
        <f t="shared" si="45"/>
        <v>0</v>
      </c>
      <c r="H100" s="647">
        <f t="shared" si="45"/>
        <v>0</v>
      </c>
      <c r="I100" s="647">
        <f t="shared" si="45"/>
        <v>0</v>
      </c>
      <c r="J100" s="647">
        <f>J83*365</f>
        <v>0</v>
      </c>
      <c r="K100" s="404"/>
      <c r="L100" s="638"/>
      <c r="M100" s="638"/>
      <c r="N100" s="638"/>
      <c r="O100" s="638"/>
      <c r="P100" s="638"/>
      <c r="Q100" s="638"/>
      <c r="R100" s="638"/>
      <c r="S100" s="638"/>
    </row>
    <row r="101" spans="1:19" ht="18" customHeight="1">
      <c r="B101" s="649"/>
      <c r="C101" s="649"/>
      <c r="D101" s="649"/>
      <c r="E101" s="649"/>
      <c r="F101" s="649"/>
      <c r="G101" s="649"/>
      <c r="H101" s="649"/>
      <c r="I101" s="649"/>
      <c r="J101" s="649"/>
      <c r="K101" s="404"/>
      <c r="L101" s="638"/>
      <c r="M101" s="638"/>
      <c r="N101" s="638"/>
      <c r="O101" s="638"/>
      <c r="P101" s="638"/>
      <c r="Q101" s="638"/>
      <c r="R101" s="638"/>
      <c r="S101" s="638"/>
    </row>
    <row r="102" spans="1:19" ht="24" customHeight="1">
      <c r="A102" s="650"/>
      <c r="B102" s="651"/>
      <c r="C102" s="651"/>
      <c r="D102" s="651"/>
      <c r="E102" s="651"/>
      <c r="F102" s="651"/>
      <c r="G102" s="651"/>
      <c r="H102" s="651"/>
      <c r="I102" s="651"/>
      <c r="J102" s="651"/>
      <c r="K102" s="403"/>
      <c r="L102" s="652"/>
      <c r="M102" s="652"/>
      <c r="N102" s="652"/>
      <c r="O102" s="652"/>
      <c r="P102" s="652"/>
      <c r="Q102" s="652"/>
      <c r="R102" s="652"/>
      <c r="S102" s="652"/>
    </row>
    <row r="103" spans="1:19" ht="24" customHeight="1">
      <c r="A103" s="650"/>
      <c r="B103" s="651"/>
      <c r="C103" s="651"/>
      <c r="D103" s="651"/>
      <c r="E103" s="651"/>
      <c r="F103" s="651"/>
      <c r="G103" s="651"/>
      <c r="H103" s="651"/>
      <c r="I103" s="651"/>
      <c r="J103" s="651"/>
      <c r="K103" s="403"/>
      <c r="L103" s="652"/>
      <c r="M103" s="652"/>
      <c r="N103" s="652"/>
      <c r="O103" s="652"/>
      <c r="P103" s="652"/>
      <c r="Q103" s="652"/>
      <c r="R103" s="652"/>
      <c r="S103" s="652"/>
    </row>
    <row r="104" spans="1:19" ht="24" customHeight="1">
      <c r="A104" s="650"/>
      <c r="B104" s="403"/>
      <c r="C104" s="403"/>
      <c r="D104" s="403"/>
      <c r="E104" s="403"/>
      <c r="F104" s="403"/>
      <c r="G104" s="403"/>
      <c r="H104" s="403"/>
      <c r="I104" s="403"/>
      <c r="J104" s="403"/>
      <c r="K104" s="403"/>
      <c r="L104" s="403"/>
      <c r="M104" s="403"/>
      <c r="N104" s="403"/>
      <c r="O104" s="403"/>
      <c r="P104" s="403"/>
      <c r="Q104" s="403"/>
      <c r="R104" s="403"/>
      <c r="S104" s="403"/>
    </row>
    <row r="105" spans="1:19" ht="17.25" customHeight="1">
      <c r="B105" s="404"/>
      <c r="C105" s="404"/>
      <c r="D105" s="404"/>
      <c r="E105" s="404"/>
      <c r="F105" s="404"/>
      <c r="G105" s="404"/>
      <c r="H105" s="404"/>
      <c r="I105" s="404"/>
      <c r="J105" s="404"/>
      <c r="K105" s="404"/>
      <c r="L105" s="404"/>
      <c r="M105" s="404"/>
      <c r="N105" s="404"/>
      <c r="O105" s="404"/>
    </row>
  </sheetData>
  <mergeCells count="40">
    <mergeCell ref="B68:J68"/>
    <mergeCell ref="Q12:Q13"/>
    <mergeCell ref="R12:R13"/>
    <mergeCell ref="B29:B30"/>
    <mergeCell ref="C29:C30"/>
    <mergeCell ref="D29:F29"/>
    <mergeCell ref="G29:G30"/>
    <mergeCell ref="G49:H49"/>
    <mergeCell ref="E12:F12"/>
    <mergeCell ref="H29:H30"/>
    <mergeCell ref="I29:K29"/>
    <mergeCell ref="A2:S2"/>
    <mergeCell ref="B48:H48"/>
    <mergeCell ref="C49:D49"/>
    <mergeCell ref="Q49:Q50"/>
    <mergeCell ref="R49:R50"/>
    <mergeCell ref="O49:O50"/>
    <mergeCell ref="I12:J12"/>
    <mergeCell ref="K12:L12"/>
    <mergeCell ref="M12:N12"/>
    <mergeCell ref="B11:N11"/>
    <mergeCell ref="B49:B50"/>
    <mergeCell ref="G12:H12"/>
    <mergeCell ref="B12:B13"/>
    <mergeCell ref="C12:C13"/>
    <mergeCell ref="D12:D13"/>
    <mergeCell ref="E49:F49"/>
    <mergeCell ref="E86:G86"/>
    <mergeCell ref="H86:J86"/>
    <mergeCell ref="B85:J85"/>
    <mergeCell ref="B86:D86"/>
    <mergeCell ref="B87:D87"/>
    <mergeCell ref="E87:G87"/>
    <mergeCell ref="H87:J87"/>
    <mergeCell ref="B69:D69"/>
    <mergeCell ref="E69:G69"/>
    <mergeCell ref="B70:D70"/>
    <mergeCell ref="E70:G70"/>
    <mergeCell ref="H70:J70"/>
    <mergeCell ref="H69:J69"/>
  </mergeCells>
  <pageMargins left="0.7" right="0.7" top="0.75" bottom="0.75" header="0.3" footer="0.3"/>
  <pageSetup paperSize="9" scale="21" orientation="portrait" r:id="rId1"/>
  <ignoredErrors>
    <ignoredError sqref="G14 G24 G17:G22 G15:G16 G23 G25 I14:J25 E51:E63 G51:G62" formula="1"/>
    <ignoredError sqref="K15:K25 M14:M25 L14:L25 N14:N25" evalError="1" formula="1"/>
    <ignoredError sqref="Q15:Q25" evalError="1"/>
  </ignoredErrors>
  <drawing r:id="rId2"/>
  <legacyDrawing r:id="rId3"/>
  <controls>
    <mc:AlternateContent xmlns:mc="http://schemas.openxmlformats.org/markup-compatibility/2006">
      <mc:Choice Requires="x14">
        <control shapeId="98305" r:id="rId4" name="CommandButton1">
          <controlPr defaultSize="0" autoLine="0" r:id="rId5">
            <anchor moveWithCells="1" sizeWithCells="1">
              <from>
                <xdr:col>0</xdr:col>
                <xdr:colOff>66675</xdr:colOff>
                <xdr:row>3</xdr:row>
                <xdr:rowOff>0</xdr:rowOff>
              </from>
              <to>
                <xdr:col>1</xdr:col>
                <xdr:colOff>1209675</xdr:colOff>
                <xdr:row>3</xdr:row>
                <xdr:rowOff>314325</xdr:rowOff>
              </to>
            </anchor>
          </controlPr>
        </control>
      </mc:Choice>
      <mc:Fallback>
        <control shapeId="98305" r:id="rId4" name="CommandButton1"/>
      </mc:Fallback>
    </mc:AlternateContent>
    <mc:AlternateContent xmlns:mc="http://schemas.openxmlformats.org/markup-compatibility/2006">
      <mc:Choice Requires="x14">
        <control shapeId="98307" r:id="rId6" name="CommandButton3">
          <controlPr defaultSize="0" autoLine="0" r:id="rId7">
            <anchor moveWithCells="1" sizeWithCells="1">
              <from>
                <xdr:col>1</xdr:col>
                <xdr:colOff>0</xdr:colOff>
                <xdr:row>62</xdr:row>
                <xdr:rowOff>171450</xdr:rowOff>
              </from>
              <to>
                <xdr:col>2</xdr:col>
                <xdr:colOff>276225</xdr:colOff>
                <xdr:row>63</xdr:row>
                <xdr:rowOff>295275</xdr:rowOff>
              </to>
            </anchor>
          </controlPr>
        </control>
      </mc:Choice>
      <mc:Fallback>
        <control shapeId="98307" r:id="rId6" name="CommandButton3"/>
      </mc:Fallback>
    </mc:AlternateContent>
    <mc:AlternateContent xmlns:mc="http://schemas.openxmlformats.org/markup-compatibility/2006">
      <mc:Choice Requires="x14">
        <control shapeId="98308" r:id="rId8" name="CommandButton4">
          <controlPr defaultSize="0" autoLine="0" r:id="rId9">
            <anchor moveWithCells="1" sizeWithCells="1">
              <from>
                <xdr:col>0</xdr:col>
                <xdr:colOff>714375</xdr:colOff>
                <xdr:row>101</xdr:row>
                <xdr:rowOff>314325</xdr:rowOff>
              </from>
              <to>
                <xdr:col>2</xdr:col>
                <xdr:colOff>228600</xdr:colOff>
                <xdr:row>103</xdr:row>
                <xdr:rowOff>9525</xdr:rowOff>
              </to>
            </anchor>
          </controlPr>
        </control>
      </mc:Choice>
      <mc:Fallback>
        <control shapeId="98308" r:id="rId8" name="CommandButton4"/>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9"/>
  <dimension ref="A1:R39"/>
  <sheetViews>
    <sheetView showGridLines="0" showZeros="0" view="pageBreakPreview" topLeftCell="A22" zoomScale="70" zoomScaleNormal="85" zoomScaleSheetLayoutView="70" workbookViewId="0">
      <selection activeCell="H33" sqref="H33"/>
    </sheetView>
  </sheetViews>
  <sheetFormatPr baseColWidth="10" defaultColWidth="11.42578125" defaultRowHeight="15"/>
  <cols>
    <col min="1" max="1" width="6.85546875" style="404" customWidth="1"/>
    <col min="2" max="2" width="18.42578125" style="404" bestFit="1" customWidth="1"/>
    <col min="3" max="3" width="28.28515625" style="404" customWidth="1"/>
    <col min="4" max="4" width="20.7109375" style="404" customWidth="1"/>
    <col min="5" max="5" width="23.42578125" style="404" customWidth="1"/>
    <col min="6" max="6" width="14.7109375" style="404" customWidth="1"/>
    <col min="7" max="7" width="17.140625" style="404" customWidth="1"/>
    <col min="8" max="8" width="24.28515625" style="404" bestFit="1" customWidth="1"/>
    <col min="9" max="9" width="20.85546875" style="404" customWidth="1"/>
    <col min="10" max="10" width="23.140625" style="404" customWidth="1"/>
    <col min="11" max="11" width="18.7109375" style="404" customWidth="1"/>
    <col min="12" max="12" width="16.7109375" style="404" customWidth="1"/>
    <col min="13" max="14" width="15.7109375" style="404" customWidth="1"/>
    <col min="15" max="16384" width="11.42578125" style="404"/>
  </cols>
  <sheetData>
    <row r="1" spans="2:14">
      <c r="B1" s="403"/>
      <c r="C1" s="403"/>
      <c r="D1" s="403"/>
      <c r="E1" s="403"/>
      <c r="F1" s="403"/>
      <c r="G1" s="403"/>
      <c r="H1" s="403"/>
      <c r="I1" s="403"/>
      <c r="J1" s="403"/>
      <c r="K1" s="403"/>
      <c r="L1" s="403"/>
      <c r="M1" s="403"/>
    </row>
    <row r="2" spans="2:14" ht="18.75" customHeight="1">
      <c r="B2" s="1839" t="s">
        <v>3206</v>
      </c>
      <c r="C2" s="1839"/>
      <c r="D2" s="1839"/>
      <c r="E2" s="1839"/>
      <c r="F2" s="1839"/>
      <c r="G2" s="1839"/>
      <c r="H2" s="1839"/>
      <c r="I2" s="1839"/>
      <c r="J2" s="1839"/>
      <c r="K2" s="1839"/>
      <c r="L2" s="1839"/>
      <c r="M2" s="1839"/>
      <c r="N2" s="639"/>
    </row>
    <row r="3" spans="2:14" ht="18" customHeight="1">
      <c r="B3" s="605"/>
      <c r="C3" s="605"/>
      <c r="D3" s="605"/>
      <c r="E3" s="605"/>
      <c r="F3" s="605"/>
      <c r="G3" s="605"/>
      <c r="H3" s="605"/>
      <c r="I3" s="605"/>
      <c r="J3" s="605"/>
      <c r="K3" s="605"/>
      <c r="L3" s="605"/>
      <c r="M3" s="605"/>
      <c r="N3" s="639"/>
    </row>
    <row r="4" spans="2:14" ht="12.75" customHeight="1">
      <c r="B4" s="606"/>
      <c r="C4" s="606"/>
      <c r="D4" s="606"/>
      <c r="E4" s="606"/>
      <c r="F4" s="606"/>
      <c r="G4" s="606"/>
      <c r="H4" s="606"/>
      <c r="I4" s="606"/>
      <c r="J4" s="606"/>
      <c r="K4" s="606"/>
      <c r="L4" s="606"/>
      <c r="M4" s="606"/>
      <c r="N4" s="606"/>
    </row>
    <row r="5" spans="2:14" ht="19.5" customHeight="1">
      <c r="B5" s="1849" t="s">
        <v>850</v>
      </c>
      <c r="C5" s="1849"/>
      <c r="D5" s="1849"/>
      <c r="E5" s="1849"/>
      <c r="F5" s="1849"/>
      <c r="G5" s="1849"/>
      <c r="H5" s="1849"/>
      <c r="I5" s="1849"/>
      <c r="J5" s="1849"/>
      <c r="K5" s="1849"/>
      <c r="L5" s="1849"/>
      <c r="M5" s="1849"/>
      <c r="N5" s="606"/>
    </row>
    <row r="6" spans="2:14" ht="12.75" customHeight="1">
      <c r="B6" s="606"/>
      <c r="C6" s="606"/>
      <c r="D6" s="606"/>
      <c r="E6" s="606"/>
      <c r="F6" s="606"/>
      <c r="G6" s="606"/>
      <c r="H6" s="606"/>
      <c r="I6" s="606"/>
      <c r="J6" s="606"/>
      <c r="K6" s="606"/>
      <c r="L6" s="606"/>
      <c r="M6" s="606"/>
      <c r="N6" s="606"/>
    </row>
    <row r="7" spans="2:14" ht="20.25" customHeight="1">
      <c r="B7" s="1773" t="s">
        <v>73</v>
      </c>
      <c r="C7" s="1774"/>
      <c r="D7" s="1774"/>
      <c r="E7" s="1774"/>
      <c r="F7" s="1774"/>
      <c r="G7" s="1775"/>
      <c r="H7" s="580" t="s">
        <v>72</v>
      </c>
    </row>
    <row r="8" spans="2:14" ht="21" customHeight="1">
      <c r="B8" s="1848" t="s">
        <v>2879</v>
      </c>
      <c r="C8" s="1848"/>
      <c r="D8" s="1848"/>
      <c r="E8" s="1848"/>
      <c r="F8" s="1848"/>
      <c r="G8" s="1848"/>
      <c r="H8" s="653">
        <f>+'Población Y RR.SS'!E8</f>
        <v>0</v>
      </c>
    </row>
    <row r="9" spans="2:14" ht="21" customHeight="1">
      <c r="B9" s="1848" t="s">
        <v>2880</v>
      </c>
      <c r="C9" s="1848"/>
      <c r="D9" s="1848"/>
      <c r="E9" s="1848"/>
      <c r="F9" s="1848"/>
      <c r="G9" s="1848"/>
      <c r="H9" s="654">
        <f>DATOS!Q25</f>
        <v>0</v>
      </c>
    </row>
    <row r="10" spans="2:14" ht="21" customHeight="1">
      <c r="B10" s="1848" t="s">
        <v>74</v>
      </c>
      <c r="C10" s="1848"/>
      <c r="D10" s="1848"/>
      <c r="E10" s="1848"/>
      <c r="F10" s="1848"/>
      <c r="G10" s="1848"/>
      <c r="H10" s="655">
        <f>DATOS!Q19</f>
        <v>0.01</v>
      </c>
    </row>
    <row r="11" spans="2:14" ht="21" customHeight="1">
      <c r="B11" s="1848" t="s">
        <v>154</v>
      </c>
      <c r="C11" s="1848"/>
      <c r="D11" s="1848"/>
      <c r="E11" s="1848"/>
      <c r="F11" s="1848"/>
      <c r="G11" s="1848"/>
      <c r="H11" s="655">
        <f>DATOS!Q18</f>
        <v>0</v>
      </c>
    </row>
    <row r="12" spans="2:14" ht="21" customHeight="1">
      <c r="B12" s="1848" t="s">
        <v>795</v>
      </c>
      <c r="C12" s="1848"/>
      <c r="D12" s="1848"/>
      <c r="E12" s="1848"/>
      <c r="F12" s="1848"/>
      <c r="G12" s="1848"/>
      <c r="H12" s="656">
        <v>0.5</v>
      </c>
    </row>
    <row r="13" spans="2:14" ht="21" customHeight="1">
      <c r="B13" s="1848" t="s">
        <v>75</v>
      </c>
      <c r="C13" s="1848"/>
      <c r="D13" s="1848"/>
      <c r="E13" s="1848"/>
      <c r="F13" s="1848"/>
      <c r="G13" s="1848"/>
      <c r="H13" s="657">
        <v>0.2</v>
      </c>
    </row>
    <row r="14" spans="2:14" ht="20.25" customHeight="1">
      <c r="B14" s="1848" t="s">
        <v>2438</v>
      </c>
      <c r="C14" s="1848"/>
      <c r="D14" s="1848"/>
      <c r="E14" s="1848"/>
      <c r="F14" s="1848"/>
      <c r="G14" s="1848"/>
      <c r="H14" s="658">
        <f>'Planteamiento Técnico'!C424</f>
        <v>0</v>
      </c>
      <c r="L14" s="659"/>
      <c r="M14" s="659"/>
      <c r="N14" s="659"/>
    </row>
    <row r="15" spans="2:14" ht="20.25" customHeight="1">
      <c r="B15" s="1848" t="s">
        <v>3205</v>
      </c>
      <c r="C15" s="1848"/>
      <c r="D15" s="1848"/>
      <c r="E15" s="1848"/>
      <c r="F15" s="1848"/>
      <c r="G15" s="1848"/>
      <c r="H15" s="656">
        <f>'Planteamiento Técnico'!C479+'Planteamiento Técnico'!C533+'Planteamiento Técnico'!C591</f>
        <v>0</v>
      </c>
      <c r="L15" s="659"/>
      <c r="M15" s="659"/>
      <c r="N15" s="659"/>
    </row>
    <row r="16" spans="2:14" ht="20.25" customHeight="1">
      <c r="B16" s="660"/>
      <c r="C16" s="660"/>
      <c r="D16" s="660"/>
      <c r="E16" s="660"/>
      <c r="F16" s="660"/>
      <c r="G16" s="660"/>
      <c r="H16" s="661"/>
      <c r="L16" s="659"/>
      <c r="M16" s="659"/>
      <c r="N16" s="659"/>
    </row>
    <row r="17" spans="1:18" ht="20.25" customHeight="1">
      <c r="B17" s="660"/>
      <c r="C17" s="660"/>
      <c r="D17" s="660"/>
      <c r="E17" s="660"/>
      <c r="F17" s="660"/>
      <c r="G17" s="660"/>
      <c r="H17" s="662"/>
    </row>
    <row r="18" spans="1:18" ht="32.1" customHeight="1">
      <c r="B18" s="1725" t="s">
        <v>1</v>
      </c>
      <c r="C18" s="1792" t="s">
        <v>76</v>
      </c>
      <c r="D18" s="1792"/>
      <c r="E18" s="1792"/>
      <c r="F18" s="1792"/>
      <c r="G18" s="1792"/>
      <c r="H18" s="1792"/>
      <c r="I18" s="1792" t="s">
        <v>81</v>
      </c>
      <c r="J18" s="1792" t="s">
        <v>82</v>
      </c>
      <c r="K18" s="1792" t="s">
        <v>92</v>
      </c>
      <c r="L18" s="1792" t="s">
        <v>91</v>
      </c>
      <c r="M18" s="1792" t="s">
        <v>133</v>
      </c>
      <c r="N18" s="646"/>
    </row>
    <row r="19" spans="1:18" ht="60">
      <c r="B19" s="1725"/>
      <c r="C19" s="580" t="s">
        <v>2881</v>
      </c>
      <c r="D19" s="580" t="s">
        <v>2882</v>
      </c>
      <c r="E19" s="580" t="s">
        <v>2752</v>
      </c>
      <c r="F19" s="580" t="s">
        <v>2753</v>
      </c>
      <c r="G19" s="580" t="s">
        <v>2883</v>
      </c>
      <c r="H19" s="580" t="s">
        <v>2884</v>
      </c>
      <c r="I19" s="1792"/>
      <c r="J19" s="1851"/>
      <c r="K19" s="1792"/>
      <c r="L19" s="1792"/>
      <c r="M19" s="1792"/>
      <c r="N19" s="646"/>
    </row>
    <row r="20" spans="1:18" ht="48.75" customHeight="1">
      <c r="B20" s="1725"/>
      <c r="C20" s="580" t="s">
        <v>79</v>
      </c>
      <c r="D20" s="580" t="s">
        <v>83</v>
      </c>
      <c r="E20" s="580" t="s">
        <v>80</v>
      </c>
      <c r="F20" s="580" t="s">
        <v>84</v>
      </c>
      <c r="G20" s="580" t="s">
        <v>139</v>
      </c>
      <c r="H20" s="580" t="s">
        <v>84</v>
      </c>
      <c r="I20" s="619" t="s">
        <v>138</v>
      </c>
      <c r="J20" s="619" t="s">
        <v>85</v>
      </c>
      <c r="K20" s="619" t="s">
        <v>152</v>
      </c>
      <c r="L20" s="619" t="s">
        <v>86</v>
      </c>
      <c r="M20" s="619" t="s">
        <v>89</v>
      </c>
      <c r="N20" s="646"/>
    </row>
    <row r="21" spans="1:18" s="405" customFormat="1" ht="24" customHeight="1">
      <c r="A21" s="663"/>
      <c r="B21" s="585">
        <f>'Demanda Oferta'!B31</f>
        <v>1</v>
      </c>
      <c r="C21" s="587">
        <f>'Demanda Oferta'!C31</f>
        <v>0</v>
      </c>
      <c r="D21" s="587">
        <f>'Demanda Oferta'!D31</f>
        <v>0</v>
      </c>
      <c r="E21" s="587">
        <f>'Demanda Oferta'!E31</f>
        <v>0</v>
      </c>
      <c r="F21" s="587">
        <f>'Demanda Oferta'!F31</f>
        <v>0</v>
      </c>
      <c r="G21" s="664">
        <f>SUM(C21:F21)</f>
        <v>0</v>
      </c>
      <c r="H21" s="665">
        <f>G21*365</f>
        <v>0</v>
      </c>
      <c r="I21" s="666">
        <f>H21/$H$12</f>
        <v>0</v>
      </c>
      <c r="J21" s="666"/>
      <c r="K21" s="666"/>
      <c r="L21" s="666"/>
      <c r="M21" s="666"/>
      <c r="N21" s="667"/>
      <c r="O21" s="606"/>
      <c r="P21" s="1850"/>
      <c r="Q21" s="1850"/>
      <c r="R21" s="1850"/>
    </row>
    <row r="22" spans="1:18" s="405" customFormat="1" ht="24" customHeight="1">
      <c r="A22" s="663"/>
      <c r="B22" s="585">
        <f>'Demanda Oferta'!B32</f>
        <v>2</v>
      </c>
      <c r="C22" s="587">
        <f>'Demanda Oferta'!C32</f>
        <v>0</v>
      </c>
      <c r="D22" s="587">
        <f>'Demanda Oferta'!D32</f>
        <v>0</v>
      </c>
      <c r="E22" s="587">
        <f>'Demanda Oferta'!E32</f>
        <v>0</v>
      </c>
      <c r="F22" s="587">
        <f>'Demanda Oferta'!F32</f>
        <v>0</v>
      </c>
      <c r="G22" s="664">
        <f t="shared" ref="G22:G32" si="0">SUM(C22:F22)</f>
        <v>0</v>
      </c>
      <c r="H22" s="665">
        <f t="shared" ref="H22:H32" si="1">G22*365</f>
        <v>0</v>
      </c>
      <c r="I22" s="666">
        <f t="shared" ref="I22:I32" si="2">H22/$H$12</f>
        <v>0</v>
      </c>
      <c r="J22" s="666"/>
      <c r="K22" s="666"/>
      <c r="L22" s="666"/>
      <c r="M22" s="666"/>
      <c r="N22" s="667"/>
      <c r="O22" s="668"/>
      <c r="P22" s="669"/>
      <c r="Q22" s="670"/>
      <c r="R22" s="671"/>
    </row>
    <row r="23" spans="1:18" s="405" customFormat="1" ht="24" customHeight="1">
      <c r="A23" s="663"/>
      <c r="B23" s="585">
        <f>'Demanda Oferta'!B33</f>
        <v>3</v>
      </c>
      <c r="C23" s="587">
        <f>'Demanda Oferta'!C33</f>
        <v>0</v>
      </c>
      <c r="D23" s="587">
        <f>'Demanda Oferta'!D33</f>
        <v>0</v>
      </c>
      <c r="E23" s="587">
        <f>'Demanda Oferta'!E33</f>
        <v>0</v>
      </c>
      <c r="F23" s="587">
        <f>'Demanda Oferta'!F33</f>
        <v>0</v>
      </c>
      <c r="G23" s="664">
        <f t="shared" si="0"/>
        <v>0</v>
      </c>
      <c r="H23" s="665">
        <f t="shared" si="1"/>
        <v>0</v>
      </c>
      <c r="I23" s="666">
        <f t="shared" si="2"/>
        <v>0</v>
      </c>
      <c r="J23" s="666"/>
      <c r="K23" s="666"/>
      <c r="L23" s="666"/>
      <c r="M23" s="666"/>
      <c r="N23" s="667"/>
      <c r="O23" s="672"/>
      <c r="P23" s="669"/>
      <c r="Q23" s="670"/>
      <c r="R23" s="671"/>
    </row>
    <row r="24" spans="1:18" s="405" customFormat="1" ht="24" customHeight="1">
      <c r="A24" s="663"/>
      <c r="B24" s="585">
        <f>'Demanda Oferta'!B34</f>
        <v>4</v>
      </c>
      <c r="C24" s="587">
        <f>'Demanda Oferta'!C34</f>
        <v>0</v>
      </c>
      <c r="D24" s="587">
        <f>'Demanda Oferta'!D34</f>
        <v>0</v>
      </c>
      <c r="E24" s="587">
        <f>'Demanda Oferta'!E34</f>
        <v>0</v>
      </c>
      <c r="F24" s="587">
        <f>'Demanda Oferta'!F34</f>
        <v>0</v>
      </c>
      <c r="G24" s="664">
        <f t="shared" si="0"/>
        <v>0</v>
      </c>
      <c r="H24" s="665">
        <f t="shared" si="1"/>
        <v>0</v>
      </c>
      <c r="I24" s="666">
        <f t="shared" si="2"/>
        <v>0</v>
      </c>
      <c r="J24" s="666">
        <f t="shared" ref="J24:J32" si="3">I24*0.2</f>
        <v>0</v>
      </c>
      <c r="K24" s="666">
        <f t="shared" ref="K24:K32" si="4">I24+J24</f>
        <v>0</v>
      </c>
      <c r="L24" s="666">
        <f>K24</f>
        <v>0</v>
      </c>
      <c r="M24" s="673">
        <f t="shared" ref="M24:M32" si="5">IFERROR((L24/$H$15)/10000,0)</f>
        <v>0</v>
      </c>
      <c r="N24" s="667"/>
      <c r="O24" s="668"/>
      <c r="P24" s="669"/>
      <c r="Q24" s="670"/>
      <c r="R24" s="671"/>
    </row>
    <row r="25" spans="1:18" ht="24" customHeight="1">
      <c r="A25" s="663"/>
      <c r="B25" s="585">
        <f>'Demanda Oferta'!B35</f>
        <v>5</v>
      </c>
      <c r="C25" s="587">
        <f>'Demanda Oferta'!C35</f>
        <v>0</v>
      </c>
      <c r="D25" s="587">
        <f>'Demanda Oferta'!D35</f>
        <v>0</v>
      </c>
      <c r="E25" s="587">
        <f>'Demanda Oferta'!E35</f>
        <v>0</v>
      </c>
      <c r="F25" s="587">
        <f>'Demanda Oferta'!F35</f>
        <v>0</v>
      </c>
      <c r="G25" s="664">
        <f t="shared" si="0"/>
        <v>0</v>
      </c>
      <c r="H25" s="665">
        <f t="shared" si="1"/>
        <v>0</v>
      </c>
      <c r="I25" s="666">
        <f t="shared" si="2"/>
        <v>0</v>
      </c>
      <c r="J25" s="666">
        <f t="shared" si="3"/>
        <v>0</v>
      </c>
      <c r="K25" s="666">
        <f>I25+J25</f>
        <v>0</v>
      </c>
      <c r="L25" s="666">
        <f t="shared" ref="L25:L32" si="6">K25+L24</f>
        <v>0</v>
      </c>
      <c r="M25" s="673">
        <f t="shared" si="5"/>
        <v>0</v>
      </c>
      <c r="N25" s="667"/>
      <c r="O25" s="606"/>
      <c r="P25" s="669"/>
      <c r="Q25" s="670"/>
      <c r="R25" s="671"/>
    </row>
    <row r="26" spans="1:18" ht="24" customHeight="1">
      <c r="A26" s="663"/>
      <c r="B26" s="585">
        <f>'Demanda Oferta'!B36</f>
        <v>6</v>
      </c>
      <c r="C26" s="587">
        <f>'Demanda Oferta'!C36</f>
        <v>0</v>
      </c>
      <c r="D26" s="587">
        <f>'Demanda Oferta'!D36</f>
        <v>0</v>
      </c>
      <c r="E26" s="587">
        <f>'Demanda Oferta'!E36</f>
        <v>0</v>
      </c>
      <c r="F26" s="587">
        <f>'Demanda Oferta'!F36</f>
        <v>0</v>
      </c>
      <c r="G26" s="664">
        <f t="shared" si="0"/>
        <v>0</v>
      </c>
      <c r="H26" s="665">
        <f t="shared" si="1"/>
        <v>0</v>
      </c>
      <c r="I26" s="666">
        <f t="shared" si="2"/>
        <v>0</v>
      </c>
      <c r="J26" s="666">
        <f t="shared" si="3"/>
        <v>0</v>
      </c>
      <c r="K26" s="666">
        <f t="shared" si="4"/>
        <v>0</v>
      </c>
      <c r="L26" s="666">
        <f t="shared" si="6"/>
        <v>0</v>
      </c>
      <c r="M26" s="673">
        <f t="shared" si="5"/>
        <v>0</v>
      </c>
      <c r="N26" s="667"/>
      <c r="O26" s="606"/>
      <c r="P26" s="669"/>
      <c r="Q26" s="670"/>
      <c r="R26" s="671"/>
    </row>
    <row r="27" spans="1:18" ht="24" customHeight="1">
      <c r="A27" s="663"/>
      <c r="B27" s="585">
        <f>'Demanda Oferta'!B37</f>
        <v>7</v>
      </c>
      <c r="C27" s="587">
        <f>'Demanda Oferta'!C37</f>
        <v>0</v>
      </c>
      <c r="D27" s="587">
        <f>'Demanda Oferta'!D37</f>
        <v>0</v>
      </c>
      <c r="E27" s="587">
        <f>'Demanda Oferta'!E37</f>
        <v>0</v>
      </c>
      <c r="F27" s="587">
        <f>'Demanda Oferta'!F37</f>
        <v>0</v>
      </c>
      <c r="G27" s="664">
        <f t="shared" si="0"/>
        <v>0</v>
      </c>
      <c r="H27" s="665">
        <f t="shared" si="1"/>
        <v>0</v>
      </c>
      <c r="I27" s="666">
        <f t="shared" si="2"/>
        <v>0</v>
      </c>
      <c r="J27" s="666">
        <f t="shared" si="3"/>
        <v>0</v>
      </c>
      <c r="K27" s="666">
        <f t="shared" si="4"/>
        <v>0</v>
      </c>
      <c r="L27" s="666">
        <f t="shared" si="6"/>
        <v>0</v>
      </c>
      <c r="M27" s="673">
        <f t="shared" si="5"/>
        <v>0</v>
      </c>
      <c r="N27" s="667"/>
      <c r="O27" s="606"/>
      <c r="P27" s="1850"/>
      <c r="Q27" s="1850"/>
      <c r="R27" s="674"/>
    </row>
    <row r="28" spans="1:18" ht="24" customHeight="1">
      <c r="A28" s="663"/>
      <c r="B28" s="585">
        <f>'Demanda Oferta'!B38</f>
        <v>8</v>
      </c>
      <c r="C28" s="587">
        <f>'Demanda Oferta'!C38</f>
        <v>0</v>
      </c>
      <c r="D28" s="587">
        <f>'Demanda Oferta'!D38</f>
        <v>0</v>
      </c>
      <c r="E28" s="587">
        <f>'Demanda Oferta'!E38</f>
        <v>0</v>
      </c>
      <c r="F28" s="587">
        <f>'Demanda Oferta'!F38</f>
        <v>0</v>
      </c>
      <c r="G28" s="664">
        <f t="shared" si="0"/>
        <v>0</v>
      </c>
      <c r="H28" s="665">
        <f t="shared" si="1"/>
        <v>0</v>
      </c>
      <c r="I28" s="666">
        <f t="shared" si="2"/>
        <v>0</v>
      </c>
      <c r="J28" s="666">
        <f t="shared" si="3"/>
        <v>0</v>
      </c>
      <c r="K28" s="666">
        <f t="shared" si="4"/>
        <v>0</v>
      </c>
      <c r="L28" s="666">
        <f t="shared" si="6"/>
        <v>0</v>
      </c>
      <c r="M28" s="673">
        <f t="shared" si="5"/>
        <v>0</v>
      </c>
      <c r="N28" s="667"/>
    </row>
    <row r="29" spans="1:18" ht="24" customHeight="1">
      <c r="A29" s="663"/>
      <c r="B29" s="585">
        <f>'Demanda Oferta'!B39</f>
        <v>9</v>
      </c>
      <c r="C29" s="587">
        <f>'Demanda Oferta'!C39</f>
        <v>0</v>
      </c>
      <c r="D29" s="587">
        <f>'Demanda Oferta'!D39</f>
        <v>0</v>
      </c>
      <c r="E29" s="587">
        <f>'Demanda Oferta'!E39</f>
        <v>0</v>
      </c>
      <c r="F29" s="587">
        <f>'Demanda Oferta'!F39</f>
        <v>0</v>
      </c>
      <c r="G29" s="664">
        <f t="shared" si="0"/>
        <v>0</v>
      </c>
      <c r="H29" s="665">
        <f t="shared" si="1"/>
        <v>0</v>
      </c>
      <c r="I29" s="666">
        <f t="shared" si="2"/>
        <v>0</v>
      </c>
      <c r="J29" s="666">
        <f t="shared" si="3"/>
        <v>0</v>
      </c>
      <c r="K29" s="666">
        <f t="shared" si="4"/>
        <v>0</v>
      </c>
      <c r="L29" s="666">
        <f t="shared" si="6"/>
        <v>0</v>
      </c>
      <c r="M29" s="673">
        <f t="shared" si="5"/>
        <v>0</v>
      </c>
      <c r="N29" s="667"/>
    </row>
    <row r="30" spans="1:18" ht="24" customHeight="1">
      <c r="A30" s="663"/>
      <c r="B30" s="585">
        <f>'Demanda Oferta'!B40</f>
        <v>10</v>
      </c>
      <c r="C30" s="587">
        <f>'Demanda Oferta'!C40</f>
        <v>0</v>
      </c>
      <c r="D30" s="587">
        <f>'Demanda Oferta'!D40</f>
        <v>0</v>
      </c>
      <c r="E30" s="587">
        <f>'Demanda Oferta'!E40</f>
        <v>0</v>
      </c>
      <c r="F30" s="587">
        <f>'Demanda Oferta'!F40</f>
        <v>0</v>
      </c>
      <c r="G30" s="664">
        <f t="shared" si="0"/>
        <v>0</v>
      </c>
      <c r="H30" s="665">
        <f t="shared" si="1"/>
        <v>0</v>
      </c>
      <c r="I30" s="666">
        <f t="shared" si="2"/>
        <v>0</v>
      </c>
      <c r="J30" s="666">
        <f t="shared" si="3"/>
        <v>0</v>
      </c>
      <c r="K30" s="666">
        <f t="shared" si="4"/>
        <v>0</v>
      </c>
      <c r="L30" s="666">
        <f t="shared" si="6"/>
        <v>0</v>
      </c>
      <c r="M30" s="673">
        <f t="shared" si="5"/>
        <v>0</v>
      </c>
      <c r="N30" s="667"/>
    </row>
    <row r="31" spans="1:18" ht="24" customHeight="1">
      <c r="A31" s="663"/>
      <c r="B31" s="585">
        <f>'Demanda Oferta'!B41</f>
        <v>11</v>
      </c>
      <c r="C31" s="587">
        <f>'Demanda Oferta'!C41</f>
        <v>0</v>
      </c>
      <c r="D31" s="587">
        <f>'Demanda Oferta'!D41</f>
        <v>0</v>
      </c>
      <c r="E31" s="587">
        <f>'Demanda Oferta'!E41</f>
        <v>0</v>
      </c>
      <c r="F31" s="587">
        <f>'Demanda Oferta'!F41</f>
        <v>0</v>
      </c>
      <c r="G31" s="664">
        <f t="shared" si="0"/>
        <v>0</v>
      </c>
      <c r="H31" s="665">
        <f t="shared" si="1"/>
        <v>0</v>
      </c>
      <c r="I31" s="666">
        <f t="shared" si="2"/>
        <v>0</v>
      </c>
      <c r="J31" s="666">
        <f t="shared" si="3"/>
        <v>0</v>
      </c>
      <c r="K31" s="666">
        <f t="shared" si="4"/>
        <v>0</v>
      </c>
      <c r="L31" s="666">
        <f t="shared" si="6"/>
        <v>0</v>
      </c>
      <c r="M31" s="673">
        <f t="shared" si="5"/>
        <v>0</v>
      </c>
      <c r="N31" s="667"/>
    </row>
    <row r="32" spans="1:18" ht="24" customHeight="1">
      <c r="A32" s="663"/>
      <c r="B32" s="585">
        <f>'Demanda Oferta'!B42</f>
        <v>12</v>
      </c>
      <c r="C32" s="587">
        <f>'Demanda Oferta'!C42</f>
        <v>0</v>
      </c>
      <c r="D32" s="587">
        <f>'Demanda Oferta'!D42</f>
        <v>0</v>
      </c>
      <c r="E32" s="587">
        <f>'Demanda Oferta'!E42</f>
        <v>0</v>
      </c>
      <c r="F32" s="587">
        <f>'Demanda Oferta'!F42</f>
        <v>0</v>
      </c>
      <c r="G32" s="664">
        <f t="shared" si="0"/>
        <v>0</v>
      </c>
      <c r="H32" s="665">
        <f t="shared" si="1"/>
        <v>0</v>
      </c>
      <c r="I32" s="666">
        <f t="shared" si="2"/>
        <v>0</v>
      </c>
      <c r="J32" s="666">
        <f t="shared" si="3"/>
        <v>0</v>
      </c>
      <c r="K32" s="666">
        <f t="shared" si="4"/>
        <v>0</v>
      </c>
      <c r="L32" s="666">
        <f t="shared" si="6"/>
        <v>0</v>
      </c>
      <c r="M32" s="673">
        <f t="shared" si="5"/>
        <v>0</v>
      </c>
      <c r="N32" s="667"/>
    </row>
    <row r="33" spans="1:14" ht="27.75" customHeight="1">
      <c r="B33" s="669"/>
      <c r="G33" s="675"/>
      <c r="H33" s="1168">
        <f>SUM(H24:H32)</f>
        <v>0</v>
      </c>
      <c r="I33" s="677"/>
      <c r="J33" s="677"/>
      <c r="K33" s="676">
        <f>SUM(K24:K32)</f>
        <v>0</v>
      </c>
      <c r="L33" s="404" t="s">
        <v>2885</v>
      </c>
      <c r="M33" s="678">
        <f>M32*0.3</f>
        <v>0</v>
      </c>
      <c r="N33" s="679"/>
    </row>
    <row r="34" spans="1:14" ht="15.95" customHeight="1">
      <c r="L34" s="404" t="s">
        <v>2886</v>
      </c>
      <c r="M34" s="680">
        <f>M32+M33</f>
        <v>0</v>
      </c>
      <c r="N34" s="681"/>
    </row>
    <row r="35" spans="1:14">
      <c r="G35" s="682"/>
    </row>
    <row r="36" spans="1:14">
      <c r="G36" s="682"/>
    </row>
    <row r="37" spans="1:14">
      <c r="A37" s="403"/>
      <c r="B37" s="403"/>
      <c r="C37" s="403"/>
      <c r="D37" s="403"/>
      <c r="E37" s="403"/>
      <c r="F37" s="403"/>
      <c r="G37" s="683"/>
      <c r="H37" s="403"/>
      <c r="I37" s="403"/>
      <c r="J37" s="403"/>
      <c r="K37" s="403"/>
      <c r="L37" s="403"/>
      <c r="M37" s="403"/>
      <c r="N37" s="403"/>
    </row>
    <row r="38" spans="1:14">
      <c r="A38" s="403"/>
      <c r="B38" s="403"/>
      <c r="C38" s="403"/>
      <c r="D38" s="403"/>
      <c r="E38" s="403"/>
      <c r="F38" s="403"/>
      <c r="G38" s="683"/>
      <c r="H38" s="403"/>
      <c r="I38" s="403"/>
      <c r="J38" s="403"/>
      <c r="K38" s="403"/>
      <c r="L38" s="403"/>
      <c r="M38" s="403"/>
      <c r="N38" s="403"/>
    </row>
    <row r="39" spans="1:14">
      <c r="A39" s="403"/>
      <c r="B39" s="403"/>
      <c r="C39" s="403"/>
      <c r="D39" s="403"/>
      <c r="E39" s="403"/>
      <c r="F39" s="403"/>
      <c r="G39" s="403"/>
      <c r="H39" s="403"/>
      <c r="I39" s="403"/>
      <c r="J39" s="403"/>
      <c r="K39" s="403"/>
      <c r="L39" s="403"/>
      <c r="M39" s="403"/>
      <c r="N39" s="403"/>
    </row>
  </sheetData>
  <mergeCells count="20">
    <mergeCell ref="P27:Q27"/>
    <mergeCell ref="J18:J19"/>
    <mergeCell ref="P21:R21"/>
    <mergeCell ref="C18:H18"/>
    <mergeCell ref="M18:M19"/>
    <mergeCell ref="L18:L19"/>
    <mergeCell ref="I18:I19"/>
    <mergeCell ref="K18:K19"/>
    <mergeCell ref="B14:G14"/>
    <mergeCell ref="B15:G15"/>
    <mergeCell ref="B18:B20"/>
    <mergeCell ref="B5:M5"/>
    <mergeCell ref="B2:M2"/>
    <mergeCell ref="B7:G7"/>
    <mergeCell ref="B12:G12"/>
    <mergeCell ref="B13:G13"/>
    <mergeCell ref="B8:G8"/>
    <mergeCell ref="B11:G11"/>
    <mergeCell ref="B9:G9"/>
    <mergeCell ref="B10:G10"/>
  </mergeCells>
  <pageMargins left="0.70866141732283472" right="0.70866141732283472" top="0.74803149606299213" bottom="0.74803149606299213" header="0.31496062992125984" footer="0.31496062992125984"/>
  <pageSetup paperSize="9" scale="49"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71">
    <tabColor theme="0"/>
  </sheetPr>
  <dimension ref="A1:AE626"/>
  <sheetViews>
    <sheetView showGridLines="0" showZeros="0" view="pageBreakPreview" topLeftCell="A418" zoomScale="70" zoomScaleNormal="100" zoomScaleSheetLayoutView="70" workbookViewId="0">
      <selection activeCell="F443" sqref="F443"/>
    </sheetView>
  </sheetViews>
  <sheetFormatPr baseColWidth="10" defaultColWidth="11.42578125" defaultRowHeight="15.95" customHeight="1"/>
  <cols>
    <col min="1" max="1" width="4" style="405" customWidth="1"/>
    <col min="2" max="2" width="62.42578125" style="404" customWidth="1"/>
    <col min="3" max="3" width="23" style="688" customWidth="1"/>
    <col min="4" max="4" width="22.42578125" style="689" customWidth="1"/>
    <col min="5" max="5" width="20.140625" style="687" customWidth="1"/>
    <col min="6" max="6" width="22.85546875" style="404" customWidth="1"/>
    <col min="7" max="7" width="49" style="404" customWidth="1"/>
    <col min="8" max="8" width="21.5703125" style="404" customWidth="1"/>
    <col min="9" max="9" width="61.42578125" style="404" customWidth="1"/>
    <col min="10" max="10" width="22" style="404" customWidth="1"/>
    <col min="11" max="11" width="18.7109375" style="404" customWidth="1"/>
    <col min="12" max="12" width="20.42578125" style="687" customWidth="1"/>
    <col min="13" max="13" width="19.140625" style="404" customWidth="1"/>
    <col min="14" max="14" width="17.7109375" style="404" customWidth="1"/>
    <col min="15" max="15" width="14" style="404" customWidth="1"/>
    <col min="16" max="16384" width="11.42578125" style="404"/>
  </cols>
  <sheetData>
    <row r="1" spans="1:31" ht="37.5" customHeight="1">
      <c r="B1" s="1894" t="s">
        <v>191</v>
      </c>
      <c r="C1" s="1895"/>
      <c r="D1" s="1895"/>
      <c r="E1" s="1895"/>
      <c r="F1" s="1895"/>
      <c r="G1" s="1895"/>
      <c r="H1" s="1895"/>
      <c r="I1" s="1895"/>
      <c r="J1" s="1895"/>
      <c r="K1" s="1895"/>
      <c r="L1" s="684"/>
      <c r="M1" s="403"/>
      <c r="N1" s="403"/>
      <c r="O1" s="403"/>
    </row>
    <row r="2" spans="1:31" ht="15.95" customHeight="1">
      <c r="B2" s="403"/>
      <c r="C2" s="685"/>
      <c r="D2" s="686"/>
      <c r="E2" s="684"/>
      <c r="F2" s="403"/>
      <c r="G2" s="403"/>
      <c r="H2" s="403"/>
      <c r="I2" s="403"/>
      <c r="J2" s="403"/>
      <c r="K2" s="403"/>
      <c r="L2" s="684"/>
      <c r="M2" s="403"/>
      <c r="N2" s="403"/>
      <c r="O2" s="403"/>
    </row>
    <row r="3" spans="1:31" ht="15.95" customHeight="1">
      <c r="B3" s="403"/>
      <c r="C3" s="685"/>
      <c r="D3" s="686"/>
      <c r="E3" s="684"/>
      <c r="F3" s="403"/>
      <c r="G3" s="403"/>
      <c r="H3" s="403"/>
      <c r="I3" s="403"/>
      <c r="J3" s="403"/>
      <c r="K3" s="403"/>
      <c r="L3" s="684"/>
      <c r="M3" s="403"/>
      <c r="N3" s="403"/>
      <c r="O3" s="403"/>
    </row>
    <row r="5" spans="1:31" ht="18.75" customHeight="1">
      <c r="B5" s="1872" t="str">
        <f>FICHA!C231</f>
        <v>Adecuado almacenamiento en vías urbanas y áreas públicas</v>
      </c>
      <c r="C5" s="1872"/>
      <c r="D5" s="1872"/>
      <c r="E5" s="1872"/>
      <c r="F5" s="1872"/>
      <c r="G5" s="1872"/>
      <c r="H5" s="1872"/>
      <c r="I5" s="1872"/>
      <c r="J5" s="1872"/>
      <c r="K5" s="1872"/>
    </row>
    <row r="6" spans="1:31" s="607" customFormat="1" ht="15.95" customHeight="1">
      <c r="A6" s="618"/>
      <c r="B6" s="404"/>
      <c r="C6" s="688"/>
      <c r="D6" s="689"/>
      <c r="E6" s="687"/>
      <c r="F6" s="404"/>
      <c r="G6" s="404"/>
      <c r="H6" s="404"/>
      <c r="L6" s="606"/>
    </row>
    <row r="7" spans="1:31" s="59" customFormat="1" ht="15.95" customHeight="1">
      <c r="E7" s="690"/>
      <c r="L7" s="690"/>
    </row>
    <row r="8" spans="1:31" s="33" customFormat="1" ht="15.95" customHeight="1">
      <c r="A8" s="34"/>
      <c r="B8" s="51" t="s">
        <v>3199</v>
      </c>
      <c r="C8" s="20"/>
      <c r="D8" s="20"/>
      <c r="E8" s="603"/>
      <c r="F8" s="51"/>
      <c r="G8" s="20"/>
      <c r="H8" s="20"/>
      <c r="I8" s="20"/>
      <c r="L8" s="691"/>
      <c r="R8" s="19"/>
      <c r="S8" s="19"/>
      <c r="T8" s="19"/>
      <c r="U8" s="19"/>
      <c r="V8" s="19"/>
      <c r="W8" s="19"/>
      <c r="X8" s="19"/>
      <c r="Y8" s="19"/>
      <c r="Z8" s="19"/>
      <c r="AA8" s="19"/>
      <c r="AB8" s="19"/>
      <c r="AC8" s="19"/>
      <c r="AD8" s="19"/>
      <c r="AE8" s="19"/>
    </row>
    <row r="9" spans="1:31" s="33" customFormat="1" ht="15.95" customHeight="1">
      <c r="A9" s="34"/>
      <c r="B9" s="20"/>
      <c r="C9" s="20"/>
      <c r="D9" s="20"/>
      <c r="E9" s="603"/>
      <c r="F9" s="20"/>
      <c r="G9" s="20"/>
      <c r="H9" s="20"/>
      <c r="I9" s="20"/>
      <c r="L9" s="691"/>
      <c r="R9" s="19"/>
      <c r="S9" s="19"/>
      <c r="T9" s="19"/>
      <c r="U9" s="19"/>
      <c r="V9" s="19"/>
      <c r="W9" s="19"/>
      <c r="X9" s="19"/>
      <c r="Y9" s="19"/>
      <c r="Z9" s="19"/>
      <c r="AA9" s="19"/>
      <c r="AB9" s="19"/>
      <c r="AC9" s="19"/>
      <c r="AD9" s="19"/>
      <c r="AE9" s="19"/>
    </row>
    <row r="10" spans="1:31" s="33" customFormat="1" ht="17.25" customHeight="1">
      <c r="A10" s="34"/>
      <c r="B10" s="840" t="s">
        <v>380</v>
      </c>
      <c r="C10" s="580" t="s">
        <v>636</v>
      </c>
      <c r="D10" s="841" t="s">
        <v>637</v>
      </c>
      <c r="E10" s="603"/>
      <c r="F10" s="36"/>
      <c r="G10" s="36"/>
      <c r="H10" s="36"/>
      <c r="I10" s="20"/>
      <c r="L10" s="691"/>
      <c r="R10" s="19"/>
      <c r="S10" s="19"/>
      <c r="T10" s="19"/>
      <c r="U10" s="19"/>
      <c r="V10" s="19"/>
      <c r="W10" s="19"/>
      <c r="X10" s="19"/>
      <c r="Y10" s="19"/>
      <c r="Z10" s="19"/>
      <c r="AA10" s="19"/>
      <c r="AB10" s="19"/>
      <c r="AC10" s="19"/>
      <c r="AD10" s="19"/>
      <c r="AE10" s="19"/>
    </row>
    <row r="11" spans="1:31" s="33" customFormat="1" ht="18.75" customHeight="1">
      <c r="A11" s="34"/>
      <c r="B11" s="589" t="s">
        <v>2084</v>
      </c>
      <c r="C11" s="586"/>
      <c r="D11" s="588"/>
      <c r="E11" s="603"/>
      <c r="F11" s="36"/>
      <c r="G11" s="36"/>
      <c r="H11" s="36"/>
      <c r="I11" s="20"/>
      <c r="L11" s="691"/>
      <c r="R11" s="19"/>
      <c r="S11" s="19"/>
      <c r="T11" s="19"/>
      <c r="U11" s="19"/>
      <c r="V11" s="19"/>
      <c r="W11" s="19"/>
      <c r="X11" s="19"/>
      <c r="Y11" s="19"/>
      <c r="Z11" s="19"/>
      <c r="AA11" s="19"/>
      <c r="AB11" s="19"/>
      <c r="AC11" s="19"/>
      <c r="AD11" s="19"/>
      <c r="AE11" s="19"/>
    </row>
    <row r="12" spans="1:31" s="33" customFormat="1" ht="15.95" customHeight="1">
      <c r="A12" s="34"/>
      <c r="B12" s="1750" t="s">
        <v>6</v>
      </c>
      <c r="C12" s="1750"/>
      <c r="D12" s="590">
        <f>SUM(D11:D11)</f>
        <v>0</v>
      </c>
      <c r="E12" s="603"/>
      <c r="F12" s="36"/>
      <c r="G12" s="36"/>
      <c r="H12" s="36"/>
      <c r="I12" s="20"/>
      <c r="L12" s="691"/>
      <c r="R12" s="19"/>
      <c r="S12" s="19"/>
      <c r="T12" s="19"/>
      <c r="U12" s="19"/>
      <c r="V12" s="19"/>
      <c r="W12" s="19"/>
      <c r="X12" s="19"/>
      <c r="Y12" s="19"/>
      <c r="Z12" s="19"/>
      <c r="AA12" s="19"/>
      <c r="AB12" s="19"/>
      <c r="AC12" s="19"/>
      <c r="AD12" s="19"/>
      <c r="AE12" s="19"/>
    </row>
    <row r="13" spans="1:31" s="33" customFormat="1" ht="15.95" customHeight="1">
      <c r="A13" s="34"/>
      <c r="B13" s="20"/>
      <c r="C13" s="20"/>
      <c r="D13" s="20"/>
      <c r="E13" s="603"/>
      <c r="F13" s="20"/>
      <c r="G13" s="20"/>
      <c r="H13" s="20"/>
      <c r="I13" s="20"/>
      <c r="L13" s="691"/>
      <c r="R13" s="19"/>
      <c r="S13" s="19"/>
      <c r="T13" s="19"/>
      <c r="U13" s="19"/>
      <c r="V13" s="19"/>
      <c r="W13" s="19"/>
      <c r="X13" s="19"/>
      <c r="Y13" s="19"/>
      <c r="Z13" s="19"/>
      <c r="AA13" s="19"/>
      <c r="AB13" s="19"/>
      <c r="AC13" s="19"/>
      <c r="AD13" s="19"/>
      <c r="AE13" s="19"/>
    </row>
    <row r="14" spans="1:31" s="33" customFormat="1" ht="27.75" customHeight="1">
      <c r="A14" s="34"/>
      <c r="B14" s="840" t="s">
        <v>380</v>
      </c>
      <c r="C14" s="580" t="s">
        <v>636</v>
      </c>
      <c r="D14" s="841" t="s">
        <v>637</v>
      </c>
      <c r="E14" s="603"/>
      <c r="F14" s="840" t="s">
        <v>380</v>
      </c>
      <c r="G14" s="580" t="s">
        <v>636</v>
      </c>
      <c r="H14" s="841" t="s">
        <v>637</v>
      </c>
      <c r="I14" s="20"/>
      <c r="L14" s="691"/>
      <c r="R14" s="19"/>
      <c r="S14" s="19"/>
      <c r="T14" s="19"/>
      <c r="U14" s="19"/>
      <c r="V14" s="19"/>
      <c r="W14" s="19"/>
      <c r="X14" s="19"/>
      <c r="Y14" s="19"/>
      <c r="Z14" s="19"/>
      <c r="AA14" s="19"/>
      <c r="AB14" s="19"/>
      <c r="AC14" s="19"/>
      <c r="AD14" s="19"/>
      <c r="AE14" s="19"/>
    </row>
    <row r="15" spans="1:31" s="33" customFormat="1" ht="15.75" customHeight="1">
      <c r="A15" s="34"/>
      <c r="B15" s="1749" t="s">
        <v>2105</v>
      </c>
      <c r="C15" s="586"/>
      <c r="D15" s="588"/>
      <c r="E15" s="603"/>
      <c r="F15" s="1749" t="s">
        <v>2110</v>
      </c>
      <c r="G15" s="586"/>
      <c r="H15" s="588"/>
      <c r="I15" s="20"/>
      <c r="L15" s="691"/>
      <c r="R15" s="19"/>
      <c r="S15" s="19"/>
      <c r="T15" s="19"/>
      <c r="U15" s="19"/>
      <c r="V15" s="19"/>
      <c r="W15" s="19"/>
      <c r="X15" s="19"/>
      <c r="Y15" s="19"/>
      <c r="Z15" s="19"/>
      <c r="AA15" s="19"/>
      <c r="AB15" s="19"/>
      <c r="AC15" s="19"/>
      <c r="AD15" s="19"/>
      <c r="AE15" s="19"/>
    </row>
    <row r="16" spans="1:31" s="33" customFormat="1" ht="15.75" customHeight="1">
      <c r="A16" s="34"/>
      <c r="B16" s="1749"/>
      <c r="C16" s="586"/>
      <c r="D16" s="588"/>
      <c r="E16" s="603"/>
      <c r="F16" s="1749"/>
      <c r="G16" s="586"/>
      <c r="H16" s="588"/>
      <c r="I16" s="20"/>
      <c r="L16" s="691"/>
      <c r="R16" s="19"/>
      <c r="S16" s="19"/>
      <c r="T16" s="19"/>
      <c r="U16" s="19"/>
      <c r="V16" s="19"/>
      <c r="W16" s="19"/>
      <c r="X16" s="19"/>
      <c r="Y16" s="19"/>
      <c r="Z16" s="19"/>
      <c r="AA16" s="19"/>
      <c r="AB16" s="19"/>
      <c r="AC16" s="19"/>
      <c r="AD16" s="19"/>
      <c r="AE16" s="19"/>
    </row>
    <row r="17" spans="1:31" s="33" customFormat="1" ht="15.75" customHeight="1">
      <c r="A17" s="34"/>
      <c r="B17" s="1749"/>
      <c r="C17" s="586"/>
      <c r="D17" s="588"/>
      <c r="E17" s="603"/>
      <c r="F17" s="1749"/>
      <c r="G17" s="586"/>
      <c r="H17" s="588"/>
      <c r="I17" s="20"/>
      <c r="L17" s="691"/>
      <c r="R17" s="19"/>
      <c r="S17" s="19"/>
      <c r="T17" s="19"/>
      <c r="U17" s="19"/>
      <c r="V17" s="19"/>
      <c r="W17" s="19"/>
      <c r="X17" s="19"/>
      <c r="Y17" s="19"/>
      <c r="Z17" s="19"/>
      <c r="AA17" s="19"/>
      <c r="AB17" s="19"/>
      <c r="AC17" s="19"/>
      <c r="AD17" s="19"/>
      <c r="AE17" s="19"/>
    </row>
    <row r="18" spans="1:31" s="33" customFormat="1" ht="15.75" customHeight="1">
      <c r="A18" s="34"/>
      <c r="B18" s="1749"/>
      <c r="C18" s="586"/>
      <c r="D18" s="588"/>
      <c r="E18" s="603"/>
      <c r="F18" s="1749"/>
      <c r="G18" s="586"/>
      <c r="H18" s="588"/>
      <c r="I18" s="20"/>
      <c r="L18" s="691"/>
      <c r="R18" s="19"/>
      <c r="S18" s="19"/>
      <c r="T18" s="19"/>
      <c r="U18" s="19"/>
      <c r="V18" s="19"/>
      <c r="W18" s="19"/>
      <c r="X18" s="19"/>
      <c r="Y18" s="19"/>
      <c r="Z18" s="19"/>
      <c r="AA18" s="19"/>
      <c r="AB18" s="19"/>
      <c r="AC18" s="19"/>
      <c r="AD18" s="19"/>
      <c r="AE18" s="19"/>
    </row>
    <row r="19" spans="1:31" s="33" customFormat="1" ht="18.75" customHeight="1">
      <c r="A19" s="34"/>
      <c r="B19" s="1750" t="s">
        <v>6</v>
      </c>
      <c r="C19" s="1750"/>
      <c r="D19" s="590">
        <f>SUM(D15:D18)</f>
        <v>0</v>
      </c>
      <c r="E19" s="603"/>
      <c r="F19" s="1750" t="s">
        <v>6</v>
      </c>
      <c r="G19" s="1750"/>
      <c r="H19" s="590">
        <f>SUM(H15:H18)</f>
        <v>0</v>
      </c>
      <c r="I19" s="20"/>
      <c r="L19" s="691"/>
      <c r="R19" s="19"/>
      <c r="S19" s="19"/>
      <c r="T19" s="19"/>
      <c r="U19" s="19"/>
      <c r="V19" s="19"/>
      <c r="W19" s="19"/>
      <c r="X19" s="19"/>
      <c r="Y19" s="19"/>
      <c r="Z19" s="19"/>
      <c r="AA19" s="19"/>
      <c r="AB19" s="19"/>
      <c r="AC19" s="19"/>
      <c r="AD19" s="19"/>
      <c r="AE19" s="19"/>
    </row>
    <row r="20" spans="1:31" s="59" customFormat="1" ht="21.75" customHeight="1">
      <c r="E20" s="690"/>
      <c r="L20" s="690"/>
    </row>
    <row r="21" spans="1:31" s="59" customFormat="1" ht="15.95" customHeight="1">
      <c r="B21" s="51" t="s">
        <v>2067</v>
      </c>
      <c r="C21" s="20"/>
      <c r="D21" s="20"/>
      <c r="E21" s="603"/>
      <c r="F21" s="51"/>
      <c r="G21" s="20"/>
      <c r="H21" s="20"/>
      <c r="I21" s="20"/>
      <c r="L21" s="690"/>
    </row>
    <row r="22" spans="1:31" s="59" customFormat="1" ht="15.95" customHeight="1">
      <c r="B22" s="20"/>
      <c r="C22" s="20"/>
      <c r="D22" s="20"/>
      <c r="E22" s="603"/>
      <c r="F22" s="20"/>
      <c r="G22" s="20"/>
      <c r="H22" s="20"/>
      <c r="I22" s="20"/>
      <c r="L22" s="690"/>
    </row>
    <row r="23" spans="1:31" s="692" customFormat="1" ht="20.25" customHeight="1">
      <c r="B23" s="840" t="s">
        <v>380</v>
      </c>
      <c r="C23" s="580" t="s">
        <v>636</v>
      </c>
      <c r="D23" s="841" t="s">
        <v>637</v>
      </c>
      <c r="E23" s="603"/>
      <c r="F23" s="36"/>
      <c r="G23" s="36"/>
      <c r="H23" s="36"/>
      <c r="I23" s="20"/>
      <c r="L23" s="693"/>
    </row>
    <row r="24" spans="1:31" s="59" customFormat="1" ht="18.75" customHeight="1">
      <c r="B24" s="589" t="s">
        <v>402</v>
      </c>
      <c r="C24" s="586"/>
      <c r="D24" s="588"/>
      <c r="E24" s="603"/>
      <c r="F24" s="36"/>
      <c r="G24" s="36"/>
      <c r="H24" s="36"/>
      <c r="I24" s="20"/>
      <c r="L24" s="690"/>
    </row>
    <row r="25" spans="1:31" s="59" customFormat="1" ht="15.95" customHeight="1">
      <c r="B25" s="1750" t="s">
        <v>6</v>
      </c>
      <c r="C25" s="1750"/>
      <c r="D25" s="590">
        <f>SUM(D24:D24)</f>
        <v>0</v>
      </c>
      <c r="E25" s="603"/>
      <c r="F25" s="36"/>
      <c r="G25" s="36"/>
      <c r="H25" s="36"/>
      <c r="I25" s="20"/>
      <c r="L25" s="690"/>
    </row>
    <row r="26" spans="1:31" s="59" customFormat="1" ht="15.95" customHeight="1">
      <c r="B26" s="20"/>
      <c r="C26" s="20"/>
      <c r="D26" s="20"/>
      <c r="E26" s="603"/>
      <c r="F26" s="20"/>
      <c r="G26" s="20"/>
      <c r="H26" s="20"/>
      <c r="I26" s="20"/>
      <c r="L26" s="690"/>
    </row>
    <row r="27" spans="1:31" s="692" customFormat="1" ht="18.75" customHeight="1">
      <c r="B27" s="840" t="s">
        <v>380</v>
      </c>
      <c r="C27" s="580" t="s">
        <v>636</v>
      </c>
      <c r="D27" s="841" t="s">
        <v>637</v>
      </c>
      <c r="E27" s="603"/>
      <c r="F27" s="840" t="s">
        <v>380</v>
      </c>
      <c r="G27" s="580" t="s">
        <v>636</v>
      </c>
      <c r="H27" s="841" t="s">
        <v>637</v>
      </c>
      <c r="I27" s="20"/>
      <c r="L27" s="693"/>
    </row>
    <row r="28" spans="1:31" s="59" customFormat="1" ht="16.5" customHeight="1">
      <c r="B28" s="1749" t="s">
        <v>2105</v>
      </c>
      <c r="C28" s="586"/>
      <c r="D28" s="588"/>
      <c r="E28" s="603"/>
      <c r="F28" s="1749" t="s">
        <v>2110</v>
      </c>
      <c r="G28" s="586"/>
      <c r="H28" s="588"/>
      <c r="I28" s="20"/>
      <c r="L28" s="690"/>
    </row>
    <row r="29" spans="1:31" s="59" customFormat="1" ht="16.5" customHeight="1">
      <c r="B29" s="1749"/>
      <c r="C29" s="586"/>
      <c r="D29" s="588"/>
      <c r="E29" s="603"/>
      <c r="F29" s="1749"/>
      <c r="G29" s="586"/>
      <c r="H29" s="588"/>
      <c r="I29" s="20"/>
      <c r="L29" s="690"/>
    </row>
    <row r="30" spans="1:31" s="59" customFormat="1" ht="16.5" customHeight="1">
      <c r="B30" s="1749"/>
      <c r="C30" s="586"/>
      <c r="D30" s="588"/>
      <c r="E30" s="603"/>
      <c r="F30" s="1749"/>
      <c r="G30" s="586"/>
      <c r="H30" s="588"/>
      <c r="I30" s="20"/>
      <c r="L30" s="690"/>
    </row>
    <row r="31" spans="1:31" s="59" customFormat="1" ht="16.5" customHeight="1">
      <c r="B31" s="1749"/>
      <c r="C31" s="586"/>
      <c r="D31" s="588"/>
      <c r="E31" s="603"/>
      <c r="F31" s="1749"/>
      <c r="G31" s="586"/>
      <c r="H31" s="588"/>
      <c r="I31" s="20"/>
      <c r="L31" s="690"/>
    </row>
    <row r="32" spans="1:31" s="59" customFormat="1" ht="18" customHeight="1">
      <c r="B32" s="1750" t="s">
        <v>6</v>
      </c>
      <c r="C32" s="1750"/>
      <c r="D32" s="590">
        <f>SUM(D28:D31)</f>
        <v>0</v>
      </c>
      <c r="E32" s="603"/>
      <c r="F32" s="1750" t="s">
        <v>6</v>
      </c>
      <c r="G32" s="1750"/>
      <c r="H32" s="590">
        <f>SUM(H28:H31)</f>
        <v>0</v>
      </c>
      <c r="I32" s="20"/>
      <c r="L32" s="690"/>
    </row>
    <row r="33" spans="1:12" s="59" customFormat="1" ht="25.5" customHeight="1">
      <c r="E33" s="690"/>
      <c r="L33" s="690"/>
    </row>
    <row r="34" spans="1:12" s="59" customFormat="1" ht="21" customHeight="1">
      <c r="B34" s="59" t="s">
        <v>3171</v>
      </c>
      <c r="E34" s="690"/>
      <c r="L34" s="690"/>
    </row>
    <row r="35" spans="1:12" s="59" customFormat="1" ht="21.75" customHeight="1">
      <c r="E35" s="690"/>
      <c r="L35" s="690"/>
    </row>
    <row r="36" spans="1:12" s="59" customFormat="1" ht="46.5" customHeight="1">
      <c r="B36" s="842" t="s">
        <v>3172</v>
      </c>
      <c r="C36" s="619" t="s">
        <v>2309</v>
      </c>
      <c r="D36" s="619" t="s">
        <v>2310</v>
      </c>
      <c r="E36" s="619" t="s">
        <v>2311</v>
      </c>
      <c r="F36" s="619" t="s">
        <v>2312</v>
      </c>
      <c r="L36" s="690"/>
    </row>
    <row r="37" spans="1:12" s="59" customFormat="1" ht="21.75" customHeight="1">
      <c r="B37" s="694" t="str">
        <f>B11</f>
        <v>Papeleras de 50 lts</v>
      </c>
      <c r="C37" s="695"/>
      <c r="D37" s="695"/>
      <c r="E37" s="695"/>
      <c r="F37" s="695"/>
      <c r="L37" s="690"/>
    </row>
    <row r="38" spans="1:12" s="59" customFormat="1" ht="21.75" customHeight="1">
      <c r="B38" s="694" t="str">
        <f>F15</f>
        <v>Contenedores Soterrados</v>
      </c>
      <c r="C38" s="695"/>
      <c r="D38" s="695"/>
      <c r="E38" s="695"/>
      <c r="F38" s="695"/>
      <c r="L38" s="690"/>
    </row>
    <row r="39" spans="1:12" s="59" customFormat="1" ht="21.75" customHeight="1">
      <c r="B39" s="694" t="str">
        <f>B15</f>
        <v>Contenedores superficiales</v>
      </c>
      <c r="C39" s="695"/>
      <c r="D39" s="695"/>
      <c r="E39" s="695"/>
      <c r="F39" s="695"/>
      <c r="L39" s="690"/>
    </row>
    <row r="40" spans="1:12" s="59" customFormat="1" ht="21.75" customHeight="1">
      <c r="B40" s="590" t="s">
        <v>10</v>
      </c>
      <c r="C40" s="590">
        <f>SUM(C37:C39)</f>
        <v>0</v>
      </c>
      <c r="D40" s="590">
        <f>SUM(D37:D39)</f>
        <v>0</v>
      </c>
      <c r="E40" s="590">
        <f>SUM(E37:E39)</f>
        <v>0</v>
      </c>
      <c r="F40" s="590">
        <f>SUM(F37:F39)</f>
        <v>0</v>
      </c>
      <c r="L40" s="690"/>
    </row>
    <row r="41" spans="1:12" s="59" customFormat="1" ht="21.75" customHeight="1">
      <c r="B41" s="690"/>
      <c r="C41" s="690"/>
      <c r="D41" s="690"/>
      <c r="E41" s="690"/>
      <c r="F41" s="690"/>
      <c r="L41" s="690"/>
    </row>
    <row r="42" spans="1:12" ht="26.25" customHeight="1">
      <c r="B42" s="1872" t="str">
        <f>FICHA!C232</f>
        <v>Adecuado barrido de vías urbanas y áreas públicas</v>
      </c>
      <c r="C42" s="1872"/>
      <c r="D42" s="1872"/>
      <c r="E42" s="1872"/>
      <c r="F42" s="1872"/>
      <c r="G42" s="1872"/>
      <c r="H42" s="1872"/>
      <c r="I42" s="1872"/>
      <c r="J42" s="1872"/>
      <c r="K42" s="1872"/>
    </row>
    <row r="44" spans="1:12" ht="15.95" customHeight="1">
      <c r="B44" s="1802" t="s">
        <v>819</v>
      </c>
      <c r="C44" s="1802"/>
      <c r="D44" s="1802"/>
      <c r="E44" s="1802"/>
      <c r="F44" s="1802"/>
      <c r="G44" s="1802"/>
    </row>
    <row r="45" spans="1:12" ht="15.95" customHeight="1">
      <c r="B45" s="619" t="s">
        <v>7</v>
      </c>
      <c r="C45" s="696" t="s">
        <v>32</v>
      </c>
      <c r="D45" s="697" t="s">
        <v>35</v>
      </c>
      <c r="E45" s="696" t="s">
        <v>38</v>
      </c>
      <c r="F45" s="696" t="s">
        <v>25</v>
      </c>
      <c r="G45" s="619" t="s">
        <v>3</v>
      </c>
    </row>
    <row r="46" spans="1:12" s="405" customFormat="1" ht="15.95" customHeight="1">
      <c r="B46" s="698" t="s">
        <v>193</v>
      </c>
      <c r="C46" s="673">
        <f>'Demanda Oferta'!E74</f>
        <v>0</v>
      </c>
      <c r="D46" s="673">
        <f>'Demanda Oferta'!E77</f>
        <v>0</v>
      </c>
      <c r="E46" s="673">
        <f>'Demanda Oferta'!E80</f>
        <v>0</v>
      </c>
      <c r="F46" s="673">
        <f>'Demanda Oferta'!E83</f>
        <v>0</v>
      </c>
      <c r="G46" s="673" t="s">
        <v>194</v>
      </c>
      <c r="L46" s="699"/>
    </row>
    <row r="47" spans="1:12" s="607" customFormat="1" ht="15.95" customHeight="1">
      <c r="A47" s="618"/>
      <c r="B47" s="700" t="s">
        <v>2887</v>
      </c>
      <c r="C47" s="701">
        <f>POWER((1+DATOS!$Q$18),((DATOS!$N$9+1)-DATOS!$N$8))*DATOS!$S$81</f>
        <v>0</v>
      </c>
      <c r="D47" s="701">
        <f>POWER((1+DATOS!$Q$18),((DATOS!$N$9+4)-DATOS!$N$8))*DATOS!$S$81</f>
        <v>0</v>
      </c>
      <c r="E47" s="701">
        <f>POWER((1+DATOS!$Q$18),((DATOS!$N$9+7)-DATOS!$N$8))*DATOS!$S$81</f>
        <v>0</v>
      </c>
      <c r="F47" s="701">
        <f>POWER((1+DATOS!$Q$18),((DATOS!$N$9+10)-DATOS!$N$8))*DATOS!$S$81</f>
        <v>0</v>
      </c>
      <c r="G47" s="673" t="s">
        <v>194</v>
      </c>
      <c r="H47" s="404"/>
      <c r="L47" s="606"/>
    </row>
    <row r="48" spans="1:12" s="607" customFormat="1" ht="15.95" customHeight="1">
      <c r="A48" s="618"/>
      <c r="B48" s="700" t="s">
        <v>2888</v>
      </c>
      <c r="C48" s="701">
        <f>POWER((1+DATOS!$Q$18),((DATOS!$N$9+1)-DATOS!$N$8))*(DATOS!$S$101+DATOS!$S$111)</f>
        <v>0</v>
      </c>
      <c r="D48" s="701">
        <f>POWER((1+DATOS!$Q$18),((DATOS!$N$9+4)-DATOS!$N$8))*(DATOS!$S$101+DATOS!$S$111)</f>
        <v>0</v>
      </c>
      <c r="E48" s="701">
        <f>POWER((1+DATOS!$Q$18),((DATOS!$N$9+7)-DATOS!$N$8))*(DATOS!$S$101+DATOS!$S$111)</f>
        <v>0</v>
      </c>
      <c r="F48" s="701">
        <f>POWER((1+DATOS!$Q$18),((DATOS!$N$9+10)-DATOS!$N$8))*(DATOS!$S$101+DATOS!$S$111)</f>
        <v>0</v>
      </c>
      <c r="G48" s="673" t="s">
        <v>194</v>
      </c>
      <c r="H48" s="404"/>
      <c r="L48" s="606"/>
    </row>
    <row r="49" spans="1:12" s="607" customFormat="1" ht="15.95" customHeight="1">
      <c r="A49" s="618"/>
      <c r="B49" s="669"/>
      <c r="C49" s="688"/>
      <c r="D49" s="689"/>
      <c r="E49" s="687"/>
      <c r="F49" s="404"/>
      <c r="G49" s="404"/>
      <c r="H49" s="404"/>
      <c r="L49" s="606"/>
    </row>
    <row r="50" spans="1:12" s="607" customFormat="1" ht="15.95" customHeight="1">
      <c r="A50" s="618"/>
      <c r="B50" s="702" t="s">
        <v>3173</v>
      </c>
      <c r="C50" s="703"/>
      <c r="D50" s="609"/>
      <c r="E50" s="687"/>
      <c r="F50" s="404"/>
      <c r="G50" s="404"/>
      <c r="H50" s="404"/>
      <c r="L50" s="606"/>
    </row>
    <row r="51" spans="1:12" s="607" customFormat="1" ht="15.95" customHeight="1">
      <c r="A51" s="618"/>
      <c r="B51" s="669"/>
      <c r="C51" s="688"/>
      <c r="D51" s="689"/>
      <c r="E51" s="687"/>
      <c r="F51" s="404"/>
      <c r="G51" s="404"/>
      <c r="H51" s="404"/>
      <c r="L51" s="606"/>
    </row>
    <row r="52" spans="1:12" s="607" customFormat="1" ht="15.95" customHeight="1">
      <c r="A52" s="618"/>
      <c r="B52" s="704" t="s">
        <v>2086</v>
      </c>
      <c r="C52" s="688"/>
      <c r="D52" s="689"/>
      <c r="E52" s="687"/>
      <c r="F52" s="404"/>
      <c r="G52" s="404"/>
      <c r="H52" s="404"/>
      <c r="L52" s="606"/>
    </row>
    <row r="53" spans="1:12" s="607" customFormat="1" ht="15.95" customHeight="1">
      <c r="A53" s="618"/>
      <c r="B53" s="705" t="s">
        <v>810</v>
      </c>
      <c r="C53" s="851"/>
      <c r="D53" s="689"/>
      <c r="E53" s="687"/>
      <c r="F53" s="404"/>
      <c r="G53" s="404"/>
      <c r="H53" s="404"/>
      <c r="L53" s="606"/>
    </row>
    <row r="54" spans="1:12" s="607" customFormat="1" ht="15.75" customHeight="1">
      <c r="A54" s="618"/>
      <c r="B54" s="705" t="s">
        <v>2087</v>
      </c>
      <c r="C54" s="591"/>
      <c r="D54" s="689"/>
      <c r="E54" s="687"/>
      <c r="F54" s="404"/>
      <c r="G54" s="404"/>
      <c r="H54" s="404"/>
      <c r="L54" s="606"/>
    </row>
    <row r="55" spans="1:12" s="607" customFormat="1" ht="15.95" customHeight="1">
      <c r="A55" s="618"/>
      <c r="B55" s="669"/>
      <c r="C55" s="688"/>
      <c r="D55" s="689"/>
      <c r="E55" s="687"/>
      <c r="F55" s="404"/>
      <c r="G55" s="404"/>
      <c r="H55" s="404"/>
      <c r="L55" s="606"/>
    </row>
    <row r="56" spans="1:12" s="607" customFormat="1" ht="15.95" hidden="1" customHeight="1">
      <c r="A56" s="618"/>
      <c r="B56" s="617" t="s">
        <v>810</v>
      </c>
      <c r="C56" s="688"/>
      <c r="D56" s="689"/>
      <c r="E56" s="687"/>
      <c r="F56" s="404"/>
      <c r="G56" s="404"/>
      <c r="H56" s="404"/>
      <c r="L56" s="606"/>
    </row>
    <row r="57" spans="1:12" s="607" customFormat="1" ht="15.95" hidden="1" customHeight="1">
      <c r="A57" s="618"/>
      <c r="B57" s="707"/>
      <c r="C57" s="688"/>
      <c r="D57" s="689"/>
      <c r="E57" s="687"/>
      <c r="F57" s="404"/>
      <c r="G57" s="404"/>
      <c r="H57" s="404"/>
      <c r="L57" s="606"/>
    </row>
    <row r="58" spans="1:12" s="607" customFormat="1" ht="15.95" hidden="1" customHeight="1">
      <c r="A58" s="618"/>
      <c r="B58" s="1884" t="s">
        <v>206</v>
      </c>
      <c r="C58" s="1884"/>
      <c r="D58" s="1884"/>
      <c r="E58" s="1884"/>
      <c r="F58" s="1884"/>
      <c r="G58" s="1884"/>
      <c r="H58" s="404"/>
      <c r="L58" s="606"/>
    </row>
    <row r="59" spans="1:12" s="607" customFormat="1" ht="15.95" hidden="1" customHeight="1">
      <c r="A59" s="618"/>
      <c r="B59" s="619" t="s">
        <v>7</v>
      </c>
      <c r="C59" s="696" t="s">
        <v>32</v>
      </c>
      <c r="D59" s="697" t="s">
        <v>35</v>
      </c>
      <c r="E59" s="696" t="s">
        <v>38</v>
      </c>
      <c r="F59" s="696" t="s">
        <v>25</v>
      </c>
      <c r="G59" s="619" t="s">
        <v>3</v>
      </c>
      <c r="H59" s="404"/>
      <c r="L59" s="606"/>
    </row>
    <row r="60" spans="1:12" s="607" customFormat="1" ht="15.95" hidden="1" customHeight="1">
      <c r="A60" s="618"/>
      <c r="B60" s="698" t="s">
        <v>193</v>
      </c>
      <c r="C60" s="673">
        <f>C46</f>
        <v>0</v>
      </c>
      <c r="D60" s="673">
        <f>D46</f>
        <v>0</v>
      </c>
      <c r="E60" s="673">
        <f>E46</f>
        <v>0</v>
      </c>
      <c r="F60" s="673">
        <f>F46</f>
        <v>0</v>
      </c>
      <c r="G60" s="673" t="s">
        <v>194</v>
      </c>
      <c r="H60" s="404"/>
      <c r="L60" s="606"/>
    </row>
    <row r="61" spans="1:12" s="607" customFormat="1" ht="15.95" hidden="1" customHeight="1">
      <c r="A61" s="618"/>
      <c r="B61" s="698" t="s">
        <v>195</v>
      </c>
      <c r="C61" s="708">
        <f>IFERROR(ROUNDUP(C46/$C$50,0),0)</f>
        <v>0</v>
      </c>
      <c r="D61" s="708">
        <f>IFERROR(ROUNDUP(D46/$C$50,0),0)</f>
        <v>0</v>
      </c>
      <c r="E61" s="708">
        <f>IFERROR(ROUNDUP(E46/$C$50,0),0)</f>
        <v>0</v>
      </c>
      <c r="F61" s="708">
        <f>IFERROR(ROUNDUP(F46/$C$50,0),0)</f>
        <v>0</v>
      </c>
      <c r="G61" s="593" t="s">
        <v>196</v>
      </c>
      <c r="H61" s="404"/>
      <c r="L61" s="606"/>
    </row>
    <row r="62" spans="1:12" s="607" customFormat="1" ht="15.95" hidden="1" customHeight="1">
      <c r="A62" s="618"/>
      <c r="B62" s="698" t="s">
        <v>265</v>
      </c>
      <c r="C62" s="709">
        <f>DATOS!N71</f>
        <v>0</v>
      </c>
      <c r="D62" s="709">
        <f>C62</f>
        <v>0</v>
      </c>
      <c r="E62" s="709">
        <f>D62</f>
        <v>0</v>
      </c>
      <c r="F62" s="709">
        <f>E62</f>
        <v>0</v>
      </c>
      <c r="G62" s="593" t="s">
        <v>196</v>
      </c>
      <c r="H62" s="404"/>
      <c r="L62" s="606"/>
    </row>
    <row r="63" spans="1:12" s="607" customFormat="1" ht="15.95" hidden="1" customHeight="1">
      <c r="A63" s="618"/>
      <c r="B63" s="700" t="s">
        <v>266</v>
      </c>
      <c r="C63" s="709">
        <f>C61-C62</f>
        <v>0</v>
      </c>
      <c r="D63" s="709">
        <f>D61-D62</f>
        <v>0</v>
      </c>
      <c r="E63" s="709">
        <f>E61-E62</f>
        <v>0</v>
      </c>
      <c r="F63" s="709">
        <f>F61-F62</f>
        <v>0</v>
      </c>
      <c r="G63" s="596" t="s">
        <v>196</v>
      </c>
      <c r="H63" s="404"/>
      <c r="L63" s="606"/>
    </row>
    <row r="64" spans="1:12" s="607" customFormat="1" ht="15.95" hidden="1" customHeight="1">
      <c r="A64" s="618"/>
      <c r="B64" s="710" t="s">
        <v>197</v>
      </c>
      <c r="C64" s="711">
        <f>IF(C63&lt;1,0,C63)+C62</f>
        <v>0</v>
      </c>
      <c r="D64" s="711">
        <f>IF(D63&lt;1,0,D63)+D62</f>
        <v>0</v>
      </c>
      <c r="E64" s="711">
        <f>IF(E63&lt;1,0,E63)+E62</f>
        <v>0</v>
      </c>
      <c r="F64" s="711">
        <f>IF(F63&lt;1,0,F63)+F62</f>
        <v>0</v>
      </c>
      <c r="G64" s="598" t="s">
        <v>196</v>
      </c>
      <c r="H64" s="404"/>
      <c r="L64" s="606"/>
    </row>
    <row r="65" spans="1:12" s="607" customFormat="1" ht="15.95" hidden="1" customHeight="1">
      <c r="A65" s="618"/>
      <c r="B65" s="707"/>
      <c r="C65" s="688"/>
      <c r="D65" s="689"/>
      <c r="E65" s="687"/>
      <c r="F65" s="404"/>
      <c r="G65" s="404"/>
      <c r="H65" s="404"/>
      <c r="L65" s="606"/>
    </row>
    <row r="66" spans="1:12" ht="15.95" hidden="1" customHeight="1">
      <c r="B66" s="1896" t="s">
        <v>820</v>
      </c>
      <c r="C66" s="1896"/>
      <c r="D66" s="1896"/>
      <c r="E66" s="1896"/>
      <c r="F66" s="1896"/>
      <c r="G66" s="1896"/>
    </row>
    <row r="67" spans="1:12" s="607" customFormat="1" ht="47.25" hidden="1" customHeight="1">
      <c r="A67" s="618"/>
      <c r="B67" s="619" t="s">
        <v>7</v>
      </c>
      <c r="C67" s="696" t="s">
        <v>4</v>
      </c>
      <c r="D67" s="697" t="s">
        <v>198</v>
      </c>
      <c r="E67" s="619" t="s">
        <v>199</v>
      </c>
      <c r="F67" s="619" t="s">
        <v>200</v>
      </c>
      <c r="G67" s="619" t="s">
        <v>201</v>
      </c>
      <c r="H67" s="404"/>
      <c r="L67" s="606"/>
    </row>
    <row r="68" spans="1:12" s="607" customFormat="1" ht="19.5" hidden="1" customHeight="1">
      <c r="A68" s="618"/>
      <c r="B68" s="698" t="s">
        <v>2071</v>
      </c>
      <c r="C68" s="712">
        <v>1</v>
      </c>
      <c r="D68" s="713">
        <f>$C$68*C64</f>
        <v>0</v>
      </c>
      <c r="E68" s="713">
        <f>$C$68*D64</f>
        <v>0</v>
      </c>
      <c r="F68" s="713">
        <f>$C$68*E64</f>
        <v>0</v>
      </c>
      <c r="G68" s="713">
        <f>$C$68*F64</f>
        <v>0</v>
      </c>
      <c r="H68" s="404"/>
      <c r="L68" s="606"/>
    </row>
    <row r="69" spans="1:12" s="607" customFormat="1" ht="19.5" hidden="1" customHeight="1">
      <c r="A69" s="618"/>
      <c r="B69" s="714">
        <v>0</v>
      </c>
      <c r="C69" s="712">
        <v>1</v>
      </c>
      <c r="D69" s="712">
        <f>IFERROR(0,ROUNDUP(D68/MID($B$69,11,2),0)*$C$69)</f>
        <v>0</v>
      </c>
      <c r="E69" s="712">
        <f t="shared" ref="E69:G69" si="0">IFERROR(0,ROUNDUP(E68/MID($B$69,11,2),0)*$C$69)</f>
        <v>0</v>
      </c>
      <c r="F69" s="712">
        <f t="shared" si="0"/>
        <v>0</v>
      </c>
      <c r="G69" s="712">
        <f t="shared" si="0"/>
        <v>0</v>
      </c>
      <c r="H69" s="404"/>
      <c r="L69" s="606"/>
    </row>
    <row r="70" spans="1:12" s="607" customFormat="1" ht="19.5" hidden="1" customHeight="1">
      <c r="A70" s="618"/>
      <c r="B70" s="715"/>
      <c r="E70" s="716"/>
      <c r="F70" s="717"/>
      <c r="G70" s="718"/>
      <c r="H70" s="404"/>
      <c r="L70" s="606"/>
    </row>
    <row r="71" spans="1:12" s="607" customFormat="1" ht="15.95" hidden="1" customHeight="1">
      <c r="A71" s="618"/>
      <c r="B71" s="707" t="s">
        <v>2107</v>
      </c>
      <c r="C71" s="719"/>
      <c r="D71" s="689"/>
      <c r="E71" s="687"/>
      <c r="F71" s="404"/>
      <c r="G71" s="404"/>
      <c r="H71" s="404"/>
      <c r="L71" s="606"/>
    </row>
    <row r="72" spans="1:12" s="607" customFormat="1" ht="42" hidden="1" customHeight="1">
      <c r="A72" s="618"/>
      <c r="B72" s="619" t="s">
        <v>821</v>
      </c>
      <c r="C72" s="696" t="s">
        <v>237</v>
      </c>
      <c r="D72" s="619" t="s">
        <v>202</v>
      </c>
      <c r="E72" s="619" t="s">
        <v>2282</v>
      </c>
      <c r="F72" s="619" t="s">
        <v>2253</v>
      </c>
      <c r="G72" s="619" t="s">
        <v>2254</v>
      </c>
      <c r="H72" s="404"/>
      <c r="L72" s="606"/>
    </row>
    <row r="73" spans="1:12" s="607" customFormat="1" ht="15.95" hidden="1" customHeight="1">
      <c r="A73" s="618"/>
      <c r="B73" s="720" t="s">
        <v>2113</v>
      </c>
      <c r="C73" s="708">
        <v>3</v>
      </c>
      <c r="D73" s="712">
        <v>2</v>
      </c>
      <c r="E73" s="709">
        <f>C73*D73</f>
        <v>6</v>
      </c>
      <c r="F73" s="721">
        <f>C64</f>
        <v>0</v>
      </c>
      <c r="G73" s="593">
        <f t="shared" ref="G73:G79" si="1">E73*F73</f>
        <v>0</v>
      </c>
      <c r="H73" s="404"/>
      <c r="L73" s="606"/>
    </row>
    <row r="74" spans="1:12" s="607" customFormat="1" ht="15.95" hidden="1" customHeight="1">
      <c r="A74" s="618"/>
      <c r="B74" s="698" t="s">
        <v>2068</v>
      </c>
      <c r="C74" s="708">
        <v>2</v>
      </c>
      <c r="D74" s="712">
        <v>6</v>
      </c>
      <c r="E74" s="709">
        <f>C74*D74</f>
        <v>12</v>
      </c>
      <c r="F74" s="721">
        <f>C64</f>
        <v>0</v>
      </c>
      <c r="G74" s="593">
        <f t="shared" si="1"/>
        <v>0</v>
      </c>
      <c r="H74" s="404"/>
      <c r="L74" s="606"/>
    </row>
    <row r="75" spans="1:12" s="607" customFormat="1" ht="15.95" hidden="1" customHeight="1">
      <c r="A75" s="618"/>
      <c r="B75" s="698" t="s">
        <v>2135</v>
      </c>
      <c r="C75" s="708">
        <v>1</v>
      </c>
      <c r="D75" s="712">
        <v>3</v>
      </c>
      <c r="E75" s="709">
        <f>C75*D75</f>
        <v>3</v>
      </c>
      <c r="F75" s="721">
        <f>C64</f>
        <v>0</v>
      </c>
      <c r="G75" s="593">
        <f t="shared" si="1"/>
        <v>0</v>
      </c>
      <c r="H75" s="404"/>
      <c r="L75" s="606"/>
    </row>
    <row r="76" spans="1:12" s="607" customFormat="1" ht="15.95" hidden="1" customHeight="1">
      <c r="A76" s="618"/>
      <c r="B76" s="698" t="s">
        <v>685</v>
      </c>
      <c r="C76" s="708">
        <v>2</v>
      </c>
      <c r="D76" s="712">
        <v>6</v>
      </c>
      <c r="E76" s="709">
        <f>C76*D76</f>
        <v>12</v>
      </c>
      <c r="F76" s="721">
        <f>C64</f>
        <v>0</v>
      </c>
      <c r="G76" s="593">
        <f t="shared" si="1"/>
        <v>0</v>
      </c>
      <c r="H76" s="404"/>
      <c r="L76" s="606"/>
    </row>
    <row r="77" spans="1:12" s="607" customFormat="1" ht="15.95" hidden="1" customHeight="1">
      <c r="A77" s="618"/>
      <c r="B77" s="698" t="s">
        <v>204</v>
      </c>
      <c r="C77" s="708">
        <v>2</v>
      </c>
      <c r="D77" s="712">
        <v>2</v>
      </c>
      <c r="E77" s="709">
        <f>C77*D77</f>
        <v>4</v>
      </c>
      <c r="F77" s="721">
        <f>C64</f>
        <v>0</v>
      </c>
      <c r="G77" s="593">
        <f t="shared" si="1"/>
        <v>0</v>
      </c>
      <c r="H77" s="404"/>
      <c r="L77" s="606"/>
    </row>
    <row r="78" spans="1:12" s="607" customFormat="1" ht="16.5" hidden="1" customHeight="1">
      <c r="A78" s="618"/>
      <c r="B78" s="698" t="s">
        <v>2255</v>
      </c>
      <c r="C78" s="721">
        <f>C64*30</f>
        <v>0</v>
      </c>
      <c r="D78" s="722">
        <v>12</v>
      </c>
      <c r="E78" s="722">
        <f>C78*D78/1000</f>
        <v>0</v>
      </c>
      <c r="F78" s="721">
        <f>C64</f>
        <v>0</v>
      </c>
      <c r="G78" s="593">
        <f t="shared" si="1"/>
        <v>0</v>
      </c>
      <c r="H78" s="404"/>
      <c r="L78" s="606"/>
    </row>
    <row r="79" spans="1:12" ht="15.95" hidden="1" customHeight="1">
      <c r="B79" s="723" t="s">
        <v>828</v>
      </c>
      <c r="C79" s="724">
        <v>1</v>
      </c>
      <c r="D79" s="585">
        <v>6</v>
      </c>
      <c r="E79" s="722">
        <f>C79*D79/1000</f>
        <v>6.0000000000000001E-3</v>
      </c>
      <c r="F79" s="665">
        <f>C64</f>
        <v>0</v>
      </c>
      <c r="G79" s="593">
        <f t="shared" si="1"/>
        <v>0</v>
      </c>
      <c r="H79" s="22"/>
    </row>
    <row r="80" spans="1:12" s="607" customFormat="1" ht="16.5" hidden="1" customHeight="1">
      <c r="A80" s="618"/>
      <c r="B80" s="669"/>
      <c r="C80" s="725"/>
      <c r="D80" s="726"/>
      <c r="E80" s="727"/>
      <c r="F80" s="404"/>
      <c r="G80" s="404"/>
      <c r="H80" s="404"/>
      <c r="L80" s="606"/>
    </row>
    <row r="81" spans="1:12" s="607" customFormat="1" ht="15.95" hidden="1" customHeight="1">
      <c r="A81" s="618"/>
      <c r="B81" s="669"/>
      <c r="C81" s="725"/>
      <c r="D81" s="726"/>
      <c r="E81" s="727"/>
      <c r="F81" s="404"/>
      <c r="G81" s="404"/>
      <c r="H81" s="404"/>
      <c r="L81" s="606"/>
    </row>
    <row r="82" spans="1:12" s="607" customFormat="1" ht="15.95" hidden="1" customHeight="1">
      <c r="A82" s="618"/>
      <c r="B82" s="707" t="s">
        <v>2889</v>
      </c>
      <c r="C82" s="688"/>
      <c r="D82" s="689"/>
      <c r="E82" s="687"/>
      <c r="F82" s="404"/>
      <c r="G82" s="404"/>
      <c r="H82" s="404"/>
      <c r="L82" s="606"/>
    </row>
    <row r="83" spans="1:12" s="607" customFormat="1" ht="52.5" hidden="1" customHeight="1">
      <c r="A83" s="618"/>
      <c r="B83" s="619" t="s">
        <v>822</v>
      </c>
      <c r="C83" s="696" t="s">
        <v>237</v>
      </c>
      <c r="D83" s="619" t="s">
        <v>202</v>
      </c>
      <c r="E83" s="619" t="s">
        <v>2282</v>
      </c>
      <c r="F83" s="619" t="s">
        <v>2253</v>
      </c>
      <c r="G83" s="619" t="s">
        <v>2254</v>
      </c>
      <c r="H83" s="404"/>
      <c r="L83" s="606"/>
    </row>
    <row r="84" spans="1:12" s="607" customFormat="1" ht="15.95" hidden="1" customHeight="1">
      <c r="A84" s="618"/>
      <c r="B84" s="604" t="s">
        <v>2111</v>
      </c>
      <c r="C84" s="708">
        <v>1</v>
      </c>
      <c r="D84" s="708">
        <v>4</v>
      </c>
      <c r="E84" s="709">
        <f t="shared" ref="E84:E93" si="2">C84*D84</f>
        <v>4</v>
      </c>
      <c r="F84" s="728">
        <f>D64</f>
        <v>0</v>
      </c>
      <c r="G84" s="593">
        <f t="shared" ref="G84:G93" si="3">E84*F84</f>
        <v>0</v>
      </c>
      <c r="H84" s="404"/>
      <c r="L84" s="606"/>
    </row>
    <row r="85" spans="1:12" s="607" customFormat="1" ht="15.95" hidden="1" customHeight="1">
      <c r="A85" s="618"/>
      <c r="B85" s="604" t="s">
        <v>2112</v>
      </c>
      <c r="C85" s="708">
        <v>1</v>
      </c>
      <c r="D85" s="708">
        <v>3</v>
      </c>
      <c r="E85" s="709">
        <f t="shared" si="2"/>
        <v>3</v>
      </c>
      <c r="F85" s="728">
        <f>F84</f>
        <v>0</v>
      </c>
      <c r="G85" s="593">
        <f t="shared" si="3"/>
        <v>0</v>
      </c>
      <c r="H85" s="404"/>
      <c r="L85" s="606"/>
    </row>
    <row r="86" spans="1:12" s="607" customFormat="1" ht="15.95" hidden="1" customHeight="1">
      <c r="A86" s="618"/>
      <c r="B86" s="604" t="s">
        <v>808</v>
      </c>
      <c r="C86" s="708">
        <v>1</v>
      </c>
      <c r="D86" s="708">
        <v>6</v>
      </c>
      <c r="E86" s="709">
        <f t="shared" si="2"/>
        <v>6</v>
      </c>
      <c r="F86" s="728">
        <f t="shared" ref="F86:F92" si="4">F85</f>
        <v>0</v>
      </c>
      <c r="G86" s="593">
        <f t="shared" si="3"/>
        <v>0</v>
      </c>
      <c r="H86" s="404"/>
      <c r="L86" s="606"/>
    </row>
    <row r="87" spans="1:12" s="607" customFormat="1" ht="15.95" hidden="1" customHeight="1">
      <c r="A87" s="618"/>
      <c r="B87" s="604" t="s">
        <v>230</v>
      </c>
      <c r="C87" s="708">
        <v>1</v>
      </c>
      <c r="D87" s="708">
        <v>3</v>
      </c>
      <c r="E87" s="709">
        <f t="shared" si="2"/>
        <v>3</v>
      </c>
      <c r="F87" s="728">
        <f t="shared" si="4"/>
        <v>0</v>
      </c>
      <c r="G87" s="593">
        <f t="shared" si="3"/>
        <v>0</v>
      </c>
      <c r="H87" s="404"/>
      <c r="L87" s="606"/>
    </row>
    <row r="88" spans="1:12" s="607" customFormat="1" ht="15.95" hidden="1" customHeight="1">
      <c r="A88" s="618"/>
      <c r="B88" s="604" t="s">
        <v>2069</v>
      </c>
      <c r="C88" s="708">
        <v>1</v>
      </c>
      <c r="D88" s="708">
        <v>2</v>
      </c>
      <c r="E88" s="709">
        <f t="shared" si="2"/>
        <v>2</v>
      </c>
      <c r="F88" s="728">
        <f t="shared" si="4"/>
        <v>0</v>
      </c>
      <c r="G88" s="593">
        <f t="shared" si="3"/>
        <v>0</v>
      </c>
      <c r="H88" s="404"/>
      <c r="L88" s="606"/>
    </row>
    <row r="89" spans="1:12" s="607" customFormat="1" ht="15.95" hidden="1" customHeight="1">
      <c r="A89" s="618"/>
      <c r="B89" s="604" t="s">
        <v>2070</v>
      </c>
      <c r="C89" s="708">
        <v>1</v>
      </c>
      <c r="D89" s="708">
        <v>12</v>
      </c>
      <c r="E89" s="709">
        <f t="shared" si="2"/>
        <v>12</v>
      </c>
      <c r="F89" s="728">
        <f t="shared" si="4"/>
        <v>0</v>
      </c>
      <c r="G89" s="593">
        <f t="shared" si="3"/>
        <v>0</v>
      </c>
      <c r="H89" s="404"/>
      <c r="L89" s="606"/>
    </row>
    <row r="90" spans="1:12" s="607" customFormat="1" ht="15.95" hidden="1" customHeight="1">
      <c r="A90" s="618"/>
      <c r="B90" s="604" t="s">
        <v>233</v>
      </c>
      <c r="C90" s="708">
        <v>1</v>
      </c>
      <c r="D90" s="708">
        <v>12</v>
      </c>
      <c r="E90" s="709">
        <f t="shared" si="2"/>
        <v>12</v>
      </c>
      <c r="F90" s="728">
        <f t="shared" si="4"/>
        <v>0</v>
      </c>
      <c r="G90" s="593">
        <f t="shared" si="3"/>
        <v>0</v>
      </c>
      <c r="H90" s="404"/>
      <c r="L90" s="606"/>
    </row>
    <row r="91" spans="1:12" s="607" customFormat="1" ht="15.95" hidden="1" customHeight="1">
      <c r="A91" s="618"/>
      <c r="B91" s="604" t="s">
        <v>809</v>
      </c>
      <c r="C91" s="708">
        <v>1</v>
      </c>
      <c r="D91" s="708">
        <v>4</v>
      </c>
      <c r="E91" s="709">
        <f t="shared" si="2"/>
        <v>4</v>
      </c>
      <c r="F91" s="728">
        <f t="shared" si="4"/>
        <v>0</v>
      </c>
      <c r="G91" s="593">
        <f t="shared" si="3"/>
        <v>0</v>
      </c>
      <c r="H91" s="404"/>
      <c r="L91" s="606"/>
    </row>
    <row r="92" spans="1:12" s="607" customFormat="1" ht="15.95" hidden="1" customHeight="1">
      <c r="A92" s="618"/>
      <c r="B92" s="604" t="s">
        <v>263</v>
      </c>
      <c r="C92" s="708">
        <v>1</v>
      </c>
      <c r="D92" s="708">
        <v>1</v>
      </c>
      <c r="E92" s="709">
        <f t="shared" si="2"/>
        <v>1</v>
      </c>
      <c r="F92" s="728">
        <f t="shared" si="4"/>
        <v>0</v>
      </c>
      <c r="G92" s="593">
        <f t="shared" si="3"/>
        <v>0</v>
      </c>
      <c r="H92" s="404"/>
      <c r="L92" s="606"/>
    </row>
    <row r="93" spans="1:12" s="607" customFormat="1" ht="15.95" hidden="1" customHeight="1">
      <c r="A93" s="618"/>
      <c r="B93" s="604" t="s">
        <v>234</v>
      </c>
      <c r="C93" s="708">
        <v>1</v>
      </c>
      <c r="D93" s="708">
        <v>3</v>
      </c>
      <c r="E93" s="709">
        <f t="shared" si="2"/>
        <v>3</v>
      </c>
      <c r="F93" s="728">
        <f>F92</f>
        <v>0</v>
      </c>
      <c r="G93" s="593">
        <f t="shared" si="3"/>
        <v>0</v>
      </c>
      <c r="H93" s="404"/>
      <c r="L93" s="606"/>
    </row>
    <row r="94" spans="1:12" s="607" customFormat="1" ht="15.95" hidden="1" customHeight="1">
      <c r="A94" s="618"/>
      <c r="B94" s="669"/>
      <c r="C94" s="688"/>
      <c r="D94" s="689"/>
      <c r="E94" s="687"/>
      <c r="F94" s="404"/>
      <c r="G94" s="404"/>
      <c r="H94" s="404"/>
      <c r="L94" s="606"/>
    </row>
    <row r="95" spans="1:12" ht="15.95" customHeight="1">
      <c r="B95" s="22"/>
      <c r="C95" s="57"/>
      <c r="D95" s="22"/>
      <c r="E95" s="45"/>
      <c r="F95" s="22"/>
      <c r="G95" s="22"/>
      <c r="H95" s="22"/>
    </row>
    <row r="96" spans="1:12" s="607" customFormat="1" ht="15.95" customHeight="1">
      <c r="A96" s="618"/>
      <c r="B96" s="704" t="s">
        <v>818</v>
      </c>
      <c r="C96" s="729"/>
      <c r="D96" s="730"/>
      <c r="E96" s="731"/>
      <c r="F96" s="732"/>
      <c r="G96" s="732"/>
      <c r="H96" s="404"/>
      <c r="L96" s="606"/>
    </row>
    <row r="97" spans="1:12" s="607" customFormat="1" ht="15.95" customHeight="1">
      <c r="A97" s="618"/>
      <c r="B97" s="1884" t="s">
        <v>206</v>
      </c>
      <c r="C97" s="1884"/>
      <c r="D97" s="1884"/>
      <c r="E97" s="1884"/>
      <c r="F97" s="1884"/>
      <c r="G97" s="1884"/>
      <c r="H97" s="404"/>
      <c r="L97" s="606"/>
    </row>
    <row r="98" spans="1:12" s="607" customFormat="1" ht="15.95" customHeight="1">
      <c r="A98" s="618"/>
      <c r="B98" s="619" t="s">
        <v>7</v>
      </c>
      <c r="C98" s="696" t="s">
        <v>32</v>
      </c>
      <c r="D98" s="697" t="s">
        <v>35</v>
      </c>
      <c r="E98" s="696" t="s">
        <v>38</v>
      </c>
      <c r="F98" s="696" t="s">
        <v>25</v>
      </c>
      <c r="G98" s="619" t="s">
        <v>3</v>
      </c>
      <c r="H98" s="404"/>
      <c r="L98" s="606"/>
    </row>
    <row r="99" spans="1:12" s="607" customFormat="1" ht="15.95" customHeight="1">
      <c r="A99" s="618"/>
      <c r="B99" s="698" t="s">
        <v>193</v>
      </c>
      <c r="C99" s="673">
        <f t="shared" ref="C99:F100" si="5">C46</f>
        <v>0</v>
      </c>
      <c r="D99" s="673">
        <f t="shared" si="5"/>
        <v>0</v>
      </c>
      <c r="E99" s="673">
        <f t="shared" si="5"/>
        <v>0</v>
      </c>
      <c r="F99" s="673">
        <f t="shared" si="5"/>
        <v>0</v>
      </c>
      <c r="G99" s="673" t="s">
        <v>194</v>
      </c>
      <c r="H99" s="404"/>
      <c r="L99" s="606"/>
    </row>
    <row r="100" spans="1:12" s="607" customFormat="1" ht="15.95" customHeight="1">
      <c r="A100" s="618"/>
      <c r="B100" s="700" t="s">
        <v>2887</v>
      </c>
      <c r="C100" s="733">
        <f t="shared" si="5"/>
        <v>0</v>
      </c>
      <c r="D100" s="733">
        <f t="shared" si="5"/>
        <v>0</v>
      </c>
      <c r="E100" s="733">
        <f t="shared" si="5"/>
        <v>0</v>
      </c>
      <c r="F100" s="733">
        <f t="shared" si="5"/>
        <v>0</v>
      </c>
      <c r="G100" s="673" t="s">
        <v>194</v>
      </c>
      <c r="H100" s="404"/>
      <c r="L100" s="606"/>
    </row>
    <row r="101" spans="1:12" s="607" customFormat="1" ht="15.95" customHeight="1">
      <c r="A101" s="618"/>
      <c r="B101" s="698" t="s">
        <v>823</v>
      </c>
      <c r="C101" s="708">
        <f>IFERROR(ROUNDUP((C99-C100)/$C$50,0),0)</f>
        <v>0</v>
      </c>
      <c r="D101" s="708">
        <f>IFERROR(ROUNDUP((D99-D100)/$C$50,0),0)</f>
        <v>0</v>
      </c>
      <c r="E101" s="708">
        <f>IFERROR(ROUNDUP((E99-E100)/$C$50,0),0)</f>
        <v>0</v>
      </c>
      <c r="F101" s="708">
        <f>IFERROR(ROUNDUP((F99-F100)/$C$50,0),0)</f>
        <v>0</v>
      </c>
      <c r="G101" s="593" t="s">
        <v>196</v>
      </c>
      <c r="H101" s="404"/>
      <c r="L101" s="606"/>
    </row>
    <row r="102" spans="1:12" s="607" customFormat="1" ht="15.95" customHeight="1">
      <c r="A102" s="618"/>
      <c r="B102" s="698" t="s">
        <v>824</v>
      </c>
      <c r="C102" s="709">
        <f>C62</f>
        <v>0</v>
      </c>
      <c r="D102" s="709">
        <f>D62</f>
        <v>0</v>
      </c>
      <c r="E102" s="709">
        <f>E62</f>
        <v>0</v>
      </c>
      <c r="F102" s="709">
        <f>F62</f>
        <v>0</v>
      </c>
      <c r="G102" s="593" t="s">
        <v>196</v>
      </c>
      <c r="H102" s="404"/>
      <c r="L102" s="606"/>
    </row>
    <row r="103" spans="1:12" s="607" customFormat="1" ht="15.95" customHeight="1">
      <c r="A103" s="618"/>
      <c r="B103" s="700" t="s">
        <v>266</v>
      </c>
      <c r="C103" s="709">
        <f>C101-C102</f>
        <v>0</v>
      </c>
      <c r="D103" s="709">
        <f>D101-D102</f>
        <v>0</v>
      </c>
      <c r="E103" s="709">
        <f>E101-E102</f>
        <v>0</v>
      </c>
      <c r="F103" s="709">
        <f>F101-F102</f>
        <v>0</v>
      </c>
      <c r="G103" s="596" t="s">
        <v>196</v>
      </c>
      <c r="H103" s="404"/>
      <c r="L103" s="606"/>
    </row>
    <row r="104" spans="1:12" s="607" customFormat="1" ht="15.95" customHeight="1">
      <c r="A104" s="618"/>
      <c r="B104" s="710" t="s">
        <v>825</v>
      </c>
      <c r="C104" s="711">
        <f>IF(C103&lt;1,0,C103)+C102</f>
        <v>0</v>
      </c>
      <c r="D104" s="711">
        <f>IF(D103&lt;1,0,D103)+D102</f>
        <v>0</v>
      </c>
      <c r="E104" s="711">
        <f>IF(E103&lt;1,0,E103)+E102</f>
        <v>0</v>
      </c>
      <c r="F104" s="711">
        <f>IF(F103&lt;1,0,F103)+F102</f>
        <v>0</v>
      </c>
      <c r="G104" s="598" t="s">
        <v>196</v>
      </c>
      <c r="H104" s="404"/>
      <c r="L104" s="606"/>
    </row>
    <row r="105" spans="1:12" s="607" customFormat="1" ht="15.95" customHeight="1">
      <c r="A105" s="618"/>
      <c r="B105" s="710" t="s">
        <v>826</v>
      </c>
      <c r="C105" s="734">
        <f>C112</f>
        <v>0</v>
      </c>
      <c r="D105" s="734" t="b">
        <f>D112</f>
        <v>0</v>
      </c>
      <c r="E105" s="734" t="b">
        <f>E112</f>
        <v>0</v>
      </c>
      <c r="F105" s="734" t="b">
        <f>F112</f>
        <v>0</v>
      </c>
      <c r="G105" s="593" t="s">
        <v>196</v>
      </c>
      <c r="H105" s="404"/>
      <c r="L105" s="606"/>
    </row>
    <row r="106" spans="1:12" s="607" customFormat="1" ht="15.95" customHeight="1">
      <c r="A106" s="618"/>
      <c r="B106" s="598" t="s">
        <v>827</v>
      </c>
      <c r="C106" s="734">
        <f>C104+C105</f>
        <v>0</v>
      </c>
      <c r="D106" s="734">
        <f>D104+D105</f>
        <v>0</v>
      </c>
      <c r="E106" s="734">
        <f>E104+E105</f>
        <v>0</v>
      </c>
      <c r="F106" s="734">
        <f>F104+F105</f>
        <v>0</v>
      </c>
      <c r="G106" s="593" t="s">
        <v>196</v>
      </c>
      <c r="H106" s="404"/>
      <c r="L106" s="606"/>
    </row>
    <row r="107" spans="1:12" s="738" customFormat="1" ht="15.95" customHeight="1">
      <c r="A107" s="633"/>
      <c r="B107" s="735"/>
      <c r="C107" s="736"/>
      <c r="D107" s="736"/>
      <c r="E107" s="736"/>
      <c r="F107" s="736"/>
      <c r="G107" s="737"/>
      <c r="H107" s="732"/>
      <c r="L107" s="739"/>
    </row>
    <row r="108" spans="1:12" s="607" customFormat="1" ht="15.95" customHeight="1">
      <c r="A108" s="618"/>
      <c r="B108" s="1884" t="s">
        <v>820</v>
      </c>
      <c r="C108" s="1884"/>
      <c r="D108" s="1884"/>
      <c r="E108" s="1884"/>
      <c r="F108" s="1884"/>
      <c r="G108" s="1884"/>
      <c r="H108" s="404"/>
      <c r="L108" s="606"/>
    </row>
    <row r="109" spans="1:12" s="607" customFormat="1" ht="40.5" customHeight="1">
      <c r="A109" s="618"/>
      <c r="B109" s="619" t="s">
        <v>7</v>
      </c>
      <c r="C109" s="696" t="s">
        <v>4</v>
      </c>
      <c r="D109" s="697" t="s">
        <v>198</v>
      </c>
      <c r="E109" s="619" t="s">
        <v>199</v>
      </c>
      <c r="F109" s="619" t="s">
        <v>200</v>
      </c>
      <c r="G109" s="619" t="s">
        <v>201</v>
      </c>
      <c r="H109" s="404"/>
      <c r="L109" s="606"/>
    </row>
    <row r="110" spans="1:12" s="607" customFormat="1" ht="19.5" customHeight="1">
      <c r="A110" s="618"/>
      <c r="B110" s="700" t="s">
        <v>2071</v>
      </c>
      <c r="C110" s="712">
        <v>1</v>
      </c>
      <c r="D110" s="713">
        <f>C104</f>
        <v>0</v>
      </c>
      <c r="E110" s="713">
        <f>D104</f>
        <v>0</v>
      </c>
      <c r="F110" s="713">
        <f>E104</f>
        <v>0</v>
      </c>
      <c r="G110" s="713">
        <f>F104</f>
        <v>0</v>
      </c>
      <c r="H110" s="404"/>
      <c r="L110" s="606"/>
    </row>
    <row r="111" spans="1:12" s="607" customFormat="1" ht="19.5" customHeight="1">
      <c r="A111" s="618"/>
      <c r="B111" s="714">
        <v>0</v>
      </c>
      <c r="C111" s="868"/>
      <c r="D111" s="712">
        <f>IFERROR(0,ROUNDUP(D110/MID($B$111,11,2),0)*$C$111)</f>
        <v>0</v>
      </c>
      <c r="E111" s="712">
        <f t="shared" ref="E111:G111" si="6">IFERROR(0,ROUNDUP(E110/MID($B$111,11,2),0)*$C$111)</f>
        <v>0</v>
      </c>
      <c r="F111" s="712">
        <f t="shared" si="6"/>
        <v>0</v>
      </c>
      <c r="G111" s="712">
        <f t="shared" si="6"/>
        <v>0</v>
      </c>
      <c r="H111" s="404"/>
      <c r="L111" s="606"/>
    </row>
    <row r="112" spans="1:12" s="607" customFormat="1" ht="19.5" customHeight="1">
      <c r="A112" s="618"/>
      <c r="B112" s="714">
        <v>0</v>
      </c>
      <c r="C112" s="868"/>
      <c r="D112" s="712" t="b">
        <f>IF($B$112="Barredora mecánica grande",(ROUNDUP((C100)/BASE!$C$311,0)),IF($B$112="Barredora mecánica mediana",(ROUNDUP((C100)/BASE!$C$312,0)),IF($B$112="Barredora mecánica pequeña",(ROUNDUP((C100)/BASE!$C$313,0)))))</f>
        <v>0</v>
      </c>
      <c r="E112" s="712" t="b">
        <f>IF($B$112="Barredora mecánica grande",(ROUNDUP((D100)/BASE!$C$311,0)),IF($B$112="Barredora mecánica mediana",(ROUNDUP((D100)/BASE!$C$312,0)),IF($B$112="Barredora mecánica pequeña",(ROUNDUP((D100)/BASE!$C$313,0)))))</f>
        <v>0</v>
      </c>
      <c r="F112" s="712" t="b">
        <f>IF($B$112="Barredora mecánica grande",(ROUNDUP((E100)/BASE!$C$311,0)),IF($B$112="Barredora mecánica mediana",(ROUNDUP((E100)/BASE!$C$312,0)),IF($B$112="Barredora mecánica pequeña",(ROUNDUP((E100)/BASE!$C$313,0)))))</f>
        <v>0</v>
      </c>
      <c r="G112" s="712" t="b">
        <f>IF($B$112="Barredora mecánica grande",(ROUNDUP((F100)/BASE!$C$311,0)),IF($B$112="Barredora mecánica mediana",(ROUNDUP((F100)/BASE!$C$312,0)),IF($B$112="Barredora mecánica pequeña",(ROUNDUP((F100)/BASE!$C$313,0)))))</f>
        <v>0</v>
      </c>
      <c r="H112" s="404"/>
      <c r="L112" s="606"/>
    </row>
    <row r="113" spans="1:12" s="607" customFormat="1" ht="19.5" customHeight="1">
      <c r="A113" s="618"/>
      <c r="B113" s="740"/>
      <c r="C113" s="717"/>
      <c r="D113" s="717"/>
      <c r="E113" s="717"/>
      <c r="F113" s="717"/>
      <c r="G113" s="718"/>
      <c r="H113" s="404"/>
      <c r="L113" s="606"/>
    </row>
    <row r="114" spans="1:12" s="607" customFormat="1" ht="15.95" customHeight="1">
      <c r="A114" s="618"/>
      <c r="B114" s="707" t="s">
        <v>2107</v>
      </c>
      <c r="C114" s="719"/>
      <c r="D114" s="689"/>
      <c r="E114" s="687"/>
      <c r="F114" s="404"/>
      <c r="G114" s="404"/>
      <c r="H114" s="404"/>
      <c r="L114" s="606"/>
    </row>
    <row r="115" spans="1:12" s="607" customFormat="1" ht="42" customHeight="1">
      <c r="A115" s="618"/>
      <c r="B115" s="619" t="s">
        <v>821</v>
      </c>
      <c r="C115" s="696" t="s">
        <v>237</v>
      </c>
      <c r="D115" s="619" t="s">
        <v>202</v>
      </c>
      <c r="E115" s="619" t="s">
        <v>2252</v>
      </c>
      <c r="F115" s="619" t="s">
        <v>2253</v>
      </c>
      <c r="G115" s="619" t="s">
        <v>2254</v>
      </c>
      <c r="H115" s="404"/>
      <c r="L115" s="606"/>
    </row>
    <row r="116" spans="1:12" s="607" customFormat="1" ht="15.95" customHeight="1">
      <c r="A116" s="618"/>
      <c r="B116" s="720" t="s">
        <v>2113</v>
      </c>
      <c r="C116" s="708">
        <v>3</v>
      </c>
      <c r="D116" s="712">
        <v>2</v>
      </c>
      <c r="E116" s="709">
        <f t="shared" ref="E116:E122" si="7">C116*D116</f>
        <v>6</v>
      </c>
      <c r="F116" s="709">
        <f>C106</f>
        <v>0</v>
      </c>
      <c r="G116" s="593">
        <f>E116*F116</f>
        <v>0</v>
      </c>
      <c r="H116" s="404"/>
      <c r="L116" s="606"/>
    </row>
    <row r="117" spans="1:12" s="607" customFormat="1" ht="15.95" customHeight="1">
      <c r="A117" s="618"/>
      <c r="B117" s="698" t="s">
        <v>2068</v>
      </c>
      <c r="C117" s="708">
        <v>2</v>
      </c>
      <c r="D117" s="712">
        <v>6</v>
      </c>
      <c r="E117" s="709">
        <f t="shared" si="7"/>
        <v>12</v>
      </c>
      <c r="F117" s="721">
        <f t="shared" ref="F117:F122" si="8">F116</f>
        <v>0</v>
      </c>
      <c r="G117" s="593">
        <f t="shared" ref="G117:G122" si="9">E117*F117</f>
        <v>0</v>
      </c>
      <c r="H117" s="404"/>
      <c r="L117" s="606"/>
    </row>
    <row r="118" spans="1:12" s="607" customFormat="1" ht="15.95" customHeight="1">
      <c r="A118" s="618"/>
      <c r="B118" s="698" t="s">
        <v>2135</v>
      </c>
      <c r="C118" s="708">
        <v>1</v>
      </c>
      <c r="D118" s="712">
        <v>3</v>
      </c>
      <c r="E118" s="709">
        <f t="shared" si="7"/>
        <v>3</v>
      </c>
      <c r="F118" s="721">
        <f t="shared" si="8"/>
        <v>0</v>
      </c>
      <c r="G118" s="593">
        <f t="shared" si="9"/>
        <v>0</v>
      </c>
      <c r="H118" s="404"/>
      <c r="L118" s="606"/>
    </row>
    <row r="119" spans="1:12" s="607" customFormat="1" ht="15.95" customHeight="1">
      <c r="A119" s="618"/>
      <c r="B119" s="698" t="s">
        <v>685</v>
      </c>
      <c r="C119" s="708">
        <v>2</v>
      </c>
      <c r="D119" s="712">
        <v>6</v>
      </c>
      <c r="E119" s="709">
        <f t="shared" si="7"/>
        <v>12</v>
      </c>
      <c r="F119" s="721">
        <f t="shared" si="8"/>
        <v>0</v>
      </c>
      <c r="G119" s="593">
        <f t="shared" si="9"/>
        <v>0</v>
      </c>
      <c r="H119" s="404"/>
      <c r="L119" s="606"/>
    </row>
    <row r="120" spans="1:12" s="607" customFormat="1" ht="15.95" customHeight="1">
      <c r="A120" s="618"/>
      <c r="B120" s="698" t="s">
        <v>204</v>
      </c>
      <c r="C120" s="708">
        <v>2</v>
      </c>
      <c r="D120" s="712">
        <v>2</v>
      </c>
      <c r="E120" s="709">
        <f t="shared" si="7"/>
        <v>4</v>
      </c>
      <c r="F120" s="721">
        <f t="shared" si="8"/>
        <v>0</v>
      </c>
      <c r="G120" s="593">
        <f t="shared" si="9"/>
        <v>0</v>
      </c>
      <c r="H120" s="404"/>
      <c r="L120" s="606"/>
    </row>
    <row r="121" spans="1:12" s="607" customFormat="1" ht="16.5" customHeight="1">
      <c r="A121" s="618"/>
      <c r="B121" s="700" t="s">
        <v>2255</v>
      </c>
      <c r="C121" s="709">
        <f>30*5</f>
        <v>150</v>
      </c>
      <c r="D121" s="722">
        <v>12</v>
      </c>
      <c r="E121" s="709">
        <f>ROUNDUP((C121*D121/1000),0)</f>
        <v>2</v>
      </c>
      <c r="F121" s="721">
        <f t="shared" si="8"/>
        <v>0</v>
      </c>
      <c r="G121" s="593">
        <f t="shared" si="9"/>
        <v>0</v>
      </c>
      <c r="H121" s="404"/>
      <c r="L121" s="606"/>
    </row>
    <row r="122" spans="1:12" ht="15.95" customHeight="1">
      <c r="B122" s="723" t="s">
        <v>828</v>
      </c>
      <c r="C122" s="724">
        <v>1</v>
      </c>
      <c r="D122" s="585">
        <v>6</v>
      </c>
      <c r="E122" s="709">
        <f t="shared" si="7"/>
        <v>6</v>
      </c>
      <c r="F122" s="721">
        <f t="shared" si="8"/>
        <v>0</v>
      </c>
      <c r="G122" s="593">
        <f t="shared" si="9"/>
        <v>0</v>
      </c>
      <c r="H122" s="22"/>
    </row>
    <row r="123" spans="1:12" s="607" customFormat="1" ht="15.95" customHeight="1">
      <c r="A123" s="618"/>
      <c r="B123" s="669"/>
      <c r="C123" s="688"/>
      <c r="D123" s="689"/>
      <c r="E123" s="687"/>
      <c r="F123" s="404"/>
      <c r="G123" s="404"/>
      <c r="H123" s="404"/>
      <c r="L123" s="606"/>
    </row>
    <row r="124" spans="1:12" s="607" customFormat="1" ht="15.95" customHeight="1">
      <c r="A124" s="618"/>
      <c r="B124" s="707" t="s">
        <v>2889</v>
      </c>
      <c r="C124" s="688"/>
      <c r="D124" s="689"/>
      <c r="E124" s="687"/>
      <c r="F124" s="404"/>
      <c r="G124" s="404"/>
      <c r="H124" s="404"/>
      <c r="L124" s="606"/>
    </row>
    <row r="125" spans="1:12" s="607" customFormat="1" ht="32.1" customHeight="1">
      <c r="A125" s="618"/>
      <c r="B125" s="619" t="s">
        <v>822</v>
      </c>
      <c r="C125" s="696" t="s">
        <v>237</v>
      </c>
      <c r="D125" s="619" t="s">
        <v>202</v>
      </c>
      <c r="E125" s="619" t="s">
        <v>2252</v>
      </c>
      <c r="F125" s="619" t="s">
        <v>2253</v>
      </c>
      <c r="G125" s="619" t="s">
        <v>2254</v>
      </c>
      <c r="H125" s="404"/>
      <c r="L125" s="606"/>
    </row>
    <row r="126" spans="1:12" s="607" customFormat="1" ht="15.95" customHeight="1">
      <c r="A126" s="618"/>
      <c r="B126" s="604" t="s">
        <v>2111</v>
      </c>
      <c r="C126" s="708">
        <v>1</v>
      </c>
      <c r="D126" s="708">
        <v>4</v>
      </c>
      <c r="E126" s="593">
        <f>C126*D126</f>
        <v>4</v>
      </c>
      <c r="F126" s="721">
        <f>C106</f>
        <v>0</v>
      </c>
      <c r="G126" s="593">
        <f>E126*F126</f>
        <v>0</v>
      </c>
      <c r="H126" s="404"/>
      <c r="L126" s="606"/>
    </row>
    <row r="127" spans="1:12" s="607" customFormat="1" ht="15.95" customHeight="1">
      <c r="A127" s="618"/>
      <c r="B127" s="604" t="s">
        <v>2112</v>
      </c>
      <c r="C127" s="708">
        <v>1</v>
      </c>
      <c r="D127" s="708">
        <v>3</v>
      </c>
      <c r="E127" s="593">
        <f t="shared" ref="E127:E135" si="10">C127*D127</f>
        <v>3</v>
      </c>
      <c r="F127" s="721">
        <f>F126</f>
        <v>0</v>
      </c>
      <c r="G127" s="593">
        <f>E127*F127</f>
        <v>0</v>
      </c>
      <c r="H127" s="404"/>
      <c r="L127" s="606"/>
    </row>
    <row r="128" spans="1:12" s="607" customFormat="1" ht="15.95" customHeight="1">
      <c r="A128" s="618"/>
      <c r="B128" s="604" t="s">
        <v>808</v>
      </c>
      <c r="C128" s="708">
        <v>1</v>
      </c>
      <c r="D128" s="708">
        <v>6</v>
      </c>
      <c r="E128" s="593">
        <f t="shared" si="10"/>
        <v>6</v>
      </c>
      <c r="F128" s="721">
        <f t="shared" ref="F128:F135" si="11">F127</f>
        <v>0</v>
      </c>
      <c r="G128" s="593">
        <f>E128*F128</f>
        <v>0</v>
      </c>
      <c r="H128" s="404"/>
      <c r="L128" s="606"/>
    </row>
    <row r="129" spans="1:12" s="607" customFormat="1" ht="15.95" customHeight="1">
      <c r="A129" s="618"/>
      <c r="B129" s="604" t="s">
        <v>230</v>
      </c>
      <c r="C129" s="708">
        <v>1</v>
      </c>
      <c r="D129" s="708">
        <v>3</v>
      </c>
      <c r="E129" s="593">
        <f t="shared" si="10"/>
        <v>3</v>
      </c>
      <c r="F129" s="721">
        <f t="shared" si="11"/>
        <v>0</v>
      </c>
      <c r="G129" s="593">
        <f t="shared" ref="G129:G135" si="12">E129*F129</f>
        <v>0</v>
      </c>
      <c r="H129" s="404"/>
      <c r="L129" s="606"/>
    </row>
    <row r="130" spans="1:12" s="607" customFormat="1" ht="15.95" customHeight="1">
      <c r="A130" s="618"/>
      <c r="B130" s="604" t="s">
        <v>2069</v>
      </c>
      <c r="C130" s="708">
        <v>1</v>
      </c>
      <c r="D130" s="708">
        <v>2</v>
      </c>
      <c r="E130" s="593">
        <f t="shared" si="10"/>
        <v>2</v>
      </c>
      <c r="F130" s="721">
        <f t="shared" si="11"/>
        <v>0</v>
      </c>
      <c r="G130" s="593">
        <f t="shared" si="12"/>
        <v>0</v>
      </c>
      <c r="H130" s="404"/>
      <c r="L130" s="606"/>
    </row>
    <row r="131" spans="1:12" s="607" customFormat="1" ht="15.95" customHeight="1">
      <c r="A131" s="618"/>
      <c r="B131" s="604" t="s">
        <v>2070</v>
      </c>
      <c r="C131" s="708">
        <v>1</v>
      </c>
      <c r="D131" s="708">
        <v>12</v>
      </c>
      <c r="E131" s="593">
        <f t="shared" si="10"/>
        <v>12</v>
      </c>
      <c r="F131" s="721">
        <f t="shared" si="11"/>
        <v>0</v>
      </c>
      <c r="G131" s="593">
        <f t="shared" si="12"/>
        <v>0</v>
      </c>
      <c r="H131" s="404"/>
      <c r="L131" s="606"/>
    </row>
    <row r="132" spans="1:12" s="607" customFormat="1" ht="15.95" customHeight="1">
      <c r="A132" s="618"/>
      <c r="B132" s="604" t="s">
        <v>233</v>
      </c>
      <c r="C132" s="708">
        <v>1</v>
      </c>
      <c r="D132" s="708">
        <v>12</v>
      </c>
      <c r="E132" s="593">
        <f t="shared" si="10"/>
        <v>12</v>
      </c>
      <c r="F132" s="721">
        <f t="shared" si="11"/>
        <v>0</v>
      </c>
      <c r="G132" s="593">
        <f t="shared" si="12"/>
        <v>0</v>
      </c>
      <c r="H132" s="404"/>
      <c r="L132" s="606"/>
    </row>
    <row r="133" spans="1:12" s="607" customFormat="1" ht="15.95" customHeight="1">
      <c r="A133" s="618"/>
      <c r="B133" s="604" t="s">
        <v>809</v>
      </c>
      <c r="C133" s="708">
        <v>1</v>
      </c>
      <c r="D133" s="708">
        <v>4</v>
      </c>
      <c r="E133" s="593">
        <f t="shared" si="10"/>
        <v>4</v>
      </c>
      <c r="F133" s="721">
        <f t="shared" si="11"/>
        <v>0</v>
      </c>
      <c r="G133" s="593">
        <f t="shared" si="12"/>
        <v>0</v>
      </c>
      <c r="H133" s="404"/>
      <c r="L133" s="606"/>
    </row>
    <row r="134" spans="1:12" s="607" customFormat="1" ht="15.95" customHeight="1">
      <c r="A134" s="618"/>
      <c r="B134" s="604" t="s">
        <v>263</v>
      </c>
      <c r="C134" s="708">
        <v>1</v>
      </c>
      <c r="D134" s="708">
        <v>3</v>
      </c>
      <c r="E134" s="593">
        <f t="shared" si="10"/>
        <v>3</v>
      </c>
      <c r="F134" s="721">
        <f t="shared" si="11"/>
        <v>0</v>
      </c>
      <c r="G134" s="593">
        <f t="shared" si="12"/>
        <v>0</v>
      </c>
      <c r="H134" s="404"/>
      <c r="L134" s="606"/>
    </row>
    <row r="135" spans="1:12" s="607" customFormat="1" ht="15.95" customHeight="1">
      <c r="A135" s="618"/>
      <c r="B135" s="604" t="s">
        <v>234</v>
      </c>
      <c r="C135" s="708">
        <v>1</v>
      </c>
      <c r="D135" s="708">
        <v>1</v>
      </c>
      <c r="E135" s="593">
        <f t="shared" si="10"/>
        <v>1</v>
      </c>
      <c r="F135" s="721">
        <f t="shared" si="11"/>
        <v>0</v>
      </c>
      <c r="G135" s="593">
        <f t="shared" si="12"/>
        <v>0</v>
      </c>
      <c r="H135" s="404"/>
      <c r="L135" s="606"/>
    </row>
    <row r="136" spans="1:12" s="607" customFormat="1" ht="15.95" customHeight="1">
      <c r="A136" s="618"/>
      <c r="B136" s="669"/>
      <c r="C136" s="688"/>
      <c r="D136" s="689"/>
      <c r="E136" s="687"/>
      <c r="F136" s="404"/>
      <c r="G136" s="404"/>
      <c r="H136" s="404"/>
      <c r="L136" s="606"/>
    </row>
    <row r="137" spans="1:12" s="607" customFormat="1" ht="19.5" customHeight="1">
      <c r="A137" s="618"/>
      <c r="B137" s="740"/>
      <c r="C137" s="717"/>
      <c r="D137" s="717"/>
      <c r="E137" s="717"/>
      <c r="F137" s="717"/>
      <c r="G137" s="718"/>
      <c r="H137" s="404"/>
      <c r="L137" s="606"/>
    </row>
    <row r="138" spans="1:12" ht="28.5" customHeight="1">
      <c r="B138" s="1885" t="str">
        <f>FICHA!C233</f>
        <v>Adecuada capacidad para la recolección y transporte</v>
      </c>
      <c r="C138" s="1886"/>
      <c r="D138" s="1886"/>
      <c r="E138" s="1886"/>
      <c r="F138" s="1886"/>
      <c r="G138" s="1886"/>
      <c r="H138" s="1886"/>
      <c r="I138" s="1886"/>
      <c r="J138" s="1886"/>
      <c r="K138" s="1887"/>
    </row>
    <row r="140" spans="1:12" s="607" customFormat="1" ht="15.95" customHeight="1">
      <c r="A140" s="618"/>
      <c r="B140" s="704" t="s">
        <v>774</v>
      </c>
      <c r="C140" s="688"/>
      <c r="D140" s="689"/>
      <c r="E140" s="687"/>
      <c r="F140" s="404"/>
      <c r="G140" s="404"/>
      <c r="L140" s="606"/>
    </row>
    <row r="141" spans="1:12" s="607" customFormat="1" ht="19.5" customHeight="1">
      <c r="A141" s="618"/>
      <c r="B141" s="741" t="s">
        <v>2420</v>
      </c>
      <c r="C141" s="706"/>
      <c r="D141" s="689"/>
      <c r="E141" s="687"/>
      <c r="F141" s="404"/>
      <c r="G141" s="404"/>
      <c r="L141" s="606"/>
    </row>
    <row r="142" spans="1:12" s="607" customFormat="1" ht="19.5" customHeight="1">
      <c r="A142" s="618"/>
      <c r="B142" s="741" t="s">
        <v>2088</v>
      </c>
      <c r="C142" s="591"/>
      <c r="D142" s="689"/>
      <c r="E142" s="687"/>
      <c r="F142" s="404"/>
      <c r="G142" s="404"/>
      <c r="L142" s="606"/>
    </row>
    <row r="143" spans="1:12" s="607" customFormat="1" ht="19.5" customHeight="1">
      <c r="A143" s="618"/>
      <c r="B143" s="669"/>
      <c r="C143" s="592"/>
      <c r="D143" s="689"/>
      <c r="E143" s="687"/>
      <c r="F143" s="404"/>
      <c r="G143" s="404"/>
      <c r="L143" s="606"/>
    </row>
    <row r="144" spans="1:12" s="607" customFormat="1" ht="19.5" customHeight="1">
      <c r="A144" s="618"/>
      <c r="B144" s="869" t="s">
        <v>2161</v>
      </c>
      <c r="C144" s="592"/>
      <c r="D144" s="689"/>
      <c r="E144" s="687"/>
      <c r="F144" s="404"/>
      <c r="G144" s="404"/>
      <c r="L144" s="606"/>
    </row>
    <row r="145" spans="1:15" s="607" customFormat="1" ht="19.5" customHeight="1">
      <c r="A145" s="618"/>
      <c r="B145" s="742"/>
      <c r="C145" s="592"/>
      <c r="D145" s="689"/>
      <c r="E145" s="687"/>
      <c r="F145" s="404"/>
      <c r="G145" s="404"/>
      <c r="L145" s="606"/>
    </row>
    <row r="146" spans="1:15" s="607" customFormat="1" ht="19.5" customHeight="1">
      <c r="A146" s="618"/>
      <c r="B146" s="742" t="s">
        <v>2890</v>
      </c>
      <c r="C146" s="592"/>
      <c r="D146" s="689"/>
      <c r="E146" s="687"/>
      <c r="F146" s="404"/>
      <c r="G146" s="404"/>
      <c r="L146" s="606"/>
    </row>
    <row r="147" spans="1:15" s="618" customFormat="1" ht="18" customHeight="1">
      <c r="B147" s="743" t="s">
        <v>2134</v>
      </c>
      <c r="C147" s="744">
        <f>'Demanda Oferta'!H83</f>
        <v>0</v>
      </c>
      <c r="D147" s="743" t="s">
        <v>192</v>
      </c>
      <c r="E147" s="608"/>
      <c r="L147" s="608"/>
    </row>
    <row r="148" spans="1:15" s="748" customFormat="1" ht="18" customHeight="1">
      <c r="A148" s="618"/>
      <c r="B148" s="745" t="s">
        <v>2136</v>
      </c>
      <c r="C148" s="788"/>
      <c r="D148" s="745" t="s">
        <v>2133</v>
      </c>
      <c r="E148" s="747"/>
      <c r="L148" s="747"/>
    </row>
    <row r="149" spans="1:15" s="748" customFormat="1" ht="18" customHeight="1">
      <c r="A149" s="618"/>
      <c r="B149" s="745" t="s">
        <v>2891</v>
      </c>
      <c r="C149" s="749">
        <f>IFERROR(C147*7/C148,0)</f>
        <v>0</v>
      </c>
      <c r="D149" s="745" t="s">
        <v>2757</v>
      </c>
      <c r="E149" s="747"/>
      <c r="L149" s="747"/>
    </row>
    <row r="150" spans="1:15" s="748" customFormat="1" ht="15">
      <c r="A150" s="618"/>
      <c r="B150" s="742"/>
      <c r="E150" s="747"/>
      <c r="L150" s="747"/>
    </row>
    <row r="151" spans="1:15" s="748" customFormat="1" ht="15">
      <c r="A151" s="618"/>
      <c r="B151" s="742"/>
      <c r="E151" s="747"/>
      <c r="L151" s="747"/>
    </row>
    <row r="152" spans="1:15" s="748" customFormat="1" ht="64.5" customHeight="1">
      <c r="A152" s="618"/>
      <c r="B152" s="855" t="s">
        <v>842</v>
      </c>
      <c r="C152" s="855" t="s">
        <v>838</v>
      </c>
      <c r="D152" s="855" t="s">
        <v>834</v>
      </c>
      <c r="E152" s="855" t="s">
        <v>646</v>
      </c>
      <c r="F152" s="855" t="s">
        <v>835</v>
      </c>
      <c r="G152" s="855" t="s">
        <v>650</v>
      </c>
      <c r="H152" s="855" t="s">
        <v>649</v>
      </c>
      <c r="I152" s="855" t="s">
        <v>2132</v>
      </c>
      <c r="J152" s="855" t="s">
        <v>648</v>
      </c>
      <c r="K152" s="855" t="s">
        <v>2131</v>
      </c>
      <c r="L152" s="852" t="s">
        <v>2605</v>
      </c>
      <c r="M152" s="852" t="s">
        <v>2606</v>
      </c>
      <c r="N152" s="855" t="s">
        <v>2137</v>
      </c>
      <c r="O152" s="855" t="s">
        <v>2607</v>
      </c>
    </row>
    <row r="153" spans="1:15" s="748" customFormat="1" ht="19.5" customHeight="1">
      <c r="A153" s="618"/>
      <c r="B153" s="750" t="s">
        <v>2072</v>
      </c>
      <c r="C153" s="594"/>
      <c r="D153" s="587">
        <f>IF(ISNUMBER(FIND("Compactador",B153)),0.5,DATOS!$Q$26/1000)</f>
        <v>0.5</v>
      </c>
      <c r="E153" s="599">
        <v>0.9</v>
      </c>
      <c r="F153" s="587">
        <f t="shared" ref="F153:F158" si="13">+C153*D153*E153</f>
        <v>0</v>
      </c>
      <c r="G153" s="594"/>
      <c r="H153" s="594"/>
      <c r="I153" s="587">
        <f t="shared" ref="I153:I158" si="14">F153*G153*H153</f>
        <v>0</v>
      </c>
      <c r="J153" s="594"/>
      <c r="K153" s="746">
        <f t="shared" ref="K153:K158" si="15">I153*J153</f>
        <v>0</v>
      </c>
      <c r="L153" s="594"/>
      <c r="M153" s="594"/>
      <c r="N153" s="746">
        <v>2</v>
      </c>
      <c r="O153" s="745">
        <f t="shared" ref="O153:O158" si="16">G153*H153*J153*(L153+M153)*N153</f>
        <v>0</v>
      </c>
    </row>
    <row r="154" spans="1:15" s="748" customFormat="1" ht="19.5" customHeight="1">
      <c r="A154" s="618"/>
      <c r="B154" s="750" t="s">
        <v>2078</v>
      </c>
      <c r="C154" s="594"/>
      <c r="D154" s="587">
        <f>IF(ISNUMBER(FIND("Compactador",B154)),0.5,DATOS!$Q$26/1000)</f>
        <v>0.5</v>
      </c>
      <c r="E154" s="599">
        <v>0.9</v>
      </c>
      <c r="F154" s="587">
        <f t="shared" si="13"/>
        <v>0</v>
      </c>
      <c r="G154" s="594"/>
      <c r="H154" s="594"/>
      <c r="I154" s="587">
        <f t="shared" si="14"/>
        <v>0</v>
      </c>
      <c r="J154" s="594"/>
      <c r="K154" s="746">
        <f t="shared" si="15"/>
        <v>0</v>
      </c>
      <c r="L154" s="594"/>
      <c r="M154" s="594"/>
      <c r="N154" s="746">
        <v>2</v>
      </c>
      <c r="O154" s="745">
        <f t="shared" si="16"/>
        <v>0</v>
      </c>
    </row>
    <row r="155" spans="1:15" s="748" customFormat="1" ht="19.5" customHeight="1">
      <c r="A155" s="618"/>
      <c r="B155" s="750" t="s">
        <v>2073</v>
      </c>
      <c r="C155" s="594"/>
      <c r="D155" s="587">
        <f>IF(ISNUMBER(FIND("Compactador",B155)),0.5,DATOS!$Q$26/1000)</f>
        <v>0.5</v>
      </c>
      <c r="E155" s="599">
        <v>0.9</v>
      </c>
      <c r="F155" s="587">
        <f t="shared" si="13"/>
        <v>0</v>
      </c>
      <c r="G155" s="594"/>
      <c r="H155" s="594"/>
      <c r="I155" s="587">
        <f t="shared" si="14"/>
        <v>0</v>
      </c>
      <c r="J155" s="594"/>
      <c r="K155" s="746">
        <f t="shared" si="15"/>
        <v>0</v>
      </c>
      <c r="L155" s="594"/>
      <c r="M155" s="594"/>
      <c r="N155" s="746">
        <v>2</v>
      </c>
      <c r="O155" s="745">
        <f t="shared" si="16"/>
        <v>0</v>
      </c>
    </row>
    <row r="156" spans="1:15" s="748" customFormat="1" ht="19.5" customHeight="1">
      <c r="A156" s="618"/>
      <c r="B156" s="750" t="s">
        <v>2079</v>
      </c>
      <c r="C156" s="594"/>
      <c r="D156" s="587">
        <f>IF(ISNUMBER(FIND("Compactador",B156)),0.5,DATOS!$Q$26/1000)</f>
        <v>0.5</v>
      </c>
      <c r="E156" s="599">
        <v>0.9</v>
      </c>
      <c r="F156" s="587">
        <f t="shared" si="13"/>
        <v>0</v>
      </c>
      <c r="G156" s="594"/>
      <c r="H156" s="594"/>
      <c r="I156" s="587">
        <f t="shared" si="14"/>
        <v>0</v>
      </c>
      <c r="J156" s="594"/>
      <c r="K156" s="746">
        <f t="shared" si="15"/>
        <v>0</v>
      </c>
      <c r="L156" s="594"/>
      <c r="M156" s="594"/>
      <c r="N156" s="746">
        <v>2</v>
      </c>
      <c r="O156" s="745">
        <f t="shared" si="16"/>
        <v>0</v>
      </c>
    </row>
    <row r="157" spans="1:15" s="748" customFormat="1" ht="19.5" customHeight="1">
      <c r="A157" s="618"/>
      <c r="B157" s="750" t="s">
        <v>831</v>
      </c>
      <c r="C157" s="594"/>
      <c r="D157" s="587">
        <f>IF(ISNUMBER(FIND("Compactador",B157)),0.5,DATOS!$Q$26/1000)</f>
        <v>0</v>
      </c>
      <c r="E157" s="599">
        <v>0.9</v>
      </c>
      <c r="F157" s="587">
        <f t="shared" si="13"/>
        <v>0</v>
      </c>
      <c r="G157" s="594"/>
      <c r="H157" s="594"/>
      <c r="I157" s="587">
        <f t="shared" si="14"/>
        <v>0</v>
      </c>
      <c r="J157" s="594"/>
      <c r="K157" s="746">
        <f t="shared" si="15"/>
        <v>0</v>
      </c>
      <c r="L157" s="594"/>
      <c r="M157" s="594"/>
      <c r="N157" s="746">
        <v>2</v>
      </c>
      <c r="O157" s="745">
        <f t="shared" si="16"/>
        <v>0</v>
      </c>
    </row>
    <row r="158" spans="1:15" s="748" customFormat="1" ht="19.5" customHeight="1">
      <c r="A158" s="618"/>
      <c r="B158" s="750" t="s">
        <v>832</v>
      </c>
      <c r="C158" s="594"/>
      <c r="D158" s="587">
        <f>IF(ISNUMBER(FIND("Compactador",B158)),0.5,DATOS!$Q$26/1000)</f>
        <v>0</v>
      </c>
      <c r="E158" s="599">
        <v>0.9</v>
      </c>
      <c r="F158" s="587">
        <f t="shared" si="13"/>
        <v>0</v>
      </c>
      <c r="G158" s="594"/>
      <c r="H158" s="594"/>
      <c r="I158" s="587">
        <f t="shared" si="14"/>
        <v>0</v>
      </c>
      <c r="J158" s="594"/>
      <c r="K158" s="746">
        <f t="shared" si="15"/>
        <v>0</v>
      </c>
      <c r="L158" s="594"/>
      <c r="M158" s="594"/>
      <c r="N158" s="746">
        <v>2</v>
      </c>
      <c r="O158" s="745">
        <f t="shared" si="16"/>
        <v>0</v>
      </c>
    </row>
    <row r="159" spans="1:15" s="748" customFormat="1" ht="17.25" customHeight="1">
      <c r="A159" s="618"/>
      <c r="B159" s="1762" t="s">
        <v>10</v>
      </c>
      <c r="C159" s="1763"/>
      <c r="D159" s="1763"/>
      <c r="E159" s="1763"/>
      <c r="F159" s="1763"/>
      <c r="G159" s="1763"/>
      <c r="H159" s="1764"/>
      <c r="I159" s="600">
        <f>SUM(I153:I158)</f>
        <v>0</v>
      </c>
      <c r="J159" s="600">
        <f>SUM(J153:J158)</f>
        <v>0</v>
      </c>
      <c r="K159" s="600">
        <f>SUM(K153:K158)</f>
        <v>0</v>
      </c>
      <c r="L159" s="747"/>
      <c r="O159" s="600">
        <f>SUM(O153:O158)</f>
        <v>0</v>
      </c>
    </row>
    <row r="160" spans="1:15" s="748" customFormat="1" ht="16.5" customHeight="1">
      <c r="A160" s="618"/>
      <c r="E160" s="747"/>
      <c r="L160" s="747"/>
    </row>
    <row r="161" spans="1:15" s="748" customFormat="1" ht="65.25" customHeight="1">
      <c r="A161" s="618"/>
      <c r="B161" s="855" t="s">
        <v>843</v>
      </c>
      <c r="C161" s="855" t="s">
        <v>838</v>
      </c>
      <c r="D161" s="855" t="s">
        <v>834</v>
      </c>
      <c r="E161" s="855" t="s">
        <v>646</v>
      </c>
      <c r="F161" s="855" t="s">
        <v>835</v>
      </c>
      <c r="G161" s="855" t="s">
        <v>650</v>
      </c>
      <c r="H161" s="855" t="s">
        <v>649</v>
      </c>
      <c r="I161" s="855" t="s">
        <v>2132</v>
      </c>
      <c r="J161" s="855" t="s">
        <v>648</v>
      </c>
      <c r="K161" s="855" t="s">
        <v>2131</v>
      </c>
      <c r="L161" s="852" t="s">
        <v>2754</v>
      </c>
      <c r="M161" s="852" t="s">
        <v>2755</v>
      </c>
      <c r="N161" s="855" t="s">
        <v>2137</v>
      </c>
      <c r="O161" s="855" t="s">
        <v>2607</v>
      </c>
    </row>
    <row r="162" spans="1:15" s="748" customFormat="1" ht="19.5" customHeight="1">
      <c r="A162" s="618"/>
      <c r="B162" s="751" t="s">
        <v>2862</v>
      </c>
      <c r="C162" s="594"/>
      <c r="D162" s="587">
        <f>IF(ISNUMBER(FIND("Compactador",B162)),0.5,DATOS!$Q$26/1000)</f>
        <v>0</v>
      </c>
      <c r="E162" s="599">
        <v>0.9</v>
      </c>
      <c r="F162" s="587">
        <f>+C162*D162*E162</f>
        <v>0</v>
      </c>
      <c r="G162" s="594"/>
      <c r="H162" s="594"/>
      <c r="I162" s="587">
        <f>F162*G162*H162</f>
        <v>0</v>
      </c>
      <c r="J162" s="594"/>
      <c r="K162" s="746">
        <f>I162*J162</f>
        <v>0</v>
      </c>
      <c r="L162" s="594"/>
      <c r="M162" s="594"/>
      <c r="N162" s="746">
        <v>2</v>
      </c>
      <c r="O162" s="745">
        <f>G162*H162*J162*(L162+M162)*N162</f>
        <v>0</v>
      </c>
    </row>
    <row r="163" spans="1:15" s="748" customFormat="1" ht="19.5" customHeight="1">
      <c r="A163" s="618"/>
      <c r="B163" s="751" t="s">
        <v>2862</v>
      </c>
      <c r="C163" s="594"/>
      <c r="D163" s="587">
        <f>IF(ISNUMBER(FIND("Compactador",B163)),0.5,DATOS!$Q$26/1000)</f>
        <v>0</v>
      </c>
      <c r="E163" s="599">
        <v>0.9</v>
      </c>
      <c r="F163" s="587">
        <f>+C163*D163*E163</f>
        <v>0</v>
      </c>
      <c r="G163" s="594"/>
      <c r="H163" s="594"/>
      <c r="I163" s="587">
        <f>F163*G163*H163</f>
        <v>0</v>
      </c>
      <c r="J163" s="594"/>
      <c r="K163" s="746">
        <f>I163*J163</f>
        <v>0</v>
      </c>
      <c r="L163" s="594"/>
      <c r="M163" s="594"/>
      <c r="N163" s="746">
        <v>2</v>
      </c>
      <c r="O163" s="745">
        <f>G163*H163*J163*(L163+M163)*N163</f>
        <v>0</v>
      </c>
    </row>
    <row r="164" spans="1:15" s="748" customFormat="1" ht="19.5" customHeight="1">
      <c r="A164" s="618"/>
      <c r="B164" s="752" t="s">
        <v>800</v>
      </c>
      <c r="C164" s="594"/>
      <c r="D164" s="587">
        <f>'Planteamiento Técnico'!C148*'Planteamiento Técnico'!A1611</f>
        <v>0</v>
      </c>
      <c r="E164" s="599">
        <v>0.9</v>
      </c>
      <c r="F164" s="587">
        <f>+C164*D164*E164</f>
        <v>0</v>
      </c>
      <c r="G164" s="594"/>
      <c r="H164" s="594"/>
      <c r="I164" s="587">
        <f>F164*G164*H164</f>
        <v>0</v>
      </c>
      <c r="J164" s="594"/>
      <c r="K164" s="746">
        <f>I164*J164</f>
        <v>0</v>
      </c>
      <c r="L164" s="594"/>
      <c r="M164" s="594"/>
      <c r="N164" s="746">
        <v>2</v>
      </c>
      <c r="O164" s="745">
        <f>G164*H164*J164*(L164+M164)*N164</f>
        <v>0</v>
      </c>
    </row>
    <row r="165" spans="1:15" s="748" customFormat="1" ht="16.5" customHeight="1">
      <c r="A165" s="618"/>
      <c r="B165" s="1762" t="s">
        <v>10</v>
      </c>
      <c r="C165" s="1763"/>
      <c r="D165" s="1763"/>
      <c r="E165" s="1763"/>
      <c r="F165" s="1763"/>
      <c r="G165" s="1763"/>
      <c r="H165" s="1764"/>
      <c r="I165" s="600">
        <f>SUM(I162:I164)</f>
        <v>0</v>
      </c>
      <c r="J165" s="600">
        <f>SUM(J162:J164)</f>
        <v>0</v>
      </c>
      <c r="K165" s="753">
        <f>SUM(K162:K164)</f>
        <v>0</v>
      </c>
      <c r="L165" s="747"/>
      <c r="O165" s="600">
        <f>SUM(O162:O164)</f>
        <v>0</v>
      </c>
    </row>
    <row r="166" spans="1:15" s="618" customFormat="1" ht="16.5" customHeight="1">
      <c r="E166" s="608"/>
      <c r="J166" s="608"/>
      <c r="L166" s="608"/>
    </row>
    <row r="167" spans="1:15" s="618" customFormat="1" ht="16.5" customHeight="1">
      <c r="B167" s="1888" t="s">
        <v>844</v>
      </c>
      <c r="C167" s="1889"/>
      <c r="D167" s="1889"/>
      <c r="E167" s="1889"/>
      <c r="F167" s="1889"/>
      <c r="G167" s="1889"/>
      <c r="H167" s="1889"/>
      <c r="I167" s="1889"/>
      <c r="J167" s="1890"/>
      <c r="K167" s="754">
        <f>K159+K165</f>
        <v>0</v>
      </c>
      <c r="L167" s="608"/>
    </row>
    <row r="168" spans="1:15" s="618" customFormat="1" ht="16.5" customHeight="1">
      <c r="E168" s="608"/>
      <c r="J168" s="608"/>
      <c r="K168" s="608"/>
      <c r="L168" s="608"/>
    </row>
    <row r="169" spans="1:15" s="618" customFormat="1" ht="16.5" customHeight="1">
      <c r="E169" s="608"/>
      <c r="K169" s="404"/>
      <c r="L169" s="608"/>
    </row>
    <row r="170" spans="1:15" s="645" customFormat="1" ht="9" customHeight="1">
      <c r="B170" s="1867"/>
      <c r="C170" s="1867"/>
      <c r="D170" s="646"/>
      <c r="E170" s="646"/>
      <c r="F170" s="40"/>
      <c r="G170" s="40"/>
      <c r="H170" s="40"/>
      <c r="I170" s="40"/>
      <c r="L170" s="731"/>
    </row>
    <row r="171" spans="1:15" s="645" customFormat="1" ht="3" customHeight="1">
      <c r="B171" s="1870"/>
      <c r="C171" s="1870"/>
      <c r="D171" s="756"/>
      <c r="E171" s="756"/>
      <c r="F171" s="756"/>
      <c r="G171" s="756"/>
      <c r="H171" s="756"/>
      <c r="I171" s="40"/>
      <c r="L171" s="731"/>
    </row>
    <row r="172" spans="1:15" s="645" customFormat="1" ht="3" customHeight="1">
      <c r="B172" s="1870"/>
      <c r="C172" s="1870"/>
      <c r="D172" s="756"/>
      <c r="E172" s="756"/>
      <c r="F172" s="756"/>
      <c r="G172" s="756"/>
      <c r="H172" s="756"/>
      <c r="I172" s="40"/>
      <c r="L172" s="731"/>
    </row>
    <row r="173" spans="1:15" s="645" customFormat="1" ht="3" customHeight="1">
      <c r="B173" s="669"/>
      <c r="C173" s="669"/>
      <c r="D173" s="757"/>
      <c r="E173" s="756"/>
      <c r="F173" s="756"/>
      <c r="G173" s="756"/>
      <c r="H173" s="40"/>
      <c r="L173" s="731"/>
    </row>
    <row r="174" spans="1:15" s="405" customFormat="1" ht="15.95" customHeight="1">
      <c r="B174" s="758"/>
      <c r="C174" s="758"/>
      <c r="D174" s="757"/>
      <c r="E174" s="756"/>
      <c r="F174" s="756"/>
      <c r="G174" s="756"/>
      <c r="H174" s="40"/>
      <c r="L174" s="699"/>
    </row>
    <row r="175" spans="1:15" s="748" customFormat="1" ht="15">
      <c r="A175" s="618"/>
      <c r="B175" s="742" t="s">
        <v>2892</v>
      </c>
      <c r="E175" s="747"/>
      <c r="L175" s="747"/>
    </row>
    <row r="176" spans="1:15" s="748" customFormat="1" ht="15">
      <c r="A176" s="618"/>
      <c r="B176" s="742"/>
      <c r="E176" s="747"/>
      <c r="L176" s="747"/>
    </row>
    <row r="177" spans="1:15" s="748" customFormat="1" ht="18.75" customHeight="1">
      <c r="A177" s="618"/>
      <c r="B177" s="745" t="s">
        <v>2893</v>
      </c>
      <c r="C177" s="759"/>
      <c r="D177" s="743" t="s">
        <v>192</v>
      </c>
      <c r="E177" s="747"/>
      <c r="L177" s="747"/>
    </row>
    <row r="178" spans="1:15" s="748" customFormat="1" ht="18.75" customHeight="1">
      <c r="A178" s="618"/>
      <c r="B178" s="745" t="s">
        <v>2894</v>
      </c>
      <c r="C178" s="759"/>
      <c r="D178" s="745" t="s">
        <v>5</v>
      </c>
      <c r="E178" s="747"/>
      <c r="L178" s="747"/>
    </row>
    <row r="179" spans="1:15" s="748" customFormat="1" ht="18.75" customHeight="1">
      <c r="A179" s="618"/>
      <c r="B179" s="745" t="s">
        <v>2136</v>
      </c>
      <c r="C179" s="760"/>
      <c r="D179" s="745" t="s">
        <v>2133</v>
      </c>
      <c r="E179" s="747"/>
      <c r="L179" s="747"/>
    </row>
    <row r="180" spans="1:15" s="748" customFormat="1" ht="18.75" customHeight="1">
      <c r="A180" s="618"/>
      <c r="B180" s="745" t="s">
        <v>2756</v>
      </c>
      <c r="C180" s="749">
        <f>IFERROR(C177*C178*7/C179,0)</f>
        <v>0</v>
      </c>
      <c r="D180" s="745" t="s">
        <v>2757</v>
      </c>
      <c r="E180" s="747"/>
      <c r="L180" s="747"/>
    </row>
    <row r="181" spans="1:15" s="748" customFormat="1" ht="15">
      <c r="A181" s="618"/>
      <c r="B181" s="742"/>
      <c r="E181" s="747"/>
      <c r="L181" s="747"/>
    </row>
    <row r="182" spans="1:15" s="748" customFormat="1" ht="15">
      <c r="A182" s="618"/>
      <c r="B182" s="742"/>
      <c r="E182" s="747"/>
      <c r="L182" s="747"/>
    </row>
    <row r="183" spans="1:15" s="748" customFormat="1" ht="111.75" customHeight="1">
      <c r="A183" s="618"/>
      <c r="B183" s="855" t="s">
        <v>846</v>
      </c>
      <c r="C183" s="855" t="s">
        <v>838</v>
      </c>
      <c r="D183" s="856" t="s">
        <v>834</v>
      </c>
      <c r="E183" s="855" t="s">
        <v>646</v>
      </c>
      <c r="F183" s="855" t="s">
        <v>835</v>
      </c>
      <c r="G183" s="855" t="s">
        <v>650</v>
      </c>
      <c r="H183" s="855" t="s">
        <v>649</v>
      </c>
      <c r="I183" s="855" t="s">
        <v>836</v>
      </c>
      <c r="J183" s="855" t="s">
        <v>648</v>
      </c>
      <c r="K183" s="855" t="s">
        <v>2121</v>
      </c>
      <c r="L183" s="852" t="s">
        <v>2754</v>
      </c>
      <c r="M183" s="852" t="s">
        <v>2755</v>
      </c>
      <c r="N183" s="855" t="s">
        <v>2137</v>
      </c>
      <c r="O183" s="855" t="s">
        <v>2607</v>
      </c>
    </row>
    <row r="184" spans="1:15" s="748" customFormat="1" ht="19.5" customHeight="1">
      <c r="A184" s="618"/>
      <c r="B184" s="751"/>
      <c r="C184" s="594"/>
      <c r="D184" s="761">
        <f>IF(ISNUMBER(FIND("Compactador",B184)),0.5,DATOS!$Q$26/1000)</f>
        <v>0</v>
      </c>
      <c r="E184" s="599">
        <v>0.9</v>
      </c>
      <c r="F184" s="587">
        <f>+C184*D184*E184</f>
        <v>0</v>
      </c>
      <c r="G184" s="594"/>
      <c r="H184" s="594"/>
      <c r="I184" s="587">
        <f>F184*G184*H184</f>
        <v>0</v>
      </c>
      <c r="J184" s="594"/>
      <c r="K184" s="678">
        <f>I184*J184</f>
        <v>0</v>
      </c>
      <c r="L184" s="594"/>
      <c r="M184" s="594"/>
      <c r="N184" s="746">
        <v>2</v>
      </c>
      <c r="O184" s="745">
        <f>G184*H184*J184*(L184+M184)*N184</f>
        <v>0</v>
      </c>
    </row>
    <row r="185" spans="1:15" ht="19.5" customHeight="1">
      <c r="B185" s="1762" t="s">
        <v>10</v>
      </c>
      <c r="C185" s="1763"/>
      <c r="D185" s="1763"/>
      <c r="E185" s="1763"/>
      <c r="F185" s="1763"/>
      <c r="G185" s="1763"/>
      <c r="H185" s="1764"/>
      <c r="I185" s="600"/>
      <c r="J185" s="600">
        <f>SUM(J184:J184)</f>
        <v>0</v>
      </c>
      <c r="K185" s="753">
        <f>SUM(K184:K184)</f>
        <v>0</v>
      </c>
      <c r="L185" s="732"/>
      <c r="M185" s="732"/>
      <c r="N185" s="727"/>
      <c r="O185" s="600">
        <f>SUM(O184:O184)</f>
        <v>0</v>
      </c>
    </row>
    <row r="186" spans="1:15" ht="15.95" customHeight="1">
      <c r="L186" s="404"/>
      <c r="N186" s="687"/>
    </row>
    <row r="187" spans="1:15" s="748" customFormat="1" ht="119.25" customHeight="1">
      <c r="A187" s="618"/>
      <c r="B187" s="855" t="s">
        <v>843</v>
      </c>
      <c r="C187" s="856" t="s">
        <v>838</v>
      </c>
      <c r="D187" s="855" t="s">
        <v>834</v>
      </c>
      <c r="E187" s="855" t="s">
        <v>646</v>
      </c>
      <c r="F187" s="855" t="s">
        <v>835</v>
      </c>
      <c r="G187" s="855" t="s">
        <v>650</v>
      </c>
      <c r="H187" s="855" t="s">
        <v>649</v>
      </c>
      <c r="I187" s="855" t="s">
        <v>836</v>
      </c>
      <c r="J187" s="855" t="s">
        <v>648</v>
      </c>
      <c r="K187" s="855" t="s">
        <v>2121</v>
      </c>
      <c r="L187" s="852" t="s">
        <v>2754</v>
      </c>
      <c r="M187" s="852" t="s">
        <v>2755</v>
      </c>
      <c r="N187" s="855" t="s">
        <v>2137</v>
      </c>
      <c r="O187" s="855" t="s">
        <v>2607</v>
      </c>
    </row>
    <row r="188" spans="1:15" s="748" customFormat="1" ht="19.5" customHeight="1">
      <c r="A188" s="618"/>
      <c r="B188" s="751"/>
      <c r="C188" s="762"/>
      <c r="D188" s="587">
        <f>IF(ISNUMBER(FIND("Compactador",B188)),0.5,DATOS!$Q$26/1000)</f>
        <v>0</v>
      </c>
      <c r="E188" s="599">
        <v>0.9</v>
      </c>
      <c r="F188" s="587">
        <f>+C188*D188*E188</f>
        <v>0</v>
      </c>
      <c r="G188" s="594"/>
      <c r="H188" s="594"/>
      <c r="I188" s="587">
        <f>F188*G188*H188</f>
        <v>0</v>
      </c>
      <c r="J188" s="594"/>
      <c r="K188" s="678">
        <f>I188*J188</f>
        <v>0</v>
      </c>
      <c r="L188" s="594"/>
      <c r="M188" s="594"/>
      <c r="N188" s="746">
        <v>2</v>
      </c>
      <c r="O188" s="745">
        <f>G188*H188*J188*(L188+M188)*N188</f>
        <v>0</v>
      </c>
    </row>
    <row r="189" spans="1:15" s="748" customFormat="1" ht="19.5" customHeight="1">
      <c r="A189" s="618"/>
      <c r="B189" s="751"/>
      <c r="C189" s="762"/>
      <c r="D189" s="587">
        <f>IF(ISNUMBER(FIND("Compactador",B189)),0.5,DATOS!$Q$26/1000)</f>
        <v>0</v>
      </c>
      <c r="E189" s="599">
        <v>0.9</v>
      </c>
      <c r="F189" s="587">
        <f>+C189*D189*E189</f>
        <v>0</v>
      </c>
      <c r="G189" s="594"/>
      <c r="H189" s="594"/>
      <c r="I189" s="587">
        <f>D189*E189*F189</f>
        <v>0</v>
      </c>
      <c r="J189" s="594"/>
      <c r="K189" s="678">
        <f>I189*J189</f>
        <v>0</v>
      </c>
      <c r="L189" s="594"/>
      <c r="M189" s="594"/>
      <c r="N189" s="746">
        <v>2</v>
      </c>
      <c r="O189" s="745">
        <f>G189*H189*J189*(L189+M189)*N189</f>
        <v>0</v>
      </c>
    </row>
    <row r="190" spans="1:15" s="748" customFormat="1" ht="19.5" customHeight="1">
      <c r="A190" s="618"/>
      <c r="B190" s="763" t="s">
        <v>800</v>
      </c>
      <c r="C190" s="762"/>
      <c r="D190" s="587">
        <f>IF(ISNUMBER(FIND("Compactador",B190)),0.5,DATOS!$Q$26/1000)</f>
        <v>0</v>
      </c>
      <c r="E190" s="599">
        <v>0.9</v>
      </c>
      <c r="F190" s="587">
        <f>+C190*D190*E190</f>
        <v>0</v>
      </c>
      <c r="G190" s="594"/>
      <c r="H190" s="594"/>
      <c r="I190" s="587">
        <f>D190*E190*F190</f>
        <v>0</v>
      </c>
      <c r="J190" s="594"/>
      <c r="K190" s="678">
        <f>I190*J190</f>
        <v>0</v>
      </c>
      <c r="L190" s="594"/>
      <c r="M190" s="594"/>
      <c r="N190" s="746">
        <v>2</v>
      </c>
      <c r="O190" s="745">
        <f>G190*H190*J190*(L190+M190)*N190</f>
        <v>0</v>
      </c>
    </row>
    <row r="191" spans="1:15" ht="19.5" customHeight="1">
      <c r="B191" s="1762" t="s">
        <v>10</v>
      </c>
      <c r="C191" s="1763"/>
      <c r="D191" s="1763"/>
      <c r="E191" s="1763"/>
      <c r="F191" s="1763"/>
      <c r="G191" s="1763"/>
      <c r="H191" s="1764"/>
      <c r="I191" s="600"/>
      <c r="J191" s="600">
        <f>SUM(J188:J190)</f>
        <v>0</v>
      </c>
      <c r="K191" s="600">
        <f>SUM(K188:K190)</f>
        <v>0</v>
      </c>
      <c r="L191" s="732"/>
      <c r="M191" s="732"/>
      <c r="N191" s="727"/>
      <c r="O191" s="600">
        <f>SUM(O188:O190)</f>
        <v>0</v>
      </c>
    </row>
    <row r="193" spans="2:12" ht="15.95" customHeight="1">
      <c r="B193" s="1891" t="s">
        <v>845</v>
      </c>
      <c r="C193" s="1892"/>
      <c r="D193" s="1892"/>
      <c r="E193" s="1892"/>
      <c r="F193" s="1892"/>
      <c r="G193" s="1892"/>
      <c r="H193" s="1893"/>
      <c r="I193" s="764">
        <f>K185+K191</f>
        <v>0</v>
      </c>
    </row>
    <row r="195" spans="2:12" s="405" customFormat="1" ht="15.95" customHeight="1">
      <c r="C195" s="765"/>
      <c r="D195" s="766"/>
      <c r="E195" s="699"/>
      <c r="I195" s="608"/>
      <c r="L195" s="699"/>
    </row>
    <row r="196" spans="2:12" s="645" customFormat="1" ht="24" hidden="1" customHeight="1">
      <c r="B196" s="1867"/>
      <c r="C196" s="1867"/>
      <c r="D196" s="646"/>
      <c r="E196" s="40"/>
      <c r="F196" s="40"/>
      <c r="G196" s="40"/>
      <c r="H196" s="40"/>
      <c r="I196" s="40"/>
      <c r="L196" s="731"/>
    </row>
    <row r="197" spans="2:12" s="645" customFormat="1" ht="15.75" hidden="1" customHeight="1">
      <c r="B197" s="1870"/>
      <c r="C197" s="1870"/>
      <c r="D197" s="756"/>
      <c r="E197" s="767"/>
      <c r="F197" s="767"/>
      <c r="G197" s="756"/>
      <c r="H197" s="756"/>
      <c r="I197" s="40"/>
      <c r="L197" s="731"/>
    </row>
    <row r="198" spans="2:12" s="645" customFormat="1" ht="15.75" hidden="1" customHeight="1">
      <c r="B198" s="1870"/>
      <c r="C198" s="1870"/>
      <c r="D198" s="756"/>
      <c r="E198" s="767"/>
      <c r="F198" s="767"/>
      <c r="G198" s="756"/>
      <c r="H198" s="756"/>
      <c r="I198" s="40"/>
      <c r="L198" s="731"/>
    </row>
    <row r="199" spans="2:12" s="405" customFormat="1" ht="15.95" customHeight="1">
      <c r="C199" s="765"/>
      <c r="D199" s="766"/>
      <c r="E199" s="699"/>
      <c r="I199" s="608"/>
      <c r="L199" s="699"/>
    </row>
    <row r="200" spans="2:12" ht="15.95" customHeight="1">
      <c r="B200" s="768" t="s">
        <v>206</v>
      </c>
      <c r="C200" s="404"/>
      <c r="D200" s="404"/>
    </row>
    <row r="201" spans="2:12" ht="27" customHeight="1">
      <c r="B201" s="619" t="s">
        <v>7</v>
      </c>
      <c r="C201" s="696" t="s">
        <v>207</v>
      </c>
      <c r="D201" s="619" t="s">
        <v>841</v>
      </c>
    </row>
    <row r="202" spans="2:12" ht="15.95" customHeight="1">
      <c r="B202" s="769" t="s">
        <v>2758</v>
      </c>
      <c r="C202" s="770"/>
      <c r="D202" s="708">
        <f>C202*($J$159+$J$185)</f>
        <v>0</v>
      </c>
    </row>
    <row r="203" spans="2:12" ht="15.95" customHeight="1">
      <c r="B203" s="769" t="s">
        <v>3213</v>
      </c>
      <c r="C203" s="709">
        <v>1</v>
      </c>
      <c r="D203" s="708">
        <f>C203*($J$165+$J$191)</f>
        <v>0</v>
      </c>
    </row>
    <row r="204" spans="2:12" ht="15.95" customHeight="1">
      <c r="B204" s="771" t="s">
        <v>224</v>
      </c>
      <c r="C204" s="772"/>
      <c r="D204" s="772">
        <f>SUM(D202:D203)</f>
        <v>0</v>
      </c>
    </row>
    <row r="205" spans="2:12" ht="15.95" customHeight="1">
      <c r="B205" s="769" t="s">
        <v>847</v>
      </c>
      <c r="C205" s="708">
        <v>1</v>
      </c>
      <c r="D205" s="708">
        <f>C205*($J$159+$J$185)</f>
        <v>0</v>
      </c>
    </row>
    <row r="206" spans="2:12" ht="15.95" customHeight="1">
      <c r="B206" s="769" t="s">
        <v>3214</v>
      </c>
      <c r="C206" s="708">
        <v>1</v>
      </c>
      <c r="D206" s="708">
        <f>C206*($J$164+$J$191)</f>
        <v>0</v>
      </c>
    </row>
    <row r="207" spans="2:12" ht="15.95" customHeight="1">
      <c r="B207" s="771" t="s">
        <v>208</v>
      </c>
      <c r="C207" s="772"/>
      <c r="D207" s="772">
        <f>D205</f>
        <v>0</v>
      </c>
    </row>
    <row r="209" spans="1:17" ht="15.95" customHeight="1">
      <c r="B209" s="707" t="s">
        <v>209</v>
      </c>
      <c r="G209" s="773"/>
      <c r="H209" s="774"/>
      <c r="I209" s="730"/>
      <c r="J209" s="645"/>
    </row>
    <row r="210" spans="1:17" ht="40.5" customHeight="1">
      <c r="B210" s="619" t="s">
        <v>7</v>
      </c>
      <c r="C210" s="696" t="s">
        <v>207</v>
      </c>
      <c r="D210" s="619" t="s">
        <v>202</v>
      </c>
      <c r="E210" s="619" t="s">
        <v>2759</v>
      </c>
      <c r="F210" s="619" t="s">
        <v>2253</v>
      </c>
      <c r="G210" s="619" t="s">
        <v>2254</v>
      </c>
      <c r="H210" s="775"/>
      <c r="I210" s="646"/>
      <c r="J210" s="646"/>
    </row>
    <row r="211" spans="1:17" s="780" customFormat="1" ht="16.5" customHeight="1">
      <c r="A211" s="405"/>
      <c r="B211" s="720" t="s">
        <v>2068</v>
      </c>
      <c r="C211" s="708">
        <v>3</v>
      </c>
      <c r="D211" s="776">
        <v>4</v>
      </c>
      <c r="E211" s="777">
        <f>C211*D211</f>
        <v>12</v>
      </c>
      <c r="F211" s="778">
        <f>$J$159+$J$165+$J$185+$J$191</f>
        <v>0</v>
      </c>
      <c r="G211" s="746">
        <f>E211*F211</f>
        <v>0</v>
      </c>
      <c r="H211" s="779"/>
      <c r="I211" s="757"/>
      <c r="J211" s="757"/>
      <c r="L211" s="781"/>
    </row>
    <row r="212" spans="1:17" s="780" customFormat="1" ht="16.5" customHeight="1">
      <c r="A212" s="405"/>
      <c r="B212" s="720" t="s">
        <v>2106</v>
      </c>
      <c r="C212" s="708">
        <v>1</v>
      </c>
      <c r="D212" s="776">
        <v>1</v>
      </c>
      <c r="E212" s="777">
        <f t="shared" ref="E212:E218" si="17">C212*D212</f>
        <v>1</v>
      </c>
      <c r="F212" s="778">
        <f>F211</f>
        <v>0</v>
      </c>
      <c r="G212" s="746">
        <f t="shared" ref="G212:G218" si="18">E212*F212</f>
        <v>0</v>
      </c>
      <c r="H212" s="779"/>
      <c r="I212" s="757"/>
      <c r="J212" s="757"/>
      <c r="L212" s="781"/>
    </row>
    <row r="213" spans="1:17" s="780" customFormat="1" ht="16.5" customHeight="1">
      <c r="A213" s="405"/>
      <c r="B213" s="720" t="s">
        <v>259</v>
      </c>
      <c r="C213" s="708">
        <v>2</v>
      </c>
      <c r="D213" s="776">
        <v>1</v>
      </c>
      <c r="E213" s="777">
        <f t="shared" si="17"/>
        <v>2</v>
      </c>
      <c r="F213" s="778">
        <f t="shared" ref="F213:F218" si="19">F212</f>
        <v>0</v>
      </c>
      <c r="G213" s="746">
        <f t="shared" si="18"/>
        <v>0</v>
      </c>
      <c r="H213" s="779"/>
      <c r="I213" s="757"/>
      <c r="J213" s="782"/>
      <c r="L213" s="781"/>
    </row>
    <row r="214" spans="1:17" s="780" customFormat="1" ht="16.5" customHeight="1">
      <c r="A214" s="405"/>
      <c r="B214" s="720" t="s">
        <v>225</v>
      </c>
      <c r="C214" s="708">
        <v>2</v>
      </c>
      <c r="D214" s="776">
        <v>1</v>
      </c>
      <c r="E214" s="777">
        <f t="shared" si="17"/>
        <v>2</v>
      </c>
      <c r="F214" s="778">
        <f t="shared" si="19"/>
        <v>0</v>
      </c>
      <c r="G214" s="746">
        <f t="shared" si="18"/>
        <v>0</v>
      </c>
      <c r="H214" s="779"/>
      <c r="I214" s="757"/>
      <c r="J214" s="757"/>
      <c r="L214" s="781"/>
    </row>
    <row r="215" spans="1:17" s="780" customFormat="1" ht="16.5" customHeight="1">
      <c r="A215" s="405"/>
      <c r="B215" s="720" t="s">
        <v>227</v>
      </c>
      <c r="C215" s="708">
        <v>2</v>
      </c>
      <c r="D215" s="776">
        <v>3</v>
      </c>
      <c r="E215" s="777">
        <f t="shared" si="17"/>
        <v>6</v>
      </c>
      <c r="F215" s="778">
        <f t="shared" si="19"/>
        <v>0</v>
      </c>
      <c r="G215" s="746">
        <f t="shared" si="18"/>
        <v>0</v>
      </c>
      <c r="H215" s="779"/>
      <c r="I215" s="757"/>
      <c r="J215" s="757"/>
      <c r="L215" s="781"/>
      <c r="Q215" s="780" t="b">
        <v>0</v>
      </c>
    </row>
    <row r="216" spans="1:17" s="780" customFormat="1" ht="16.5" customHeight="1">
      <c r="A216" s="405"/>
      <c r="B216" s="720" t="s">
        <v>2760</v>
      </c>
      <c r="C216" s="708">
        <v>2</v>
      </c>
      <c r="D216" s="776">
        <v>4</v>
      </c>
      <c r="E216" s="777">
        <f t="shared" si="17"/>
        <v>8</v>
      </c>
      <c r="F216" s="778">
        <f t="shared" si="19"/>
        <v>0</v>
      </c>
      <c r="G216" s="746">
        <f t="shared" si="18"/>
        <v>0</v>
      </c>
      <c r="H216" s="779"/>
      <c r="I216" s="757"/>
      <c r="J216" s="782"/>
      <c r="L216" s="781"/>
    </row>
    <row r="217" spans="1:17" s="780" customFormat="1" ht="16.5" customHeight="1">
      <c r="A217" s="405"/>
      <c r="B217" s="720" t="s">
        <v>687</v>
      </c>
      <c r="C217" s="708">
        <v>1</v>
      </c>
      <c r="D217" s="776">
        <v>3</v>
      </c>
      <c r="E217" s="777">
        <f t="shared" si="17"/>
        <v>3</v>
      </c>
      <c r="F217" s="778">
        <f t="shared" si="19"/>
        <v>0</v>
      </c>
      <c r="G217" s="746">
        <f t="shared" si="18"/>
        <v>0</v>
      </c>
      <c r="H217" s="779"/>
      <c r="I217" s="757"/>
      <c r="J217" s="782"/>
      <c r="L217" s="781"/>
    </row>
    <row r="218" spans="1:17" s="780" customFormat="1" ht="16.5" customHeight="1">
      <c r="A218" s="405"/>
      <c r="B218" s="720" t="s">
        <v>2048</v>
      </c>
      <c r="C218" s="708">
        <v>1</v>
      </c>
      <c r="D218" s="776">
        <v>1</v>
      </c>
      <c r="E218" s="777">
        <f t="shared" si="17"/>
        <v>1</v>
      </c>
      <c r="F218" s="778">
        <f t="shared" si="19"/>
        <v>0</v>
      </c>
      <c r="G218" s="746">
        <f t="shared" si="18"/>
        <v>0</v>
      </c>
      <c r="H218" s="779"/>
      <c r="I218" s="757"/>
      <c r="J218" s="782"/>
      <c r="L218" s="781"/>
    </row>
    <row r="219" spans="1:17" s="780" customFormat="1" ht="15.95" customHeight="1">
      <c r="A219" s="405"/>
      <c r="E219" s="757"/>
      <c r="F219" s="404"/>
      <c r="G219" s="645"/>
      <c r="H219" s="645"/>
      <c r="I219" s="645"/>
      <c r="J219" s="645"/>
      <c r="L219" s="781"/>
    </row>
    <row r="220" spans="1:17" ht="15.95" customHeight="1">
      <c r="B220" s="707" t="s">
        <v>2761</v>
      </c>
    </row>
    <row r="221" spans="1:17" ht="15.95" customHeight="1">
      <c r="B221" s="742" t="s">
        <v>840</v>
      </c>
      <c r="C221" s="782"/>
      <c r="D221" s="737"/>
    </row>
    <row r="222" spans="1:17" ht="40.5" customHeight="1">
      <c r="B222" s="619" t="s">
        <v>7</v>
      </c>
      <c r="C222" s="696" t="s">
        <v>237</v>
      </c>
      <c r="D222" s="619" t="s">
        <v>202</v>
      </c>
      <c r="E222" s="619" t="s">
        <v>2282</v>
      </c>
      <c r="F222" s="619" t="s">
        <v>2253</v>
      </c>
      <c r="G222" s="619" t="s">
        <v>2254</v>
      </c>
    </row>
    <row r="223" spans="1:17" ht="15.95" customHeight="1">
      <c r="B223" s="720" t="s">
        <v>2114</v>
      </c>
      <c r="C223" s="728">
        <v>1</v>
      </c>
      <c r="D223" s="708">
        <v>2</v>
      </c>
      <c r="E223" s="596">
        <f>C223*D223</f>
        <v>2</v>
      </c>
      <c r="F223" s="708">
        <f>D204</f>
        <v>0</v>
      </c>
      <c r="G223" s="746">
        <f>E223*F223</f>
        <v>0</v>
      </c>
      <c r="H223" s="780"/>
    </row>
    <row r="224" spans="1:17" ht="15.95" customHeight="1">
      <c r="B224" s="720" t="s">
        <v>2115</v>
      </c>
      <c r="C224" s="721">
        <v>1</v>
      </c>
      <c r="D224" s="708">
        <v>2</v>
      </c>
      <c r="E224" s="596">
        <f t="shared" ref="E224:E235" si="20">C224*D224</f>
        <v>2</v>
      </c>
      <c r="F224" s="708">
        <f>F223</f>
        <v>0</v>
      </c>
      <c r="G224" s="746">
        <f t="shared" ref="G224:G235" si="21">E224*F224</f>
        <v>0</v>
      </c>
      <c r="H224" s="780"/>
    </row>
    <row r="225" spans="1:12" ht="15.95" customHeight="1">
      <c r="B225" s="720" t="s">
        <v>229</v>
      </c>
      <c r="C225" s="721">
        <v>1</v>
      </c>
      <c r="D225" s="708">
        <v>3</v>
      </c>
      <c r="E225" s="596">
        <f t="shared" si="20"/>
        <v>3</v>
      </c>
      <c r="F225" s="708">
        <f t="shared" ref="F225:F235" si="22">F224</f>
        <v>0</v>
      </c>
      <c r="G225" s="746">
        <f t="shared" si="21"/>
        <v>0</v>
      </c>
      <c r="H225" s="780"/>
    </row>
    <row r="226" spans="1:12" ht="15.95" customHeight="1">
      <c r="B226" s="720" t="s">
        <v>2089</v>
      </c>
      <c r="C226" s="721">
        <v>2</v>
      </c>
      <c r="D226" s="708">
        <v>2</v>
      </c>
      <c r="E226" s="596">
        <f t="shared" si="20"/>
        <v>4</v>
      </c>
      <c r="F226" s="708">
        <f t="shared" si="22"/>
        <v>0</v>
      </c>
      <c r="G226" s="746">
        <f t="shared" si="21"/>
        <v>0</v>
      </c>
      <c r="H226" s="780"/>
    </row>
    <row r="227" spans="1:12" s="607" customFormat="1" ht="15.95" customHeight="1">
      <c r="A227" s="618"/>
      <c r="B227" s="720" t="s">
        <v>219</v>
      </c>
      <c r="C227" s="721">
        <v>1</v>
      </c>
      <c r="D227" s="708">
        <v>2</v>
      </c>
      <c r="E227" s="596">
        <f t="shared" si="20"/>
        <v>2</v>
      </c>
      <c r="F227" s="708">
        <f t="shared" si="22"/>
        <v>0</v>
      </c>
      <c r="G227" s="746">
        <f t="shared" si="21"/>
        <v>0</v>
      </c>
      <c r="H227" s="780"/>
      <c r="L227" s="606"/>
    </row>
    <row r="228" spans="1:12" s="607" customFormat="1" ht="15.95" customHeight="1">
      <c r="A228" s="618"/>
      <c r="B228" s="720" t="s">
        <v>268</v>
      </c>
      <c r="C228" s="721">
        <v>1</v>
      </c>
      <c r="D228" s="708">
        <v>1</v>
      </c>
      <c r="E228" s="596">
        <f t="shared" si="20"/>
        <v>1</v>
      </c>
      <c r="F228" s="708">
        <f t="shared" si="22"/>
        <v>0</v>
      </c>
      <c r="G228" s="746">
        <f t="shared" si="21"/>
        <v>0</v>
      </c>
      <c r="H228" s="780"/>
      <c r="L228" s="606"/>
    </row>
    <row r="229" spans="1:12" s="607" customFormat="1" ht="15.95" customHeight="1">
      <c r="A229" s="618"/>
      <c r="B229" s="720" t="s">
        <v>231</v>
      </c>
      <c r="C229" s="721">
        <v>1</v>
      </c>
      <c r="D229" s="708">
        <v>2</v>
      </c>
      <c r="E229" s="596">
        <f t="shared" si="20"/>
        <v>2</v>
      </c>
      <c r="F229" s="708">
        <f t="shared" si="22"/>
        <v>0</v>
      </c>
      <c r="G229" s="746">
        <f t="shared" si="21"/>
        <v>0</v>
      </c>
      <c r="H229" s="780"/>
      <c r="L229" s="606"/>
    </row>
    <row r="230" spans="1:12" s="607" customFormat="1" ht="15.95" customHeight="1">
      <c r="A230" s="618"/>
      <c r="B230" s="720" t="s">
        <v>2070</v>
      </c>
      <c r="C230" s="721">
        <v>1</v>
      </c>
      <c r="D230" s="708">
        <v>6</v>
      </c>
      <c r="E230" s="596">
        <f t="shared" si="20"/>
        <v>6</v>
      </c>
      <c r="F230" s="708">
        <f t="shared" si="22"/>
        <v>0</v>
      </c>
      <c r="G230" s="746">
        <f t="shared" si="21"/>
        <v>0</v>
      </c>
      <c r="H230" s="780"/>
      <c r="L230" s="606"/>
    </row>
    <row r="231" spans="1:12" s="607" customFormat="1" ht="15.95" customHeight="1">
      <c r="A231" s="618"/>
      <c r="B231" s="720" t="s">
        <v>232</v>
      </c>
      <c r="C231" s="721">
        <v>1</v>
      </c>
      <c r="D231" s="708">
        <v>3</v>
      </c>
      <c r="E231" s="596">
        <f t="shared" si="20"/>
        <v>3</v>
      </c>
      <c r="F231" s="708">
        <f t="shared" si="22"/>
        <v>0</v>
      </c>
      <c r="G231" s="746">
        <f t="shared" si="21"/>
        <v>0</v>
      </c>
      <c r="H231" s="780"/>
      <c r="L231" s="606"/>
    </row>
    <row r="232" spans="1:12" s="607" customFormat="1" ht="15.95" customHeight="1">
      <c r="A232" s="618"/>
      <c r="B232" s="720" t="s">
        <v>233</v>
      </c>
      <c r="C232" s="721">
        <v>1</v>
      </c>
      <c r="D232" s="708">
        <v>6</v>
      </c>
      <c r="E232" s="596">
        <f t="shared" si="20"/>
        <v>6</v>
      </c>
      <c r="F232" s="708">
        <f t="shared" si="22"/>
        <v>0</v>
      </c>
      <c r="G232" s="746">
        <f t="shared" si="21"/>
        <v>0</v>
      </c>
      <c r="H232" s="780"/>
      <c r="L232" s="606"/>
    </row>
    <row r="233" spans="1:12" s="607" customFormat="1" ht="15.95" customHeight="1">
      <c r="A233" s="618"/>
      <c r="B233" s="720" t="s">
        <v>689</v>
      </c>
      <c r="C233" s="721">
        <v>1</v>
      </c>
      <c r="D233" s="708">
        <v>2</v>
      </c>
      <c r="E233" s="596">
        <f t="shared" si="20"/>
        <v>2</v>
      </c>
      <c r="F233" s="708">
        <f t="shared" si="22"/>
        <v>0</v>
      </c>
      <c r="G233" s="746">
        <f t="shared" si="21"/>
        <v>0</v>
      </c>
      <c r="H233" s="780"/>
      <c r="L233" s="606"/>
    </row>
    <row r="234" spans="1:12" s="607" customFormat="1" ht="15.95" customHeight="1">
      <c r="A234" s="618"/>
      <c r="B234" s="720" t="s">
        <v>234</v>
      </c>
      <c r="C234" s="721">
        <v>1</v>
      </c>
      <c r="D234" s="708">
        <v>3</v>
      </c>
      <c r="E234" s="596">
        <f t="shared" si="20"/>
        <v>3</v>
      </c>
      <c r="F234" s="708">
        <f t="shared" si="22"/>
        <v>0</v>
      </c>
      <c r="G234" s="746">
        <f t="shared" si="21"/>
        <v>0</v>
      </c>
      <c r="H234" s="780"/>
      <c r="L234" s="606"/>
    </row>
    <row r="235" spans="1:12" s="607" customFormat="1" ht="15.95" customHeight="1">
      <c r="A235" s="618"/>
      <c r="B235" s="720" t="s">
        <v>235</v>
      </c>
      <c r="C235" s="721">
        <v>1</v>
      </c>
      <c r="D235" s="708">
        <v>1</v>
      </c>
      <c r="E235" s="596">
        <f t="shared" si="20"/>
        <v>1</v>
      </c>
      <c r="F235" s="708">
        <f t="shared" si="22"/>
        <v>0</v>
      </c>
      <c r="G235" s="746">
        <f t="shared" si="21"/>
        <v>0</v>
      </c>
      <c r="H235" s="780"/>
      <c r="L235" s="606"/>
    </row>
    <row r="236" spans="1:12" s="607" customFormat="1" ht="15.95" customHeight="1">
      <c r="A236" s="618"/>
      <c r="B236" s="783"/>
      <c r="C236" s="784"/>
      <c r="D236" s="785"/>
      <c r="E236" s="731"/>
      <c r="F236" s="780"/>
      <c r="G236" s="780"/>
      <c r="H236" s="780"/>
      <c r="L236" s="606"/>
    </row>
    <row r="237" spans="1:12" s="607" customFormat="1" ht="15.95" customHeight="1">
      <c r="A237" s="618"/>
      <c r="B237" s="742" t="s">
        <v>839</v>
      </c>
      <c r="C237" s="786"/>
      <c r="D237" s="787"/>
      <c r="E237" s="781"/>
      <c r="F237" s="780"/>
      <c r="G237" s="780"/>
      <c r="H237" s="780"/>
      <c r="L237" s="606"/>
    </row>
    <row r="238" spans="1:12" s="607" customFormat="1" ht="42" customHeight="1">
      <c r="A238" s="618"/>
      <c r="B238" s="619" t="s">
        <v>7</v>
      </c>
      <c r="C238" s="696" t="s">
        <v>237</v>
      </c>
      <c r="D238" s="619" t="s">
        <v>202</v>
      </c>
      <c r="E238" s="619" t="s">
        <v>2282</v>
      </c>
      <c r="F238" s="619" t="s">
        <v>2253</v>
      </c>
      <c r="G238" s="619" t="s">
        <v>2254</v>
      </c>
      <c r="H238" s="404"/>
      <c r="L238" s="606"/>
    </row>
    <row r="239" spans="1:12" s="607" customFormat="1" ht="15.95" customHeight="1">
      <c r="A239" s="618"/>
      <c r="B239" s="720" t="s">
        <v>2114</v>
      </c>
      <c r="C239" s="708">
        <v>1</v>
      </c>
      <c r="D239" s="709">
        <v>6</v>
      </c>
      <c r="E239" s="596">
        <f>C239*D239</f>
        <v>6</v>
      </c>
      <c r="F239" s="708">
        <f>D207</f>
        <v>0</v>
      </c>
      <c r="G239" s="746">
        <f>E239*F239</f>
        <v>0</v>
      </c>
      <c r="H239" s="780"/>
      <c r="L239" s="606"/>
    </row>
    <row r="240" spans="1:12" s="607" customFormat="1" ht="15.95" customHeight="1">
      <c r="A240" s="618"/>
      <c r="B240" s="720" t="s">
        <v>2116</v>
      </c>
      <c r="C240" s="708">
        <v>1</v>
      </c>
      <c r="D240" s="709">
        <v>2</v>
      </c>
      <c r="E240" s="596">
        <f>C240*D240</f>
        <v>2</v>
      </c>
      <c r="F240" s="708">
        <f>F239</f>
        <v>0</v>
      </c>
      <c r="G240" s="746">
        <f>E240*F240</f>
        <v>0</v>
      </c>
      <c r="H240" s="780"/>
      <c r="L240" s="606"/>
    </row>
    <row r="241" spans="1:15" s="607" customFormat="1" ht="15.95" customHeight="1">
      <c r="A241" s="618"/>
      <c r="B241" s="720" t="s">
        <v>218</v>
      </c>
      <c r="C241" s="708">
        <v>1</v>
      </c>
      <c r="D241" s="709">
        <v>2</v>
      </c>
      <c r="E241" s="596">
        <f>C241*D241</f>
        <v>2</v>
      </c>
      <c r="F241" s="708">
        <f>F240</f>
        <v>0</v>
      </c>
      <c r="G241" s="746">
        <f>E241*F241</f>
        <v>0</v>
      </c>
      <c r="H241" s="780"/>
      <c r="L241" s="606"/>
    </row>
    <row r="242" spans="1:15" ht="15.95" customHeight="1">
      <c r="B242" s="720" t="s">
        <v>219</v>
      </c>
      <c r="C242" s="708">
        <v>1</v>
      </c>
      <c r="D242" s="709">
        <v>3</v>
      </c>
      <c r="E242" s="596">
        <f>C242*D242</f>
        <v>3</v>
      </c>
      <c r="F242" s="708">
        <f>F241</f>
        <v>0</v>
      </c>
      <c r="G242" s="746">
        <f>E242*F242</f>
        <v>0</v>
      </c>
    </row>
    <row r="243" spans="1:15" ht="15.95" customHeight="1">
      <c r="B243" s="720" t="s">
        <v>689</v>
      </c>
      <c r="C243" s="708">
        <v>1</v>
      </c>
      <c r="D243" s="709">
        <v>2</v>
      </c>
      <c r="E243" s="596">
        <f>C243*D243</f>
        <v>2</v>
      </c>
      <c r="F243" s="708">
        <f>F242</f>
        <v>0</v>
      </c>
      <c r="G243" s="746">
        <f>E243*F243</f>
        <v>0</v>
      </c>
    </row>
    <row r="246" spans="1:15" s="607" customFormat="1" ht="19.5" hidden="1" customHeight="1">
      <c r="A246" s="618"/>
      <c r="B246" s="742" t="s">
        <v>2088</v>
      </c>
      <c r="C246" s="592"/>
      <c r="D246" s="689"/>
      <c r="E246" s="687"/>
      <c r="F246" s="404"/>
      <c r="G246" s="404"/>
      <c r="L246" s="606"/>
    </row>
    <row r="247" spans="1:15" s="607" customFormat="1" ht="12.75" hidden="1" customHeight="1">
      <c r="A247" s="618"/>
      <c r="B247" s="742"/>
      <c r="C247" s="592"/>
      <c r="D247" s="689"/>
      <c r="E247" s="687"/>
      <c r="F247" s="404"/>
      <c r="G247" s="404"/>
      <c r="L247" s="606"/>
    </row>
    <row r="248" spans="1:15" s="607" customFormat="1" ht="19.5" hidden="1" customHeight="1">
      <c r="A248" s="618"/>
      <c r="B248" s="742" t="s">
        <v>2895</v>
      </c>
      <c r="C248" s="592"/>
      <c r="D248" s="689"/>
      <c r="E248" s="687"/>
      <c r="F248" s="404"/>
      <c r="G248" s="404"/>
      <c r="L248" s="606"/>
    </row>
    <row r="249" spans="1:15" s="618" customFormat="1" ht="18" hidden="1" customHeight="1">
      <c r="B249" s="743" t="s">
        <v>3170</v>
      </c>
      <c r="C249" s="744">
        <f>'Demanda Oferta'!H83</f>
        <v>0</v>
      </c>
      <c r="D249" s="743" t="s">
        <v>192</v>
      </c>
      <c r="E249" s="608"/>
      <c r="L249" s="608"/>
    </row>
    <row r="250" spans="1:15" s="748" customFormat="1" ht="18" hidden="1" customHeight="1">
      <c r="A250" s="618"/>
      <c r="B250" s="745" t="s">
        <v>2136</v>
      </c>
      <c r="C250" s="788"/>
      <c r="D250" s="745" t="s">
        <v>2133</v>
      </c>
      <c r="E250" s="747"/>
      <c r="L250" s="747"/>
    </row>
    <row r="251" spans="1:15" s="748" customFormat="1" ht="18" hidden="1" customHeight="1">
      <c r="A251" s="618"/>
      <c r="B251" s="745" t="s">
        <v>2756</v>
      </c>
      <c r="C251" s="754">
        <f>IFERROR(C249*7/C250,0)</f>
        <v>0</v>
      </c>
      <c r="D251" s="745" t="s">
        <v>2757</v>
      </c>
      <c r="E251" s="747"/>
      <c r="L251" s="747"/>
    </row>
    <row r="252" spans="1:15" s="748" customFormat="1" ht="15" hidden="1">
      <c r="A252" s="618"/>
      <c r="B252" s="742"/>
      <c r="E252" s="747"/>
      <c r="L252" s="747"/>
    </row>
    <row r="253" spans="1:15" s="748" customFormat="1" ht="15" hidden="1">
      <c r="A253" s="618"/>
      <c r="E253" s="747"/>
      <c r="L253" s="747"/>
    </row>
    <row r="254" spans="1:15" s="748" customFormat="1" ht="15" hidden="1">
      <c r="A254" s="618"/>
      <c r="B254" s="742" t="s">
        <v>2895</v>
      </c>
      <c r="E254" s="747"/>
      <c r="L254" s="747"/>
    </row>
    <row r="255" spans="1:15" s="748" customFormat="1" ht="72" hidden="1" customHeight="1">
      <c r="A255" s="618"/>
      <c r="B255" s="580" t="s">
        <v>842</v>
      </c>
      <c r="C255" s="580" t="s">
        <v>838</v>
      </c>
      <c r="D255" s="580" t="s">
        <v>834</v>
      </c>
      <c r="E255" s="580" t="s">
        <v>646</v>
      </c>
      <c r="F255" s="580" t="s">
        <v>835</v>
      </c>
      <c r="G255" s="580" t="s">
        <v>650</v>
      </c>
      <c r="H255" s="580" t="s">
        <v>649</v>
      </c>
      <c r="I255" s="580" t="s">
        <v>836</v>
      </c>
      <c r="J255" s="580" t="s">
        <v>648</v>
      </c>
      <c r="K255" s="580" t="s">
        <v>2131</v>
      </c>
      <c r="L255" s="619" t="s">
        <v>2754</v>
      </c>
      <c r="M255" s="619" t="s">
        <v>2755</v>
      </c>
      <c r="N255" s="580" t="s">
        <v>2137</v>
      </c>
      <c r="O255" s="580" t="s">
        <v>2607</v>
      </c>
    </row>
    <row r="256" spans="1:15" s="748" customFormat="1" ht="19.5" hidden="1" customHeight="1">
      <c r="A256" s="618"/>
      <c r="B256" s="751" t="s">
        <v>2073</v>
      </c>
      <c r="C256" s="594"/>
      <c r="D256" s="587">
        <f>IF(ISNUMBER(FIND("Compactador",B256)),0.5,DATOS!$Q$26/1000)</f>
        <v>0.5</v>
      </c>
      <c r="E256" s="599">
        <v>0.9</v>
      </c>
      <c r="F256" s="587">
        <f>+C256*D256*E256</f>
        <v>0</v>
      </c>
      <c r="G256" s="594">
        <v>2</v>
      </c>
      <c r="H256" s="594">
        <v>2</v>
      </c>
      <c r="I256" s="587">
        <f>F256*G256*H256</f>
        <v>0</v>
      </c>
      <c r="J256" s="594"/>
      <c r="K256" s="678">
        <f>I256*J256</f>
        <v>0</v>
      </c>
      <c r="L256" s="594"/>
      <c r="M256" s="594"/>
      <c r="N256" s="746">
        <v>2</v>
      </c>
      <c r="O256" s="745">
        <f>G256*H256*J256*(L256+M256)*N256</f>
        <v>0</v>
      </c>
    </row>
    <row r="257" spans="1:15" s="748" customFormat="1" ht="19.5" hidden="1" customHeight="1">
      <c r="A257" s="618"/>
      <c r="B257" s="751" t="s">
        <v>2079</v>
      </c>
      <c r="C257" s="594"/>
      <c r="D257" s="587">
        <f>IF(ISNUMBER(FIND("Compactador",B257)),0.5,DATOS!$Q$26/1000)</f>
        <v>0.5</v>
      </c>
      <c r="E257" s="599">
        <v>0.9</v>
      </c>
      <c r="F257" s="587">
        <f t="shared" ref="F257:F265" si="23">+C257*D257*E257</f>
        <v>0</v>
      </c>
      <c r="G257" s="594"/>
      <c r="H257" s="594"/>
      <c r="I257" s="587">
        <f t="shared" ref="I257:I265" si="24">F257*G257*H257</f>
        <v>0</v>
      </c>
      <c r="J257" s="594"/>
      <c r="K257" s="678">
        <f t="shared" ref="K257:K265" si="25">I257*J257</f>
        <v>0</v>
      </c>
      <c r="L257" s="594"/>
      <c r="M257" s="594"/>
      <c r="N257" s="746">
        <v>2</v>
      </c>
      <c r="O257" s="745">
        <f t="shared" ref="O257:O265" si="26">G257*H257*J257*(L257+M257)*N257</f>
        <v>0</v>
      </c>
    </row>
    <row r="258" spans="1:15" s="748" customFormat="1" ht="19.5" hidden="1" customHeight="1">
      <c r="A258" s="618"/>
      <c r="B258" s="751" t="s">
        <v>2074</v>
      </c>
      <c r="C258" s="594"/>
      <c r="D258" s="587">
        <f>IF(ISNUMBER(FIND("Compactador",B258)),0.5,DATOS!$Q$26/1000)</f>
        <v>0.5</v>
      </c>
      <c r="E258" s="599">
        <v>0.9</v>
      </c>
      <c r="F258" s="587">
        <f t="shared" si="23"/>
        <v>0</v>
      </c>
      <c r="G258" s="594"/>
      <c r="H258" s="594"/>
      <c r="I258" s="587">
        <f t="shared" si="24"/>
        <v>0</v>
      </c>
      <c r="J258" s="594"/>
      <c r="K258" s="678">
        <f t="shared" si="25"/>
        <v>0</v>
      </c>
      <c r="L258" s="594"/>
      <c r="M258" s="594"/>
      <c r="N258" s="746">
        <v>2</v>
      </c>
      <c r="O258" s="745">
        <f t="shared" si="26"/>
        <v>0</v>
      </c>
    </row>
    <row r="259" spans="1:15" s="748" customFormat="1" ht="19.5" hidden="1" customHeight="1">
      <c r="A259" s="618"/>
      <c r="B259" s="751" t="s">
        <v>2081</v>
      </c>
      <c r="C259" s="594"/>
      <c r="D259" s="587">
        <f>IF(ISNUMBER(FIND("Compactador",B259)),0.5,DATOS!$Q$26/1000)</f>
        <v>0.5</v>
      </c>
      <c r="E259" s="599">
        <v>0.9</v>
      </c>
      <c r="F259" s="587">
        <f t="shared" si="23"/>
        <v>0</v>
      </c>
      <c r="G259" s="594"/>
      <c r="H259" s="594"/>
      <c r="I259" s="587">
        <f t="shared" si="24"/>
        <v>0</v>
      </c>
      <c r="J259" s="594"/>
      <c r="K259" s="678">
        <f t="shared" si="25"/>
        <v>0</v>
      </c>
      <c r="L259" s="594"/>
      <c r="M259" s="594"/>
      <c r="N259" s="746">
        <v>2</v>
      </c>
      <c r="O259" s="745">
        <f t="shared" si="26"/>
        <v>0</v>
      </c>
    </row>
    <row r="260" spans="1:15" s="748" customFormat="1" ht="19.5" hidden="1" customHeight="1">
      <c r="A260" s="618"/>
      <c r="B260" s="751" t="s">
        <v>2075</v>
      </c>
      <c r="C260" s="594"/>
      <c r="D260" s="587">
        <f>IF(ISNUMBER(FIND("Compactador",B260)),0.5,DATOS!$Q$26/1000)</f>
        <v>0.5</v>
      </c>
      <c r="E260" s="599">
        <v>0.9</v>
      </c>
      <c r="F260" s="587">
        <f t="shared" si="23"/>
        <v>0</v>
      </c>
      <c r="G260" s="594"/>
      <c r="H260" s="594"/>
      <c r="I260" s="587">
        <f t="shared" si="24"/>
        <v>0</v>
      </c>
      <c r="J260" s="594"/>
      <c r="K260" s="678">
        <f t="shared" si="25"/>
        <v>0</v>
      </c>
      <c r="L260" s="594"/>
      <c r="M260" s="594"/>
      <c r="N260" s="746">
        <v>2</v>
      </c>
      <c r="O260" s="745">
        <f t="shared" si="26"/>
        <v>0</v>
      </c>
    </row>
    <row r="261" spans="1:15" s="748" customFormat="1" ht="19.5" hidden="1" customHeight="1">
      <c r="A261" s="618"/>
      <c r="B261" s="751" t="s">
        <v>2081</v>
      </c>
      <c r="C261" s="594"/>
      <c r="D261" s="587">
        <f>IF(ISNUMBER(FIND("Compactador",B261)),0.5,DATOS!$Q$26/1000)</f>
        <v>0.5</v>
      </c>
      <c r="E261" s="599">
        <v>0.9</v>
      </c>
      <c r="F261" s="587">
        <f t="shared" si="23"/>
        <v>0</v>
      </c>
      <c r="G261" s="594"/>
      <c r="H261" s="594"/>
      <c r="I261" s="587">
        <f t="shared" si="24"/>
        <v>0</v>
      </c>
      <c r="J261" s="594"/>
      <c r="K261" s="678">
        <f t="shared" si="25"/>
        <v>0</v>
      </c>
      <c r="L261" s="594"/>
      <c r="M261" s="594"/>
      <c r="N261" s="746">
        <v>2</v>
      </c>
      <c r="O261" s="745">
        <f t="shared" si="26"/>
        <v>0</v>
      </c>
    </row>
    <row r="262" spans="1:15" s="748" customFormat="1" ht="19.5" hidden="1" customHeight="1">
      <c r="A262" s="618"/>
      <c r="B262" s="751" t="s">
        <v>2076</v>
      </c>
      <c r="C262" s="594"/>
      <c r="D262" s="587">
        <f>IF(ISNUMBER(FIND("Compactador",B262)),0.5,DATOS!$Q$26/1000)</f>
        <v>0.5</v>
      </c>
      <c r="E262" s="599">
        <v>0.9</v>
      </c>
      <c r="F262" s="587">
        <f t="shared" si="23"/>
        <v>0</v>
      </c>
      <c r="G262" s="594"/>
      <c r="H262" s="594"/>
      <c r="I262" s="587">
        <f t="shared" si="24"/>
        <v>0</v>
      </c>
      <c r="J262" s="594"/>
      <c r="K262" s="678">
        <f t="shared" si="25"/>
        <v>0</v>
      </c>
      <c r="L262" s="594"/>
      <c r="M262" s="594"/>
      <c r="N262" s="746">
        <v>2</v>
      </c>
      <c r="O262" s="745">
        <f t="shared" si="26"/>
        <v>0</v>
      </c>
    </row>
    <row r="263" spans="1:15" s="748" customFormat="1" ht="19.5" hidden="1" customHeight="1">
      <c r="A263" s="618"/>
      <c r="B263" s="751" t="s">
        <v>2082</v>
      </c>
      <c r="C263" s="594"/>
      <c r="D263" s="587">
        <f>IF(ISNUMBER(FIND("Compactador",B263)),0.5,DATOS!$Q$26/1000)</f>
        <v>0.5</v>
      </c>
      <c r="E263" s="599">
        <v>0.9</v>
      </c>
      <c r="F263" s="587">
        <f t="shared" si="23"/>
        <v>0</v>
      </c>
      <c r="G263" s="594"/>
      <c r="H263" s="594"/>
      <c r="I263" s="587">
        <f t="shared" si="24"/>
        <v>0</v>
      </c>
      <c r="J263" s="594"/>
      <c r="K263" s="678">
        <f t="shared" si="25"/>
        <v>0</v>
      </c>
      <c r="L263" s="594"/>
      <c r="M263" s="594"/>
      <c r="N263" s="746">
        <v>2</v>
      </c>
      <c r="O263" s="745">
        <f t="shared" si="26"/>
        <v>0</v>
      </c>
    </row>
    <row r="264" spans="1:15" s="748" customFormat="1" ht="19.5" hidden="1" customHeight="1">
      <c r="A264" s="618"/>
      <c r="B264" s="751" t="s">
        <v>2077</v>
      </c>
      <c r="C264" s="594"/>
      <c r="D264" s="587">
        <f>IF(ISNUMBER(FIND("Compactador",B264)),0.5,DATOS!$Q$26/1000)</f>
        <v>0.5</v>
      </c>
      <c r="E264" s="599">
        <v>0.9</v>
      </c>
      <c r="F264" s="587">
        <f t="shared" si="23"/>
        <v>0</v>
      </c>
      <c r="G264" s="594"/>
      <c r="H264" s="594"/>
      <c r="I264" s="587">
        <f t="shared" si="24"/>
        <v>0</v>
      </c>
      <c r="J264" s="594"/>
      <c r="K264" s="678">
        <f t="shared" si="25"/>
        <v>0</v>
      </c>
      <c r="L264" s="594"/>
      <c r="M264" s="594"/>
      <c r="N264" s="746">
        <v>2</v>
      </c>
      <c r="O264" s="745">
        <f t="shared" si="26"/>
        <v>0</v>
      </c>
    </row>
    <row r="265" spans="1:15" s="748" customFormat="1" ht="19.5" hidden="1" customHeight="1">
      <c r="A265" s="618"/>
      <c r="B265" s="751" t="s">
        <v>2083</v>
      </c>
      <c r="C265" s="594"/>
      <c r="D265" s="587">
        <f>IF(ISNUMBER(FIND("Compactador",B265)),0.5,DATOS!$Q$26/1000)</f>
        <v>0.5</v>
      </c>
      <c r="E265" s="599">
        <v>0.9</v>
      </c>
      <c r="F265" s="587">
        <f t="shared" si="23"/>
        <v>0</v>
      </c>
      <c r="G265" s="594"/>
      <c r="H265" s="594"/>
      <c r="I265" s="587">
        <f t="shared" si="24"/>
        <v>0</v>
      </c>
      <c r="J265" s="594"/>
      <c r="K265" s="678">
        <f t="shared" si="25"/>
        <v>0</v>
      </c>
      <c r="L265" s="594"/>
      <c r="M265" s="594"/>
      <c r="N265" s="746">
        <v>2</v>
      </c>
      <c r="O265" s="745">
        <f t="shared" si="26"/>
        <v>0</v>
      </c>
    </row>
    <row r="266" spans="1:15" s="748" customFormat="1" ht="24" hidden="1" customHeight="1">
      <c r="A266" s="618"/>
      <c r="B266" s="789" t="s">
        <v>10</v>
      </c>
      <c r="C266" s="790"/>
      <c r="D266" s="790"/>
      <c r="E266" s="601"/>
      <c r="F266" s="790"/>
      <c r="G266" s="790"/>
      <c r="H266" s="790"/>
      <c r="I266" s="600">
        <f>SUM(I256:I265)</f>
        <v>0</v>
      </c>
      <c r="J266" s="753">
        <f>SUM(J256:J265)</f>
        <v>0</v>
      </c>
      <c r="K266" s="753">
        <f>SUM(K256:K265)</f>
        <v>0</v>
      </c>
      <c r="L266" s="747"/>
      <c r="O266" s="753">
        <f>SUM(O256:O265)</f>
        <v>0</v>
      </c>
    </row>
    <row r="267" spans="1:15" s="618" customFormat="1" ht="16.5" hidden="1" customHeight="1">
      <c r="E267" s="608"/>
      <c r="J267" s="608"/>
      <c r="L267" s="608"/>
    </row>
    <row r="268" spans="1:15" s="618" customFormat="1" ht="16.5" hidden="1" customHeight="1">
      <c r="B268" s="1833" t="s">
        <v>844</v>
      </c>
      <c r="C268" s="1834"/>
      <c r="D268" s="1834"/>
      <c r="E268" s="1834"/>
      <c r="F268" s="1834"/>
      <c r="G268" s="1834"/>
      <c r="H268" s="1834"/>
      <c r="I268" s="1834"/>
      <c r="J268" s="1835"/>
      <c r="K268" s="754">
        <f>K266</f>
        <v>0</v>
      </c>
      <c r="L268" s="608"/>
    </row>
    <row r="269" spans="1:15" s="618" customFormat="1" ht="16.5" hidden="1" customHeight="1">
      <c r="E269" s="608"/>
      <c r="K269" s="755" t="str">
        <f>IF(K268&lt;C251,"REVISAR","OK")</f>
        <v>OK</v>
      </c>
      <c r="L269" s="608"/>
    </row>
    <row r="270" spans="1:15" s="748" customFormat="1" ht="15" hidden="1">
      <c r="A270" s="618"/>
      <c r="B270" s="742" t="s">
        <v>2892</v>
      </c>
      <c r="E270" s="747"/>
      <c r="L270" s="747"/>
    </row>
    <row r="271" spans="1:15" s="748" customFormat="1" ht="15" hidden="1">
      <c r="A271" s="618"/>
      <c r="B271" s="742"/>
      <c r="E271" s="747"/>
      <c r="L271" s="747"/>
    </row>
    <row r="272" spans="1:15" s="748" customFormat="1" ht="18.75" hidden="1" customHeight="1">
      <c r="A272" s="618"/>
      <c r="B272" s="745" t="s">
        <v>2896</v>
      </c>
      <c r="C272" s="759"/>
      <c r="D272" s="743" t="s">
        <v>192</v>
      </c>
      <c r="E272" s="747"/>
      <c r="L272" s="747"/>
    </row>
    <row r="273" spans="1:15" s="748" customFormat="1" ht="18.75" hidden="1" customHeight="1">
      <c r="A273" s="618"/>
      <c r="B273" s="745" t="s">
        <v>2894</v>
      </c>
      <c r="C273" s="759"/>
      <c r="D273" s="745" t="s">
        <v>5</v>
      </c>
      <c r="E273" s="747"/>
      <c r="L273" s="747"/>
    </row>
    <row r="274" spans="1:15" s="748" customFormat="1" ht="18.75" hidden="1" customHeight="1">
      <c r="A274" s="618"/>
      <c r="B274" s="745" t="s">
        <v>2136</v>
      </c>
      <c r="C274" s="760"/>
      <c r="D274" s="745" t="s">
        <v>2133</v>
      </c>
      <c r="E274" s="747"/>
      <c r="L274" s="747"/>
    </row>
    <row r="275" spans="1:15" s="748" customFormat="1" ht="18.75" hidden="1" customHeight="1">
      <c r="A275" s="618"/>
      <c r="B275" s="745" t="s">
        <v>2756</v>
      </c>
      <c r="C275" s="754">
        <f>IFERROR(C272*C273*7/C274,0)</f>
        <v>0</v>
      </c>
      <c r="D275" s="745" t="s">
        <v>2757</v>
      </c>
      <c r="E275" s="747"/>
      <c r="L275" s="747"/>
    </row>
    <row r="276" spans="1:15" s="748" customFormat="1" ht="15" hidden="1">
      <c r="A276" s="618"/>
      <c r="B276" s="742"/>
      <c r="E276" s="747"/>
      <c r="L276" s="747"/>
    </row>
    <row r="277" spans="1:15" s="748" customFormat="1" ht="15" hidden="1">
      <c r="A277" s="618"/>
      <c r="B277" s="742"/>
      <c r="E277" s="747"/>
      <c r="L277" s="747"/>
    </row>
    <row r="278" spans="1:15" s="748" customFormat="1" ht="70.5" hidden="1" customHeight="1">
      <c r="A278" s="618"/>
      <c r="B278" s="580" t="s">
        <v>846</v>
      </c>
      <c r="C278" s="580" t="s">
        <v>838</v>
      </c>
      <c r="D278" s="580" t="s">
        <v>834</v>
      </c>
      <c r="E278" s="580" t="s">
        <v>646</v>
      </c>
      <c r="F278" s="580" t="s">
        <v>835</v>
      </c>
      <c r="G278" s="580" t="s">
        <v>650</v>
      </c>
      <c r="H278" s="580" t="s">
        <v>649</v>
      </c>
      <c r="I278" s="580" t="s">
        <v>836</v>
      </c>
      <c r="J278" s="580" t="s">
        <v>648</v>
      </c>
      <c r="K278" s="580" t="s">
        <v>2121</v>
      </c>
      <c r="L278" s="619" t="s">
        <v>2754</v>
      </c>
      <c r="M278" s="619" t="s">
        <v>2755</v>
      </c>
      <c r="N278" s="580" t="s">
        <v>2137</v>
      </c>
      <c r="O278" s="580" t="s">
        <v>2607</v>
      </c>
    </row>
    <row r="279" spans="1:15" s="748" customFormat="1" ht="19.5" hidden="1" customHeight="1">
      <c r="A279" s="618"/>
      <c r="B279" s="751" t="s">
        <v>653</v>
      </c>
      <c r="C279" s="594"/>
      <c r="D279" s="587">
        <f>IF(ISNUMBER(FIND("Compactador",B279)),0.5,DATOS!$Q$26/1000)</f>
        <v>0</v>
      </c>
      <c r="E279" s="599">
        <v>0.9</v>
      </c>
      <c r="F279" s="587">
        <f>+C279*D279*E279</f>
        <v>0</v>
      </c>
      <c r="G279" s="587">
        <f>+D279*E279*F279</f>
        <v>0</v>
      </c>
      <c r="H279" s="594"/>
      <c r="I279" s="678">
        <f>G279*H279</f>
        <v>0</v>
      </c>
      <c r="J279" s="594"/>
      <c r="K279" s="744"/>
      <c r="L279" s="594"/>
      <c r="M279" s="594"/>
      <c r="N279" s="746">
        <v>2</v>
      </c>
      <c r="O279" s="745">
        <f>G279*H279*J279*(L279+M279)*N279</f>
        <v>0</v>
      </c>
    </row>
    <row r="280" spans="1:15" ht="19.5" hidden="1" customHeight="1">
      <c r="B280" s="1762" t="s">
        <v>10</v>
      </c>
      <c r="C280" s="1763"/>
      <c r="D280" s="1763"/>
      <c r="E280" s="1763"/>
      <c r="F280" s="1763"/>
      <c r="G280" s="1763"/>
      <c r="H280" s="1763"/>
      <c r="I280" s="791"/>
      <c r="J280" s="791">
        <f>SUM(J279)</f>
        <v>0</v>
      </c>
      <c r="K280" s="791">
        <f>SUM(K279)</f>
        <v>0</v>
      </c>
      <c r="L280" s="792"/>
      <c r="M280" s="536"/>
      <c r="N280" s="536"/>
      <c r="O280" s="791">
        <f>SUM(O279)</f>
        <v>0</v>
      </c>
    </row>
    <row r="281" spans="1:15" ht="15.95" hidden="1" customHeight="1">
      <c r="J281" s="645"/>
      <c r="K281" s="645"/>
      <c r="L281" s="731"/>
    </row>
    <row r="282" spans="1:15" s="748" customFormat="1" ht="69" hidden="1" customHeight="1">
      <c r="A282" s="618"/>
      <c r="B282" s="580" t="s">
        <v>843</v>
      </c>
      <c r="C282" s="580" t="s">
        <v>838</v>
      </c>
      <c r="D282" s="580" t="s">
        <v>834</v>
      </c>
      <c r="E282" s="580" t="s">
        <v>646</v>
      </c>
      <c r="F282" s="580" t="s">
        <v>835</v>
      </c>
      <c r="G282" s="580" t="s">
        <v>650</v>
      </c>
      <c r="H282" s="580" t="s">
        <v>649</v>
      </c>
      <c r="I282" s="580" t="s">
        <v>2132</v>
      </c>
      <c r="J282" s="580" t="s">
        <v>648</v>
      </c>
      <c r="K282" s="580" t="s">
        <v>2131</v>
      </c>
      <c r="L282" s="619" t="s">
        <v>2754</v>
      </c>
      <c r="M282" s="619" t="s">
        <v>2755</v>
      </c>
      <c r="N282" s="580" t="s">
        <v>2137</v>
      </c>
      <c r="O282" s="580" t="s">
        <v>2607</v>
      </c>
    </row>
    <row r="283" spans="1:15" s="748" customFormat="1" ht="19.5" hidden="1" customHeight="1">
      <c r="A283" s="618"/>
      <c r="B283" s="751" t="s">
        <v>2861</v>
      </c>
      <c r="C283" s="594"/>
      <c r="D283" s="587">
        <f>IF(ISNUMBER(FIND("Compactador",B283)),0.5,DATOS!$Q$26/1000)</f>
        <v>0</v>
      </c>
      <c r="E283" s="599">
        <v>0.9</v>
      </c>
      <c r="F283" s="587">
        <f>+C283*D283*E283</f>
        <v>0</v>
      </c>
      <c r="G283" s="587">
        <f>+D283*E283*F283</f>
        <v>0</v>
      </c>
      <c r="H283" s="594"/>
      <c r="I283" s="678">
        <f>G283*H283</f>
        <v>0</v>
      </c>
      <c r="J283" s="594"/>
      <c r="K283" s="744"/>
      <c r="L283" s="594"/>
      <c r="M283" s="594"/>
      <c r="N283" s="746">
        <v>2</v>
      </c>
      <c r="O283" s="745">
        <f>G283*H283*J283*(L283+M283)*N283</f>
        <v>0</v>
      </c>
    </row>
    <row r="284" spans="1:15" s="748" customFormat="1" ht="19.5" hidden="1" customHeight="1">
      <c r="A284" s="618"/>
      <c r="B284" s="751" t="s">
        <v>837</v>
      </c>
      <c r="C284" s="594"/>
      <c r="D284" s="587">
        <f>IF(ISNUMBER(FIND("Compactador",B284)),0.5,DATOS!$Q$26/1000)</f>
        <v>0</v>
      </c>
      <c r="E284" s="599">
        <v>0.9</v>
      </c>
      <c r="F284" s="587">
        <f>+C284*D284*E284</f>
        <v>0</v>
      </c>
      <c r="G284" s="587">
        <f>+D284*E284*F284</f>
        <v>0</v>
      </c>
      <c r="H284" s="594"/>
      <c r="I284" s="678">
        <f>G284*H284</f>
        <v>0</v>
      </c>
      <c r="J284" s="594"/>
      <c r="K284" s="744"/>
      <c r="L284" s="594"/>
      <c r="M284" s="594"/>
      <c r="N284" s="746">
        <v>2</v>
      </c>
      <c r="O284" s="745">
        <f>G284*H284*J284*(L284+M284)*N284</f>
        <v>0</v>
      </c>
    </row>
    <row r="285" spans="1:15" ht="19.5" hidden="1" customHeight="1">
      <c r="B285" s="1762" t="s">
        <v>10</v>
      </c>
      <c r="C285" s="1763"/>
      <c r="D285" s="1763"/>
      <c r="E285" s="1763"/>
      <c r="F285" s="1763"/>
      <c r="G285" s="1763"/>
      <c r="H285" s="1764"/>
      <c r="I285" s="753"/>
      <c r="J285" s="753">
        <f>SUM(J283:J284)</f>
        <v>0</v>
      </c>
      <c r="K285" s="753">
        <f>SUM(K283:K284)</f>
        <v>0</v>
      </c>
      <c r="L285" s="731"/>
      <c r="O285" s="753">
        <f>SUM(O283:O284)</f>
        <v>0</v>
      </c>
    </row>
    <row r="286" spans="1:15" ht="15.95" hidden="1" customHeight="1"/>
    <row r="287" spans="1:15" ht="15.95" hidden="1" customHeight="1">
      <c r="B287" s="1891" t="s">
        <v>845</v>
      </c>
      <c r="C287" s="1892"/>
      <c r="D287" s="1892"/>
      <c r="E287" s="1892"/>
      <c r="F287" s="1892"/>
      <c r="G287" s="1892"/>
      <c r="H287" s="1893"/>
      <c r="I287" s="764">
        <f>K280+K285</f>
        <v>0</v>
      </c>
    </row>
    <row r="288" spans="1:15" ht="15.95" hidden="1" customHeight="1">
      <c r="I288" s="608"/>
      <c r="J288" s="405"/>
    </row>
    <row r="289" spans="2:12" ht="15.95" hidden="1" customHeight="1">
      <c r="I289" s="608"/>
    </row>
    <row r="290" spans="2:12" s="793" customFormat="1" ht="20.25" hidden="1" customHeight="1">
      <c r="B290" s="1867"/>
      <c r="C290" s="1867"/>
      <c r="D290" s="646"/>
      <c r="E290" s="737"/>
      <c r="F290" s="40"/>
      <c r="G290" s="40"/>
      <c r="H290" s="40"/>
      <c r="I290" s="40"/>
      <c r="L290" s="794"/>
    </row>
    <row r="291" spans="2:12" s="645" customFormat="1" ht="15.95" hidden="1" customHeight="1">
      <c r="B291" s="1870"/>
      <c r="C291" s="1870"/>
      <c r="D291" s="756"/>
      <c r="E291" s="633"/>
      <c r="F291" s="756"/>
      <c r="G291" s="756"/>
      <c r="H291" s="756"/>
      <c r="I291" s="40"/>
      <c r="L291" s="731"/>
    </row>
    <row r="292" spans="2:12" s="645" customFormat="1" ht="15.95" hidden="1" customHeight="1">
      <c r="B292" s="1870"/>
      <c r="C292" s="1870"/>
      <c r="D292" s="756"/>
      <c r="E292" s="633"/>
      <c r="F292" s="756"/>
      <c r="G292" s="756"/>
      <c r="H292" s="756"/>
      <c r="I292" s="40"/>
      <c r="L292" s="731"/>
    </row>
    <row r="293" spans="2:12" s="405" customFormat="1" ht="15.95" hidden="1" customHeight="1">
      <c r="C293" s="765"/>
      <c r="D293" s="766"/>
      <c r="E293" s="699"/>
      <c r="I293" s="608"/>
      <c r="L293" s="699"/>
    </row>
    <row r="294" spans="2:12" s="405" customFormat="1" ht="15.95" hidden="1" customHeight="1">
      <c r="C294" s="765"/>
      <c r="D294" s="766"/>
      <c r="E294" s="699"/>
      <c r="I294" s="608"/>
      <c r="L294" s="699"/>
    </row>
    <row r="295" spans="2:12" ht="27" hidden="1" customHeight="1">
      <c r="B295" s="619" t="s">
        <v>7</v>
      </c>
      <c r="C295" s="696" t="s">
        <v>207</v>
      </c>
      <c r="D295" s="619" t="s">
        <v>841</v>
      </c>
    </row>
    <row r="296" spans="2:12" ht="15.95" hidden="1" customHeight="1">
      <c r="B296" s="769" t="s">
        <v>2758</v>
      </c>
      <c r="C296" s="770"/>
      <c r="D296" s="708">
        <f>C296*($J$266+$J$280)</f>
        <v>0</v>
      </c>
    </row>
    <row r="297" spans="2:12" ht="15.95" hidden="1" customHeight="1">
      <c r="B297" s="769" t="s">
        <v>3213</v>
      </c>
      <c r="C297" s="709">
        <v>1</v>
      </c>
      <c r="D297" s="708">
        <f>C297*$J$285</f>
        <v>0</v>
      </c>
    </row>
    <row r="298" spans="2:12" ht="15.95" hidden="1" customHeight="1">
      <c r="B298" s="771" t="s">
        <v>224</v>
      </c>
      <c r="C298" s="772"/>
      <c r="D298" s="772">
        <f>SUM(D296:D297)</f>
        <v>0</v>
      </c>
    </row>
    <row r="299" spans="2:12" ht="15.95" hidden="1" customHeight="1">
      <c r="B299" s="769" t="s">
        <v>847</v>
      </c>
      <c r="C299" s="709">
        <v>1</v>
      </c>
      <c r="D299" s="708">
        <f>C299*($J$266+$J$280)</f>
        <v>0</v>
      </c>
    </row>
    <row r="300" spans="2:12" ht="15.95" hidden="1" customHeight="1">
      <c r="B300" s="769" t="s">
        <v>3214</v>
      </c>
      <c r="C300" s="709">
        <v>1</v>
      </c>
      <c r="D300" s="708">
        <f>C300*$J$285</f>
        <v>0</v>
      </c>
    </row>
    <row r="301" spans="2:12" ht="15.95" hidden="1" customHeight="1">
      <c r="B301" s="771" t="s">
        <v>208</v>
      </c>
      <c r="C301" s="772"/>
      <c r="D301" s="772">
        <f>SUM(D299:D300)</f>
        <v>0</v>
      </c>
    </row>
    <row r="302" spans="2:12" ht="15.95" hidden="1" customHeight="1"/>
    <row r="303" spans="2:12" ht="15.95" hidden="1" customHeight="1">
      <c r="B303" s="707" t="s">
        <v>209</v>
      </c>
      <c r="G303" s="773"/>
      <c r="H303" s="774"/>
      <c r="I303" s="730"/>
      <c r="J303" s="645"/>
    </row>
    <row r="304" spans="2:12" ht="40.5" hidden="1" customHeight="1">
      <c r="B304" s="619" t="s">
        <v>7</v>
      </c>
      <c r="C304" s="696" t="s">
        <v>207</v>
      </c>
      <c r="D304" s="619" t="s">
        <v>202</v>
      </c>
      <c r="E304" s="619" t="s">
        <v>2759</v>
      </c>
      <c r="F304" s="619" t="s">
        <v>2253</v>
      </c>
      <c r="G304" s="619" t="s">
        <v>2254</v>
      </c>
      <c r="H304" s="775"/>
      <c r="I304" s="646"/>
      <c r="J304" s="646"/>
    </row>
    <row r="305" spans="1:17" s="780" customFormat="1" ht="16.5" hidden="1" customHeight="1">
      <c r="A305" s="405"/>
      <c r="B305" s="720" t="s">
        <v>2068</v>
      </c>
      <c r="C305" s="708">
        <v>3</v>
      </c>
      <c r="D305" s="776">
        <v>4</v>
      </c>
      <c r="E305" s="777">
        <f>C305*D305</f>
        <v>12</v>
      </c>
      <c r="F305" s="778">
        <f>$J$266+$J$280+$J$285</f>
        <v>0</v>
      </c>
      <c r="G305" s="583">
        <f>E305*F305</f>
        <v>0</v>
      </c>
      <c r="H305" s="779"/>
      <c r="I305" s="757"/>
      <c r="J305" s="757"/>
      <c r="L305" s="781"/>
    </row>
    <row r="306" spans="1:17" s="780" customFormat="1" ht="16.5" hidden="1" customHeight="1">
      <c r="A306" s="405"/>
      <c r="B306" s="720" t="s">
        <v>2106</v>
      </c>
      <c r="C306" s="708">
        <v>1</v>
      </c>
      <c r="D306" s="776">
        <v>1</v>
      </c>
      <c r="E306" s="777">
        <f t="shared" ref="E306:E312" si="27">C306*D306</f>
        <v>1</v>
      </c>
      <c r="F306" s="778">
        <f>F305</f>
        <v>0</v>
      </c>
      <c r="G306" s="583">
        <f t="shared" ref="G306:G312" si="28">E306*F306</f>
        <v>0</v>
      </c>
      <c r="H306" s="779"/>
      <c r="I306" s="757"/>
      <c r="J306" s="757"/>
      <c r="L306" s="781"/>
    </row>
    <row r="307" spans="1:17" s="780" customFormat="1" ht="16.5" hidden="1" customHeight="1">
      <c r="A307" s="405"/>
      <c r="B307" s="720" t="s">
        <v>259</v>
      </c>
      <c r="C307" s="708">
        <v>2</v>
      </c>
      <c r="D307" s="776">
        <v>1</v>
      </c>
      <c r="E307" s="777">
        <f t="shared" si="27"/>
        <v>2</v>
      </c>
      <c r="F307" s="778">
        <f t="shared" ref="F307:F312" si="29">F306</f>
        <v>0</v>
      </c>
      <c r="G307" s="583">
        <f t="shared" si="28"/>
        <v>0</v>
      </c>
      <c r="H307" s="779"/>
      <c r="I307" s="757"/>
      <c r="J307" s="782"/>
      <c r="L307" s="781"/>
    </row>
    <row r="308" spans="1:17" s="780" customFormat="1" ht="16.5" hidden="1" customHeight="1">
      <c r="A308" s="405"/>
      <c r="B308" s="720" t="s">
        <v>225</v>
      </c>
      <c r="C308" s="708">
        <v>2</v>
      </c>
      <c r="D308" s="776">
        <v>1</v>
      </c>
      <c r="E308" s="777">
        <f t="shared" si="27"/>
        <v>2</v>
      </c>
      <c r="F308" s="778">
        <f t="shared" si="29"/>
        <v>0</v>
      </c>
      <c r="G308" s="583">
        <f t="shared" si="28"/>
        <v>0</v>
      </c>
      <c r="H308" s="779"/>
      <c r="I308" s="757"/>
      <c r="J308" s="757"/>
      <c r="L308" s="781"/>
    </row>
    <row r="309" spans="1:17" s="780" customFormat="1" ht="16.5" hidden="1" customHeight="1">
      <c r="A309" s="405"/>
      <c r="B309" s="720" t="s">
        <v>227</v>
      </c>
      <c r="C309" s="708">
        <v>2</v>
      </c>
      <c r="D309" s="776">
        <v>3</v>
      </c>
      <c r="E309" s="777">
        <f t="shared" si="27"/>
        <v>6</v>
      </c>
      <c r="F309" s="778">
        <f t="shared" si="29"/>
        <v>0</v>
      </c>
      <c r="G309" s="583">
        <f t="shared" si="28"/>
        <v>0</v>
      </c>
      <c r="H309" s="779"/>
      <c r="I309" s="757"/>
      <c r="J309" s="757"/>
      <c r="L309" s="781"/>
      <c r="Q309" s="780" t="b">
        <v>0</v>
      </c>
    </row>
    <row r="310" spans="1:17" s="780" customFormat="1" ht="16.5" hidden="1" customHeight="1">
      <c r="A310" s="405"/>
      <c r="B310" s="720" t="s">
        <v>2345</v>
      </c>
      <c r="C310" s="708">
        <v>2</v>
      </c>
      <c r="D310" s="776">
        <v>2</v>
      </c>
      <c r="E310" s="777">
        <f t="shared" si="27"/>
        <v>4</v>
      </c>
      <c r="F310" s="778">
        <f t="shared" si="29"/>
        <v>0</v>
      </c>
      <c r="G310" s="583">
        <f t="shared" si="28"/>
        <v>0</v>
      </c>
      <c r="H310" s="779"/>
      <c r="I310" s="757"/>
      <c r="J310" s="782"/>
      <c r="L310" s="781"/>
    </row>
    <row r="311" spans="1:17" s="780" customFormat="1" ht="16.5" hidden="1" customHeight="1">
      <c r="A311" s="405"/>
      <c r="B311" s="720" t="s">
        <v>687</v>
      </c>
      <c r="C311" s="708">
        <v>1</v>
      </c>
      <c r="D311" s="776">
        <v>3</v>
      </c>
      <c r="E311" s="777">
        <f t="shared" si="27"/>
        <v>3</v>
      </c>
      <c r="F311" s="778">
        <f t="shared" si="29"/>
        <v>0</v>
      </c>
      <c r="G311" s="583">
        <f t="shared" si="28"/>
        <v>0</v>
      </c>
      <c r="H311" s="779"/>
      <c r="I311" s="757"/>
      <c r="J311" s="782"/>
      <c r="L311" s="781"/>
    </row>
    <row r="312" spans="1:17" s="780" customFormat="1" ht="16.5" hidden="1" customHeight="1">
      <c r="A312" s="405"/>
      <c r="B312" s="720" t="s">
        <v>2048</v>
      </c>
      <c r="C312" s="708">
        <v>1</v>
      </c>
      <c r="D312" s="776">
        <v>1</v>
      </c>
      <c r="E312" s="777">
        <f t="shared" si="27"/>
        <v>1</v>
      </c>
      <c r="F312" s="778">
        <f t="shared" si="29"/>
        <v>0</v>
      </c>
      <c r="G312" s="583">
        <f t="shared" si="28"/>
        <v>0</v>
      </c>
      <c r="H312" s="779"/>
      <c r="I312" s="757"/>
      <c r="J312" s="782"/>
      <c r="L312" s="781"/>
    </row>
    <row r="313" spans="1:17" s="780" customFormat="1" ht="15.95" hidden="1" customHeight="1">
      <c r="A313" s="405"/>
      <c r="E313" s="757"/>
      <c r="F313" s="404"/>
      <c r="G313" s="645"/>
      <c r="H313" s="645"/>
      <c r="I313" s="645"/>
      <c r="J313" s="645"/>
      <c r="L313" s="781"/>
    </row>
    <row r="314" spans="1:17" ht="15.95" hidden="1" customHeight="1">
      <c r="B314" s="707" t="s">
        <v>2761</v>
      </c>
    </row>
    <row r="315" spans="1:17" ht="15.95" hidden="1" customHeight="1">
      <c r="B315" s="742" t="s">
        <v>840</v>
      </c>
      <c r="C315" s="782"/>
      <c r="D315" s="737"/>
    </row>
    <row r="316" spans="1:17" ht="40.5" hidden="1" customHeight="1">
      <c r="B316" s="619" t="s">
        <v>7</v>
      </c>
      <c r="C316" s="696" t="s">
        <v>237</v>
      </c>
      <c r="D316" s="619" t="s">
        <v>202</v>
      </c>
      <c r="E316" s="619" t="s">
        <v>2282</v>
      </c>
      <c r="F316" s="619" t="s">
        <v>2253</v>
      </c>
      <c r="G316" s="619" t="s">
        <v>2254</v>
      </c>
    </row>
    <row r="317" spans="1:17" ht="15.95" hidden="1" customHeight="1">
      <c r="B317" s="720" t="s">
        <v>2114</v>
      </c>
      <c r="C317" s="728">
        <v>1</v>
      </c>
      <c r="D317" s="708">
        <v>2</v>
      </c>
      <c r="E317" s="596">
        <f>C317*D317</f>
        <v>2</v>
      </c>
      <c r="F317" s="708">
        <f>D298</f>
        <v>0</v>
      </c>
      <c r="G317" s="746">
        <f>E317*F317</f>
        <v>0</v>
      </c>
      <c r="H317" s="780"/>
    </row>
    <row r="318" spans="1:17" ht="15.95" hidden="1" customHeight="1">
      <c r="B318" s="720" t="s">
        <v>2115</v>
      </c>
      <c r="C318" s="721">
        <v>1</v>
      </c>
      <c r="D318" s="708">
        <v>2</v>
      </c>
      <c r="E318" s="596">
        <f t="shared" ref="E318:E329" si="30">C318*D318</f>
        <v>2</v>
      </c>
      <c r="F318" s="708">
        <f>F317</f>
        <v>0</v>
      </c>
      <c r="G318" s="746">
        <f t="shared" ref="G318:G329" si="31">E318*F318</f>
        <v>0</v>
      </c>
      <c r="H318" s="780"/>
    </row>
    <row r="319" spans="1:17" ht="15.95" hidden="1" customHeight="1">
      <c r="B319" s="720" t="s">
        <v>229</v>
      </c>
      <c r="C319" s="721">
        <v>1</v>
      </c>
      <c r="D319" s="708">
        <v>3</v>
      </c>
      <c r="E319" s="596">
        <f t="shared" si="30"/>
        <v>3</v>
      </c>
      <c r="F319" s="708">
        <f t="shared" ref="F319:F329" si="32">F318</f>
        <v>0</v>
      </c>
      <c r="G319" s="746">
        <f t="shared" si="31"/>
        <v>0</v>
      </c>
      <c r="H319" s="780"/>
    </row>
    <row r="320" spans="1:17" ht="15.95" hidden="1" customHeight="1">
      <c r="B320" s="720" t="s">
        <v>2089</v>
      </c>
      <c r="C320" s="721">
        <v>2</v>
      </c>
      <c r="D320" s="708">
        <v>2</v>
      </c>
      <c r="E320" s="596">
        <f t="shared" si="30"/>
        <v>4</v>
      </c>
      <c r="F320" s="708">
        <f t="shared" si="32"/>
        <v>0</v>
      </c>
      <c r="G320" s="746">
        <f t="shared" si="31"/>
        <v>0</v>
      </c>
      <c r="H320" s="780"/>
    </row>
    <row r="321" spans="1:12" ht="15.95" hidden="1" customHeight="1">
      <c r="B321" s="720" t="s">
        <v>230</v>
      </c>
      <c r="C321" s="721">
        <v>1</v>
      </c>
      <c r="D321" s="708">
        <v>2</v>
      </c>
      <c r="E321" s="596">
        <f t="shared" si="30"/>
        <v>2</v>
      </c>
      <c r="F321" s="708">
        <f t="shared" si="32"/>
        <v>0</v>
      </c>
      <c r="G321" s="746">
        <f t="shared" si="31"/>
        <v>0</v>
      </c>
      <c r="H321" s="780"/>
    </row>
    <row r="322" spans="1:12" s="607" customFormat="1" ht="15.95" hidden="1" customHeight="1">
      <c r="A322" s="618"/>
      <c r="B322" s="720" t="s">
        <v>268</v>
      </c>
      <c r="C322" s="721">
        <v>1</v>
      </c>
      <c r="D322" s="708">
        <v>1</v>
      </c>
      <c r="E322" s="596">
        <f t="shared" si="30"/>
        <v>1</v>
      </c>
      <c r="F322" s="708">
        <f t="shared" si="32"/>
        <v>0</v>
      </c>
      <c r="G322" s="746">
        <f t="shared" si="31"/>
        <v>0</v>
      </c>
      <c r="H322" s="780"/>
      <c r="L322" s="606"/>
    </row>
    <row r="323" spans="1:12" s="607" customFormat="1" ht="15.95" hidden="1" customHeight="1">
      <c r="A323" s="618"/>
      <c r="B323" s="720" t="s">
        <v>231</v>
      </c>
      <c r="C323" s="721">
        <v>1</v>
      </c>
      <c r="D323" s="708">
        <v>2</v>
      </c>
      <c r="E323" s="596">
        <f t="shared" si="30"/>
        <v>2</v>
      </c>
      <c r="F323" s="708">
        <f t="shared" si="32"/>
        <v>0</v>
      </c>
      <c r="G323" s="746">
        <f t="shared" si="31"/>
        <v>0</v>
      </c>
      <c r="H323" s="780"/>
      <c r="L323" s="606"/>
    </row>
    <row r="324" spans="1:12" s="607" customFormat="1" ht="15.95" hidden="1" customHeight="1">
      <c r="A324" s="618"/>
      <c r="B324" s="720" t="s">
        <v>2070</v>
      </c>
      <c r="C324" s="721">
        <v>1</v>
      </c>
      <c r="D324" s="708">
        <v>6</v>
      </c>
      <c r="E324" s="596">
        <f t="shared" si="30"/>
        <v>6</v>
      </c>
      <c r="F324" s="708">
        <f t="shared" si="32"/>
        <v>0</v>
      </c>
      <c r="G324" s="746">
        <f t="shared" si="31"/>
        <v>0</v>
      </c>
      <c r="H324" s="780"/>
      <c r="L324" s="606"/>
    </row>
    <row r="325" spans="1:12" s="607" customFormat="1" ht="15.95" hidden="1" customHeight="1">
      <c r="A325" s="618"/>
      <c r="B325" s="720" t="s">
        <v>232</v>
      </c>
      <c r="C325" s="721">
        <v>1</v>
      </c>
      <c r="D325" s="708">
        <v>3</v>
      </c>
      <c r="E325" s="596">
        <f t="shared" si="30"/>
        <v>3</v>
      </c>
      <c r="F325" s="708">
        <f t="shared" si="32"/>
        <v>0</v>
      </c>
      <c r="G325" s="746">
        <f t="shared" si="31"/>
        <v>0</v>
      </c>
      <c r="H325" s="780"/>
      <c r="L325" s="606"/>
    </row>
    <row r="326" spans="1:12" s="607" customFormat="1" ht="15.95" hidden="1" customHeight="1">
      <c r="A326" s="618"/>
      <c r="B326" s="720" t="s">
        <v>233</v>
      </c>
      <c r="C326" s="721">
        <v>1</v>
      </c>
      <c r="D326" s="708">
        <v>6</v>
      </c>
      <c r="E326" s="596">
        <f t="shared" si="30"/>
        <v>6</v>
      </c>
      <c r="F326" s="708">
        <f t="shared" si="32"/>
        <v>0</v>
      </c>
      <c r="G326" s="746">
        <f t="shared" si="31"/>
        <v>0</v>
      </c>
      <c r="H326" s="780"/>
      <c r="L326" s="606"/>
    </row>
    <row r="327" spans="1:12" s="607" customFormat="1" ht="15.95" hidden="1" customHeight="1">
      <c r="A327" s="618"/>
      <c r="B327" s="720" t="s">
        <v>689</v>
      </c>
      <c r="C327" s="721">
        <v>1</v>
      </c>
      <c r="D327" s="708">
        <v>2</v>
      </c>
      <c r="E327" s="596">
        <f t="shared" si="30"/>
        <v>2</v>
      </c>
      <c r="F327" s="708">
        <f t="shared" si="32"/>
        <v>0</v>
      </c>
      <c r="G327" s="746">
        <f t="shared" si="31"/>
        <v>0</v>
      </c>
      <c r="H327" s="780"/>
      <c r="L327" s="606"/>
    </row>
    <row r="328" spans="1:12" s="607" customFormat="1" ht="15.95" hidden="1" customHeight="1">
      <c r="A328" s="618"/>
      <c r="B328" s="720" t="s">
        <v>234</v>
      </c>
      <c r="C328" s="721">
        <v>1</v>
      </c>
      <c r="D328" s="708">
        <v>3</v>
      </c>
      <c r="E328" s="596">
        <f t="shared" si="30"/>
        <v>3</v>
      </c>
      <c r="F328" s="708">
        <f t="shared" si="32"/>
        <v>0</v>
      </c>
      <c r="G328" s="746">
        <f t="shared" si="31"/>
        <v>0</v>
      </c>
      <c r="H328" s="780"/>
      <c r="L328" s="606"/>
    </row>
    <row r="329" spans="1:12" s="607" customFormat="1" ht="15.95" hidden="1" customHeight="1">
      <c r="A329" s="618"/>
      <c r="B329" s="720" t="s">
        <v>235</v>
      </c>
      <c r="C329" s="721">
        <v>1</v>
      </c>
      <c r="D329" s="708">
        <v>1</v>
      </c>
      <c r="E329" s="596">
        <f t="shared" si="30"/>
        <v>1</v>
      </c>
      <c r="F329" s="708">
        <f t="shared" si="32"/>
        <v>0</v>
      </c>
      <c r="G329" s="746">
        <f t="shared" si="31"/>
        <v>0</v>
      </c>
      <c r="H329" s="780"/>
      <c r="L329" s="606"/>
    </row>
    <row r="330" spans="1:12" s="607" customFormat="1" ht="15.95" hidden="1" customHeight="1">
      <c r="A330" s="618"/>
      <c r="B330" s="780"/>
      <c r="C330" s="786"/>
      <c r="D330" s="730"/>
      <c r="E330" s="731"/>
      <c r="F330" s="780"/>
      <c r="G330" s="780"/>
      <c r="H330" s="780"/>
      <c r="L330" s="606"/>
    </row>
    <row r="331" spans="1:12" s="607" customFormat="1" ht="15.95" hidden="1" customHeight="1">
      <c r="A331" s="618"/>
      <c r="B331" s="742" t="s">
        <v>839</v>
      </c>
      <c r="C331" s="786"/>
      <c r="D331" s="787"/>
      <c r="E331" s="781"/>
      <c r="F331" s="780"/>
      <c r="G331" s="780"/>
      <c r="H331" s="780"/>
      <c r="L331" s="606"/>
    </row>
    <row r="332" spans="1:12" s="607" customFormat="1" ht="42" hidden="1" customHeight="1">
      <c r="A332" s="618"/>
      <c r="B332" s="619" t="s">
        <v>7</v>
      </c>
      <c r="C332" s="696" t="s">
        <v>237</v>
      </c>
      <c r="D332" s="619" t="s">
        <v>202</v>
      </c>
      <c r="E332" s="619" t="s">
        <v>2282</v>
      </c>
      <c r="F332" s="619" t="s">
        <v>2253</v>
      </c>
      <c r="G332" s="619" t="s">
        <v>2254</v>
      </c>
      <c r="H332" s="404"/>
      <c r="L332" s="606"/>
    </row>
    <row r="333" spans="1:12" s="607" customFormat="1" ht="15.95" hidden="1" customHeight="1">
      <c r="A333" s="618"/>
      <c r="B333" s="720" t="s">
        <v>2114</v>
      </c>
      <c r="C333" s="708">
        <v>1</v>
      </c>
      <c r="D333" s="709">
        <v>6</v>
      </c>
      <c r="E333" s="596">
        <f>C333*D333</f>
        <v>6</v>
      </c>
      <c r="F333" s="708">
        <f>D301</f>
        <v>0</v>
      </c>
      <c r="G333" s="746">
        <f>E333*F333</f>
        <v>0</v>
      </c>
      <c r="H333" s="780"/>
      <c r="L333" s="606"/>
    </row>
    <row r="334" spans="1:12" s="607" customFormat="1" ht="15.95" hidden="1" customHeight="1">
      <c r="A334" s="618"/>
      <c r="B334" s="720" t="s">
        <v>2117</v>
      </c>
      <c r="C334" s="708">
        <v>1</v>
      </c>
      <c r="D334" s="709">
        <v>2</v>
      </c>
      <c r="E334" s="596">
        <f>C334*D334</f>
        <v>2</v>
      </c>
      <c r="F334" s="708">
        <f>F333</f>
        <v>0</v>
      </c>
      <c r="G334" s="746">
        <f>E334*F334</f>
        <v>0</v>
      </c>
      <c r="H334" s="780"/>
      <c r="L334" s="606"/>
    </row>
    <row r="335" spans="1:12" s="607" customFormat="1" ht="15.95" hidden="1" customHeight="1">
      <c r="A335" s="618"/>
      <c r="B335" s="720" t="s">
        <v>218</v>
      </c>
      <c r="C335" s="708">
        <v>1</v>
      </c>
      <c r="D335" s="709">
        <v>2</v>
      </c>
      <c r="E335" s="596">
        <f>C335*D335</f>
        <v>2</v>
      </c>
      <c r="F335" s="708">
        <f>F334</f>
        <v>0</v>
      </c>
      <c r="G335" s="746">
        <f>E335*F335</f>
        <v>0</v>
      </c>
      <c r="H335" s="780"/>
      <c r="L335" s="606"/>
    </row>
    <row r="336" spans="1:12" s="607" customFormat="1" ht="15.95" hidden="1" customHeight="1">
      <c r="A336" s="618"/>
      <c r="B336" s="720" t="s">
        <v>219</v>
      </c>
      <c r="C336" s="708">
        <v>1</v>
      </c>
      <c r="D336" s="709">
        <v>3</v>
      </c>
      <c r="E336" s="596">
        <f>C336*D336</f>
        <v>3</v>
      </c>
      <c r="F336" s="708">
        <f>F335</f>
        <v>0</v>
      </c>
      <c r="G336" s="746">
        <f>E336*F336</f>
        <v>0</v>
      </c>
      <c r="H336" s="780"/>
      <c r="L336" s="606"/>
    </row>
    <row r="337" spans="1:12" ht="15.95" hidden="1" customHeight="1">
      <c r="B337" s="720" t="s">
        <v>2762</v>
      </c>
      <c r="C337" s="708">
        <v>1</v>
      </c>
      <c r="D337" s="709">
        <v>2</v>
      </c>
      <c r="E337" s="596">
        <f>C337*D337</f>
        <v>2</v>
      </c>
      <c r="F337" s="708">
        <f>F336</f>
        <v>0</v>
      </c>
      <c r="G337" s="746">
        <f>E337*F337</f>
        <v>0</v>
      </c>
      <c r="H337" s="780"/>
    </row>
    <row r="338" spans="1:12" ht="15.95" hidden="1" customHeight="1">
      <c r="B338" s="783"/>
      <c r="C338" s="785"/>
      <c r="D338" s="779"/>
      <c r="E338" s="756"/>
      <c r="F338" s="780"/>
      <c r="G338" s="780"/>
      <c r="H338" s="780"/>
    </row>
    <row r="339" spans="1:12" s="607" customFormat="1" ht="21.75" customHeight="1">
      <c r="A339" s="618"/>
      <c r="B339" s="1872" t="str">
        <f>FICHA!B261</f>
        <v>Adecuada valorización de los residuos sólidos</v>
      </c>
      <c r="C339" s="1872"/>
      <c r="D339" s="1872"/>
      <c r="E339" s="1872"/>
      <c r="F339" s="1872"/>
      <c r="G339" s="1872"/>
      <c r="H339" s="1872"/>
      <c r="I339" s="1872"/>
      <c r="J339" s="1872"/>
      <c r="K339" s="1872"/>
      <c r="L339" s="606"/>
    </row>
    <row r="340" spans="1:12" s="607" customFormat="1" ht="17.25" customHeight="1">
      <c r="A340" s="618"/>
      <c r="B340" s="404"/>
      <c r="C340" s="688"/>
      <c r="D340" s="689"/>
      <c r="E340" s="687"/>
      <c r="F340" s="404"/>
      <c r="G340" s="404"/>
      <c r="H340" s="404"/>
      <c r="L340" s="606"/>
    </row>
    <row r="341" spans="1:12" s="795" customFormat="1" ht="17.25" customHeight="1">
      <c r="A341" s="639"/>
      <c r="B341" s="707" t="s">
        <v>849</v>
      </c>
      <c r="C341" s="707"/>
      <c r="D341" s="707"/>
      <c r="E341" s="707"/>
      <c r="I341" s="707" t="s">
        <v>848</v>
      </c>
      <c r="J341" s="707"/>
      <c r="K341" s="707"/>
    </row>
    <row r="342" spans="1:12" s="795" customFormat="1" ht="17.25" customHeight="1">
      <c r="A342" s="639"/>
    </row>
    <row r="343" spans="1:12" s="607" customFormat="1" ht="17.25" customHeight="1">
      <c r="A343" s="618"/>
      <c r="B343" s="853" t="s">
        <v>608</v>
      </c>
      <c r="C343" s="1858" t="s">
        <v>72</v>
      </c>
      <c r="D343" s="1858"/>
      <c r="E343" s="1858"/>
      <c r="F343" s="404"/>
      <c r="I343" s="853" t="s">
        <v>608</v>
      </c>
      <c r="J343" s="1852" t="s">
        <v>2140</v>
      </c>
      <c r="K343" s="1853"/>
      <c r="L343" s="1854"/>
    </row>
    <row r="344" spans="1:12" s="607" customFormat="1" ht="30.75" customHeight="1">
      <c r="A344" s="618"/>
      <c r="B344" s="541" t="s">
        <v>2143</v>
      </c>
      <c r="C344" s="1871"/>
      <c r="D344" s="1871"/>
      <c r="E344" s="1871"/>
      <c r="F344" s="404"/>
      <c r="I344" s="571" t="s">
        <v>2763</v>
      </c>
      <c r="J344" s="1878"/>
      <c r="K344" s="1879"/>
      <c r="L344" s="1880"/>
    </row>
    <row r="345" spans="1:12" s="797" customFormat="1" ht="31.5" customHeight="1">
      <c r="A345" s="796"/>
      <c r="B345" s="541" t="s">
        <v>2142</v>
      </c>
      <c r="C345" s="1859"/>
      <c r="D345" s="1859"/>
      <c r="E345" s="1859"/>
      <c r="F345" s="390"/>
      <c r="I345" s="541" t="s">
        <v>2141</v>
      </c>
      <c r="J345" s="1881"/>
      <c r="K345" s="1882"/>
      <c r="L345" s="1883"/>
    </row>
    <row r="346" spans="1:12" s="607" customFormat="1" ht="17.25" customHeight="1">
      <c r="A346" s="618"/>
      <c r="B346" s="571" t="s">
        <v>2764</v>
      </c>
      <c r="C346" s="1860"/>
      <c r="D346" s="1860"/>
      <c r="E346" s="1860"/>
      <c r="F346" s="404"/>
      <c r="I346" s="571" t="s">
        <v>2765</v>
      </c>
      <c r="J346" s="1862"/>
      <c r="K346" s="1863"/>
      <c r="L346" s="1864"/>
    </row>
    <row r="347" spans="1:12" s="738" customFormat="1" ht="17.25" customHeight="1">
      <c r="A347" s="633"/>
      <c r="B347" s="798" t="s">
        <v>2766</v>
      </c>
      <c r="C347" s="1861">
        <f>(C345+C344)*C346</f>
        <v>0</v>
      </c>
      <c r="D347" s="1861"/>
      <c r="E347" s="1861"/>
      <c r="F347" s="732"/>
      <c r="I347" s="798" t="s">
        <v>2767</v>
      </c>
      <c r="J347" s="1875">
        <f>(J345+J344)*J346</f>
        <v>0</v>
      </c>
      <c r="K347" s="1876"/>
      <c r="L347" s="1877"/>
    </row>
    <row r="348" spans="1:12" s="738" customFormat="1" ht="17.25" customHeight="1">
      <c r="A348" s="633"/>
      <c r="B348" s="798" t="s">
        <v>2708</v>
      </c>
      <c r="C348" s="1865" t="s">
        <v>2041</v>
      </c>
      <c r="D348" s="1865"/>
      <c r="E348" s="1865"/>
      <c r="F348" s="732"/>
      <c r="I348" s="798" t="s">
        <v>2768</v>
      </c>
      <c r="J348" s="1855" t="s">
        <v>2041</v>
      </c>
      <c r="K348" s="1856"/>
      <c r="L348" s="1857"/>
    </row>
    <row r="349" spans="1:12" s="738" customFormat="1" ht="17.25" customHeight="1">
      <c r="A349" s="633"/>
      <c r="B349" s="798" t="s">
        <v>2145</v>
      </c>
      <c r="C349" s="1865" t="s">
        <v>2129</v>
      </c>
      <c r="D349" s="1865"/>
      <c r="E349" s="1865"/>
      <c r="F349" s="732"/>
      <c r="I349" s="798" t="s">
        <v>2146</v>
      </c>
      <c r="J349" s="1855" t="s">
        <v>2129</v>
      </c>
      <c r="K349" s="1856"/>
      <c r="L349" s="1857"/>
    </row>
    <row r="350" spans="1:12" s="738" customFormat="1" ht="17.25" customHeight="1">
      <c r="A350" s="633"/>
      <c r="B350" s="798" t="s">
        <v>2144</v>
      </c>
      <c r="C350" s="1865" t="s">
        <v>2128</v>
      </c>
      <c r="D350" s="1865"/>
      <c r="E350" s="1865"/>
      <c r="F350" s="732"/>
      <c r="I350" s="798" t="s">
        <v>2147</v>
      </c>
      <c r="J350" s="1855" t="s">
        <v>2128</v>
      </c>
      <c r="K350" s="1856"/>
      <c r="L350" s="1857"/>
    </row>
    <row r="351" spans="1:12" s="738" customFormat="1" ht="17.25" customHeight="1">
      <c r="A351" s="633"/>
      <c r="B351" s="799"/>
      <c r="C351" s="800"/>
      <c r="D351" s="800"/>
      <c r="E351" s="800"/>
      <c r="F351" s="732"/>
      <c r="I351" s="799"/>
      <c r="J351" s="800"/>
      <c r="K351" s="800"/>
      <c r="L351" s="800"/>
    </row>
    <row r="352" spans="1:12" s="738" customFormat="1" ht="17.25" customHeight="1">
      <c r="A352" s="633"/>
      <c r="C352" s="725"/>
      <c r="D352" s="726"/>
      <c r="E352" s="727"/>
      <c r="F352" s="732"/>
      <c r="I352" s="727"/>
      <c r="J352" s="727"/>
      <c r="K352" s="727"/>
      <c r="L352" s="727"/>
    </row>
    <row r="353" spans="1:12" s="607" customFormat="1" ht="17.25" customHeight="1">
      <c r="A353" s="618"/>
      <c r="B353" s="595" t="s">
        <v>2042</v>
      </c>
      <c r="C353" s="1869"/>
      <c r="D353" s="1869"/>
      <c r="E353" s="1869"/>
      <c r="F353" s="404"/>
      <c r="I353" s="595" t="s">
        <v>2042</v>
      </c>
      <c r="J353" s="1869"/>
      <c r="K353" s="1869"/>
      <c r="L353" s="1869"/>
    </row>
    <row r="354" spans="1:12" s="607" customFormat="1" ht="17.25" customHeight="1">
      <c r="A354" s="618"/>
      <c r="B354" s="404"/>
      <c r="C354" s="689"/>
      <c r="D354" s="689"/>
      <c r="E354" s="687"/>
      <c r="F354" s="404"/>
      <c r="G354" s="687"/>
      <c r="H354" s="687"/>
      <c r="I354" s="687"/>
      <c r="J354" s="687"/>
      <c r="K354" s="687"/>
      <c r="L354" s="606"/>
    </row>
    <row r="355" spans="1:12" s="607" customFormat="1" ht="17.25" customHeight="1">
      <c r="A355" s="618"/>
      <c r="B355" s="738"/>
      <c r="C355" s="725"/>
      <c r="D355" s="689"/>
      <c r="E355" s="687"/>
      <c r="F355" s="404"/>
      <c r="G355" s="687"/>
      <c r="H355" s="687"/>
      <c r="I355" s="687"/>
      <c r="J355" s="687"/>
      <c r="K355" s="687"/>
      <c r="L355" s="606"/>
    </row>
    <row r="356" spans="1:12" ht="15.95" customHeight="1">
      <c r="B356" s="768" t="s">
        <v>206</v>
      </c>
      <c r="C356" s="404"/>
      <c r="D356" s="404"/>
      <c r="I356" s="768" t="s">
        <v>206</v>
      </c>
    </row>
    <row r="357" spans="1:12" ht="27" customHeight="1">
      <c r="B357" s="619" t="s">
        <v>7</v>
      </c>
      <c r="C357" s="696" t="s">
        <v>2040</v>
      </c>
      <c r="D357" s="619" t="s">
        <v>841</v>
      </c>
      <c r="I357" s="619" t="s">
        <v>7</v>
      </c>
      <c r="J357" s="696" t="s">
        <v>2040</v>
      </c>
      <c r="K357" s="619" t="s">
        <v>841</v>
      </c>
    </row>
    <row r="358" spans="1:12" ht="21.75" customHeight="1">
      <c r="B358" s="769" t="s">
        <v>2769</v>
      </c>
      <c r="C358" s="801"/>
      <c r="D358" s="708">
        <f>C358</f>
        <v>0</v>
      </c>
      <c r="I358" s="769" t="s">
        <v>2770</v>
      </c>
      <c r="J358" s="801"/>
      <c r="K358" s="708">
        <f>J358</f>
        <v>0</v>
      </c>
    </row>
    <row r="359" spans="1:12" ht="21.75" customHeight="1">
      <c r="B359" s="597" t="str">
        <f>IF(C353="","",IF(C353="SEMIMECANIZADO","Maquinista",IF(C353="MECANIZADO","Maniquista",IF(C353="MANUAL",""))))</f>
        <v/>
      </c>
      <c r="C359" s="770"/>
      <c r="D359" s="708">
        <f>C359</f>
        <v>0</v>
      </c>
      <c r="I359" s="597" t="str">
        <f>IF(J353="","",IF(J353="SEMIMECANIZADO","Maquinista",IF(J353="MECANIZADO","Maniquista",IF(J353="MANUAL",""))))</f>
        <v/>
      </c>
      <c r="J359" s="770"/>
      <c r="K359" s="708">
        <f>J359</f>
        <v>0</v>
      </c>
    </row>
    <row r="360" spans="1:12" ht="15.95" customHeight="1">
      <c r="B360" s="802"/>
      <c r="C360" s="785"/>
      <c r="D360" s="785"/>
      <c r="I360" s="802"/>
      <c r="J360" s="785"/>
      <c r="K360" s="785"/>
    </row>
    <row r="361" spans="1:12" ht="15">
      <c r="B361" s="707" t="s">
        <v>820</v>
      </c>
      <c r="I361" s="707" t="s">
        <v>820</v>
      </c>
    </row>
    <row r="362" spans="1:12" ht="15">
      <c r="B362" s="707"/>
      <c r="I362" s="707"/>
    </row>
    <row r="363" spans="1:12" ht="15.95" customHeight="1">
      <c r="B363" s="606"/>
      <c r="C363" s="803"/>
      <c r="D363" s="609"/>
      <c r="E363" s="606"/>
      <c r="F363" s="606"/>
      <c r="I363" s="798" t="s">
        <v>2054</v>
      </c>
      <c r="J363" s="703" t="s">
        <v>2708</v>
      </c>
      <c r="K363" s="785"/>
      <c r="L363" s="757"/>
    </row>
    <row r="364" spans="1:12" ht="15">
      <c r="B364" s="707"/>
      <c r="I364" s="707"/>
    </row>
    <row r="365" spans="1:12" s="780" customFormat="1" ht="29.25" customHeight="1">
      <c r="A365" s="405"/>
      <c r="B365" s="619" t="s">
        <v>7</v>
      </c>
      <c r="C365" s="696" t="s">
        <v>4</v>
      </c>
      <c r="D365" s="619" t="s">
        <v>202</v>
      </c>
      <c r="E365" s="619" t="s">
        <v>807</v>
      </c>
      <c r="F365" s="404"/>
      <c r="I365" s="619" t="s">
        <v>2061</v>
      </c>
      <c r="J365" s="696" t="s">
        <v>4</v>
      </c>
      <c r="K365" s="619" t="s">
        <v>202</v>
      </c>
      <c r="L365" s="619" t="s">
        <v>807</v>
      </c>
    </row>
    <row r="366" spans="1:12" s="780" customFormat="1" ht="16.5" customHeight="1">
      <c r="A366" s="405"/>
      <c r="B366" s="769" t="s">
        <v>2090</v>
      </c>
      <c r="C366" s="770"/>
      <c r="D366" s="776">
        <v>1</v>
      </c>
      <c r="E366" s="777">
        <f>C366*D366</f>
        <v>0</v>
      </c>
      <c r="F366" s="606"/>
      <c r="I366" s="769" t="s">
        <v>2090</v>
      </c>
      <c r="J366" s="770"/>
      <c r="K366" s="776">
        <v>1</v>
      </c>
      <c r="L366" s="777">
        <f>J366*K366</f>
        <v>0</v>
      </c>
    </row>
    <row r="367" spans="1:12" s="780" customFormat="1" ht="16.5" customHeight="1">
      <c r="A367" s="405"/>
      <c r="B367" s="769" t="s">
        <v>2048</v>
      </c>
      <c r="C367" s="788"/>
      <c r="D367" s="746">
        <v>1</v>
      </c>
      <c r="E367" s="777">
        <f>C367*D367</f>
        <v>0</v>
      </c>
      <c r="F367" s="606"/>
      <c r="I367" s="804" t="s">
        <v>2048</v>
      </c>
      <c r="J367" s="788"/>
      <c r="K367" s="746">
        <v>1</v>
      </c>
      <c r="L367" s="777">
        <f>J367*K367</f>
        <v>0</v>
      </c>
    </row>
    <row r="368" spans="1:12" s="780" customFormat="1" ht="16.5" customHeight="1">
      <c r="A368" s="405"/>
      <c r="B368" s="769" t="s">
        <v>267</v>
      </c>
      <c r="C368" s="801"/>
      <c r="D368" s="776">
        <v>1</v>
      </c>
      <c r="E368" s="777">
        <f>C368*D368</f>
        <v>0</v>
      </c>
      <c r="F368" s="606"/>
      <c r="I368" s="804" t="s">
        <v>2272</v>
      </c>
      <c r="J368" s="770"/>
      <c r="K368" s="746">
        <v>1</v>
      </c>
      <c r="L368" s="777">
        <f>J368*K368</f>
        <v>0</v>
      </c>
    </row>
    <row r="369" spans="1:12" ht="15.95" customHeight="1">
      <c r="B369" s="597" t="s">
        <v>688</v>
      </c>
      <c r="C369" s="801"/>
      <c r="D369" s="776">
        <v>6</v>
      </c>
      <c r="E369" s="777">
        <f>C369*D369</f>
        <v>0</v>
      </c>
      <c r="F369" s="606"/>
      <c r="I369" s="805" t="s">
        <v>2130</v>
      </c>
      <c r="J369" s="770"/>
      <c r="K369" s="708">
        <v>1</v>
      </c>
      <c r="L369" s="777">
        <f>J369*K369</f>
        <v>0</v>
      </c>
    </row>
    <row r="370" spans="1:12" ht="15.95" customHeight="1">
      <c r="B370" s="806"/>
      <c r="C370" s="785"/>
      <c r="D370" s="807"/>
      <c r="E370" s="757"/>
      <c r="F370" s="606"/>
      <c r="I370" s="805" t="s">
        <v>2771</v>
      </c>
      <c r="J370" s="770"/>
      <c r="K370" s="708">
        <v>1</v>
      </c>
      <c r="L370" s="777">
        <f>J370*K370</f>
        <v>0</v>
      </c>
    </row>
    <row r="371" spans="1:12" ht="15.95" customHeight="1">
      <c r="B371" s="806"/>
      <c r="C371" s="785"/>
      <c r="D371" s="807"/>
      <c r="E371" s="757"/>
      <c r="F371" s="606"/>
      <c r="I371" s="808"/>
      <c r="J371" s="785"/>
      <c r="K371" s="785"/>
      <c r="L371" s="757"/>
    </row>
    <row r="372" spans="1:12" ht="15.95" customHeight="1">
      <c r="B372" s="806"/>
      <c r="C372" s="785"/>
      <c r="D372" s="807"/>
      <c r="E372" s="757"/>
      <c r="F372" s="606"/>
      <c r="I372" s="808"/>
      <c r="J372" s="785"/>
      <c r="K372" s="785"/>
      <c r="L372" s="757"/>
    </row>
    <row r="373" spans="1:12" ht="15.95" customHeight="1">
      <c r="B373" s="707" t="s">
        <v>2264</v>
      </c>
      <c r="C373" s="803"/>
      <c r="D373" s="609"/>
      <c r="E373" s="606"/>
      <c r="F373" s="606"/>
      <c r="I373" s="806"/>
      <c r="J373" s="785"/>
      <c r="K373" s="785"/>
      <c r="L373" s="757"/>
    </row>
    <row r="374" spans="1:12" ht="15.95" customHeight="1">
      <c r="B374" s="606"/>
      <c r="C374" s="803"/>
      <c r="D374" s="609"/>
      <c r="E374" s="606"/>
      <c r="F374" s="606"/>
      <c r="I374" s="798" t="s">
        <v>2054</v>
      </c>
      <c r="J374" s="711" t="s">
        <v>2065</v>
      </c>
      <c r="K374" s="785"/>
      <c r="L374" s="757"/>
    </row>
    <row r="375" spans="1:12" ht="15.95" customHeight="1">
      <c r="B375" s="606"/>
      <c r="C375" s="803"/>
      <c r="D375" s="609"/>
      <c r="E375" s="606"/>
      <c r="F375" s="606"/>
      <c r="I375" s="806"/>
      <c r="J375" s="785"/>
      <c r="K375" s="785"/>
      <c r="L375" s="757"/>
    </row>
    <row r="376" spans="1:12" s="780" customFormat="1" ht="29.25" customHeight="1">
      <c r="A376" s="405"/>
      <c r="B376" s="619" t="s">
        <v>7</v>
      </c>
      <c r="C376" s="696" t="s">
        <v>4</v>
      </c>
      <c r="D376" s="619" t="s">
        <v>202</v>
      </c>
      <c r="E376" s="619" t="s">
        <v>807</v>
      </c>
      <c r="F376" s="404"/>
      <c r="I376" s="619" t="s">
        <v>2062</v>
      </c>
      <c r="J376" s="696" t="s">
        <v>4</v>
      </c>
      <c r="K376" s="619" t="s">
        <v>202</v>
      </c>
      <c r="L376" s="619" t="s">
        <v>807</v>
      </c>
    </row>
    <row r="377" spans="1:12" s="780" customFormat="1" ht="16.5" customHeight="1">
      <c r="A377" s="405"/>
      <c r="B377" s="597" t="s">
        <v>2265</v>
      </c>
      <c r="C377" s="770"/>
      <c r="D377" s="708">
        <v>1</v>
      </c>
      <c r="E377" s="777">
        <f>C377*D377</f>
        <v>0</v>
      </c>
      <c r="F377" s="606"/>
      <c r="I377" s="769" t="s">
        <v>2090</v>
      </c>
      <c r="J377" s="770"/>
      <c r="K377" s="776">
        <v>1</v>
      </c>
      <c r="L377" s="777">
        <f>J377*K377</f>
        <v>0</v>
      </c>
    </row>
    <row r="378" spans="1:12" s="780" customFormat="1" ht="16.5" customHeight="1">
      <c r="A378" s="405"/>
      <c r="B378" s="597" t="s">
        <v>2266</v>
      </c>
      <c r="C378" s="770"/>
      <c r="D378" s="708">
        <v>1</v>
      </c>
      <c r="E378" s="777">
        <f>C378*D378</f>
        <v>0</v>
      </c>
      <c r="F378" s="606"/>
      <c r="I378" s="804" t="s">
        <v>2048</v>
      </c>
      <c r="J378" s="788"/>
      <c r="K378" s="746">
        <v>1</v>
      </c>
      <c r="L378" s="777">
        <f>J378*K378</f>
        <v>0</v>
      </c>
    </row>
    <row r="379" spans="1:12" s="780" customFormat="1" ht="16.5" customHeight="1">
      <c r="A379" s="405"/>
      <c r="B379" s="597" t="s">
        <v>2267</v>
      </c>
      <c r="C379" s="770"/>
      <c r="D379" s="708">
        <v>1</v>
      </c>
      <c r="E379" s="777">
        <f>C379*D379</f>
        <v>0</v>
      </c>
      <c r="F379" s="606"/>
      <c r="I379" s="743" t="s">
        <v>2269</v>
      </c>
      <c r="J379" s="770"/>
      <c r="K379" s="746">
        <v>1</v>
      </c>
      <c r="L379" s="777">
        <f>J379*K379</f>
        <v>0</v>
      </c>
    </row>
    <row r="380" spans="1:12" ht="15.95" customHeight="1">
      <c r="F380" s="606"/>
      <c r="I380" s="804" t="s">
        <v>2772</v>
      </c>
      <c r="J380" s="770"/>
      <c r="K380" s="746">
        <v>1</v>
      </c>
      <c r="L380" s="777">
        <f>J380*K380</f>
        <v>0</v>
      </c>
    </row>
    <row r="381" spans="1:12" ht="15.95" customHeight="1">
      <c r="B381" s="707" t="s">
        <v>2108</v>
      </c>
    </row>
    <row r="382" spans="1:12" ht="31.5" customHeight="1">
      <c r="B382" s="619" t="s">
        <v>7</v>
      </c>
      <c r="C382" s="696" t="s">
        <v>237</v>
      </c>
      <c r="D382" s="619" t="s">
        <v>202</v>
      </c>
      <c r="E382" s="619" t="s">
        <v>2282</v>
      </c>
      <c r="F382" s="619" t="s">
        <v>2253</v>
      </c>
      <c r="G382" s="619" t="s">
        <v>2254</v>
      </c>
      <c r="I382" s="798" t="s">
        <v>2054</v>
      </c>
      <c r="J382" s="711" t="s">
        <v>2066</v>
      </c>
    </row>
    <row r="383" spans="1:12" ht="15.95" customHeight="1">
      <c r="B383" s="720" t="s">
        <v>251</v>
      </c>
      <c r="C383" s="708">
        <v>1</v>
      </c>
      <c r="D383" s="776">
        <v>3</v>
      </c>
      <c r="E383" s="777">
        <f>C383*D383</f>
        <v>3</v>
      </c>
      <c r="F383" s="721">
        <f>D358</f>
        <v>0</v>
      </c>
      <c r="G383" s="721">
        <f>E383*F383</f>
        <v>0</v>
      </c>
    </row>
    <row r="384" spans="1:12" s="780" customFormat="1" ht="30">
      <c r="A384" s="405"/>
      <c r="B384" s="720" t="s">
        <v>239</v>
      </c>
      <c r="C384" s="708">
        <v>1</v>
      </c>
      <c r="D384" s="776">
        <v>1</v>
      </c>
      <c r="E384" s="777">
        <f>C384*D384</f>
        <v>1</v>
      </c>
      <c r="F384" s="721">
        <f>F383</f>
        <v>0</v>
      </c>
      <c r="G384" s="721">
        <f>E384*F384</f>
        <v>0</v>
      </c>
      <c r="I384" s="619" t="s">
        <v>2063</v>
      </c>
      <c r="J384" s="696" t="s">
        <v>4</v>
      </c>
      <c r="K384" s="619" t="s">
        <v>202</v>
      </c>
      <c r="L384" s="619" t="s">
        <v>807</v>
      </c>
    </row>
    <row r="385" spans="1:14" s="780" customFormat="1" ht="16.5" customHeight="1">
      <c r="A385" s="405"/>
      <c r="B385" s="720" t="s">
        <v>240</v>
      </c>
      <c r="C385" s="708">
        <v>1</v>
      </c>
      <c r="D385" s="776">
        <v>1</v>
      </c>
      <c r="E385" s="777">
        <f>C385*D385</f>
        <v>1</v>
      </c>
      <c r="F385" s="721">
        <f>F384</f>
        <v>0</v>
      </c>
      <c r="G385" s="721">
        <f>E385*F385</f>
        <v>0</v>
      </c>
      <c r="I385" s="769" t="s">
        <v>2090</v>
      </c>
      <c r="J385" s="770"/>
      <c r="K385" s="776">
        <v>1</v>
      </c>
      <c r="L385" s="777">
        <f>J385*K385</f>
        <v>0</v>
      </c>
    </row>
    <row r="386" spans="1:14" s="780" customFormat="1" ht="16.5" customHeight="1">
      <c r="A386" s="405"/>
      <c r="B386" s="720" t="s">
        <v>241</v>
      </c>
      <c r="C386" s="708">
        <v>1</v>
      </c>
      <c r="D386" s="776">
        <v>3</v>
      </c>
      <c r="E386" s="777">
        <f>C386*D386</f>
        <v>3</v>
      </c>
      <c r="F386" s="721">
        <f>F385</f>
        <v>0</v>
      </c>
      <c r="G386" s="721">
        <f>E386*F386</f>
        <v>0</v>
      </c>
      <c r="I386" s="804" t="s">
        <v>2048</v>
      </c>
      <c r="J386" s="788"/>
      <c r="K386" s="746">
        <v>1</v>
      </c>
      <c r="L386" s="777">
        <f>J386*K386</f>
        <v>0</v>
      </c>
    </row>
    <row r="387" spans="1:14" s="780" customFormat="1" ht="16.5" customHeight="1">
      <c r="A387" s="405"/>
      <c r="B387" s="720" t="s">
        <v>2773</v>
      </c>
      <c r="C387" s="801"/>
      <c r="D387" s="776">
        <v>12</v>
      </c>
      <c r="E387" s="777">
        <f>C387*D387</f>
        <v>0</v>
      </c>
      <c r="F387" s="721">
        <f>F386</f>
        <v>0</v>
      </c>
      <c r="G387" s="721">
        <f>E387*F387</f>
        <v>0</v>
      </c>
      <c r="I387" s="743" t="s">
        <v>2126</v>
      </c>
      <c r="J387" s="770"/>
      <c r="K387" s="746">
        <v>1</v>
      </c>
      <c r="L387" s="777">
        <f>J387*K387</f>
        <v>0</v>
      </c>
    </row>
    <row r="388" spans="1:14" ht="15.95" customHeight="1">
      <c r="B388" s="783"/>
      <c r="C388" s="785"/>
      <c r="D388" s="807"/>
      <c r="E388" s="757"/>
      <c r="F388" s="606"/>
      <c r="I388" s="804" t="s">
        <v>2772</v>
      </c>
      <c r="J388" s="770"/>
      <c r="K388" s="746">
        <v>1</v>
      </c>
      <c r="L388" s="777">
        <f>J388*K388</f>
        <v>0</v>
      </c>
    </row>
    <row r="389" spans="1:14" ht="15.95" customHeight="1">
      <c r="B389" s="707" t="s">
        <v>2761</v>
      </c>
      <c r="F389" s="606"/>
      <c r="I389" s="758"/>
      <c r="J389" s="739"/>
      <c r="K389" s="739"/>
      <c r="L389" s="757"/>
    </row>
    <row r="390" spans="1:14" ht="31.5" customHeight="1">
      <c r="B390" s="619" t="s">
        <v>7</v>
      </c>
      <c r="C390" s="696" t="s">
        <v>237</v>
      </c>
      <c r="D390" s="619" t="s">
        <v>202</v>
      </c>
      <c r="E390" s="619" t="s">
        <v>2282</v>
      </c>
      <c r="F390" s="619" t="s">
        <v>2253</v>
      </c>
      <c r="G390" s="619" t="s">
        <v>2254</v>
      </c>
      <c r="I390" s="707" t="s">
        <v>2270</v>
      </c>
    </row>
    <row r="391" spans="1:14" ht="29.25" customHeight="1">
      <c r="B391" s="720" t="s">
        <v>216</v>
      </c>
      <c r="C391" s="728">
        <v>1</v>
      </c>
      <c r="D391" s="708">
        <v>2</v>
      </c>
      <c r="E391" s="596">
        <f>C391*D391</f>
        <v>2</v>
      </c>
      <c r="F391" s="721">
        <f>($D$358+$D$359)</f>
        <v>0</v>
      </c>
      <c r="G391" s="593">
        <f>E391*F391</f>
        <v>0</v>
      </c>
      <c r="I391" s="619" t="s">
        <v>2275</v>
      </c>
      <c r="J391" s="696" t="s">
        <v>4</v>
      </c>
      <c r="K391" s="619" t="s">
        <v>202</v>
      </c>
      <c r="L391" s="619" t="s">
        <v>807</v>
      </c>
    </row>
    <row r="392" spans="1:14" ht="15.95" customHeight="1">
      <c r="B392" s="720" t="s">
        <v>228</v>
      </c>
      <c r="C392" s="721">
        <v>1</v>
      </c>
      <c r="D392" s="708">
        <v>2</v>
      </c>
      <c r="E392" s="596">
        <f t="shared" ref="E392:E403" si="33">C392*D392</f>
        <v>2</v>
      </c>
      <c r="F392" s="721">
        <f t="shared" ref="F392:F403" si="34">($D$358+$D$359)</f>
        <v>0</v>
      </c>
      <c r="G392" s="593">
        <f t="shared" ref="G392:G403" si="35">E392*F392</f>
        <v>0</v>
      </c>
      <c r="I392" s="743" t="s">
        <v>2280</v>
      </c>
      <c r="J392" s="770"/>
      <c r="K392" s="593">
        <v>1</v>
      </c>
      <c r="L392" s="777">
        <f>J392*K392</f>
        <v>0</v>
      </c>
    </row>
    <row r="393" spans="1:14" ht="30" customHeight="1">
      <c r="B393" s="720" t="s">
        <v>218</v>
      </c>
      <c r="C393" s="721">
        <v>1</v>
      </c>
      <c r="D393" s="708">
        <v>3</v>
      </c>
      <c r="E393" s="596">
        <f t="shared" si="33"/>
        <v>3</v>
      </c>
      <c r="F393" s="721">
        <f t="shared" si="34"/>
        <v>0</v>
      </c>
      <c r="G393" s="593">
        <f t="shared" si="35"/>
        <v>0</v>
      </c>
      <c r="I393" s="707" t="s">
        <v>2271</v>
      </c>
      <c r="J393" s="688"/>
      <c r="K393" s="689"/>
    </row>
    <row r="394" spans="1:14" ht="54" customHeight="1">
      <c r="B394" s="720" t="s">
        <v>244</v>
      </c>
      <c r="C394" s="721">
        <v>1</v>
      </c>
      <c r="D394" s="708">
        <v>2</v>
      </c>
      <c r="E394" s="596">
        <f t="shared" si="33"/>
        <v>2</v>
      </c>
      <c r="F394" s="721">
        <f t="shared" si="34"/>
        <v>0</v>
      </c>
      <c r="G394" s="593">
        <f t="shared" si="35"/>
        <v>0</v>
      </c>
      <c r="I394" s="619" t="s">
        <v>7</v>
      </c>
      <c r="J394" s="696" t="s">
        <v>237</v>
      </c>
      <c r="K394" s="619" t="s">
        <v>202</v>
      </c>
      <c r="L394" s="619" t="s">
        <v>2282</v>
      </c>
      <c r="M394" s="619" t="s">
        <v>2253</v>
      </c>
      <c r="N394" s="619" t="s">
        <v>2254</v>
      </c>
    </row>
    <row r="395" spans="1:14" ht="18" customHeight="1">
      <c r="B395" s="720" t="s">
        <v>2118</v>
      </c>
      <c r="C395" s="721">
        <v>1</v>
      </c>
      <c r="D395" s="708">
        <v>1</v>
      </c>
      <c r="E395" s="596">
        <f t="shared" si="33"/>
        <v>1</v>
      </c>
      <c r="F395" s="721">
        <f t="shared" si="34"/>
        <v>0</v>
      </c>
      <c r="G395" s="593">
        <f t="shared" si="35"/>
        <v>0</v>
      </c>
      <c r="I395" s="720" t="s">
        <v>2046</v>
      </c>
      <c r="J395" s="708">
        <v>3</v>
      </c>
      <c r="K395" s="776">
        <v>4</v>
      </c>
      <c r="L395" s="777">
        <f>J395*K395</f>
        <v>12</v>
      </c>
      <c r="M395" s="721">
        <f>K358+K359</f>
        <v>0</v>
      </c>
      <c r="N395" s="593">
        <f>L395*M395</f>
        <v>0</v>
      </c>
    </row>
    <row r="396" spans="1:14" ht="18" customHeight="1">
      <c r="B396" s="720" t="s">
        <v>268</v>
      </c>
      <c r="C396" s="721">
        <v>1</v>
      </c>
      <c r="D396" s="708">
        <v>1</v>
      </c>
      <c r="E396" s="596">
        <f t="shared" si="33"/>
        <v>1</v>
      </c>
      <c r="F396" s="721">
        <f t="shared" si="34"/>
        <v>0</v>
      </c>
      <c r="G396" s="593">
        <f t="shared" si="35"/>
        <v>0</v>
      </c>
      <c r="I396" s="720" t="s">
        <v>2047</v>
      </c>
      <c r="J396" s="708">
        <v>2</v>
      </c>
      <c r="K396" s="776">
        <v>1</v>
      </c>
      <c r="L396" s="777">
        <f>J396*K396</f>
        <v>2</v>
      </c>
      <c r="M396" s="721">
        <f>M395</f>
        <v>0</v>
      </c>
      <c r="N396" s="593">
        <f>L396*M396</f>
        <v>0</v>
      </c>
    </row>
    <row r="397" spans="1:14" s="607" customFormat="1" ht="18" customHeight="1">
      <c r="A397" s="618"/>
      <c r="B397" s="720" t="s">
        <v>245</v>
      </c>
      <c r="C397" s="721">
        <v>1</v>
      </c>
      <c r="D397" s="708">
        <v>2</v>
      </c>
      <c r="E397" s="596">
        <f t="shared" si="33"/>
        <v>2</v>
      </c>
      <c r="F397" s="721">
        <f t="shared" si="34"/>
        <v>0</v>
      </c>
      <c r="G397" s="593">
        <f t="shared" si="35"/>
        <v>0</v>
      </c>
      <c r="I397" s="720" t="s">
        <v>2119</v>
      </c>
      <c r="J397" s="708">
        <v>1</v>
      </c>
      <c r="K397" s="776">
        <v>1</v>
      </c>
      <c r="L397" s="777">
        <f>J397*K397</f>
        <v>1</v>
      </c>
      <c r="M397" s="721">
        <f>M396</f>
        <v>0</v>
      </c>
      <c r="N397" s="593">
        <f>L397*M397</f>
        <v>0</v>
      </c>
    </row>
    <row r="398" spans="1:14" ht="18" customHeight="1">
      <c r="B398" s="720" t="s">
        <v>2091</v>
      </c>
      <c r="C398" s="721">
        <v>1</v>
      </c>
      <c r="D398" s="708">
        <v>6</v>
      </c>
      <c r="E398" s="596">
        <f t="shared" si="33"/>
        <v>6</v>
      </c>
      <c r="F398" s="721">
        <f t="shared" si="34"/>
        <v>0</v>
      </c>
      <c r="G398" s="593">
        <f t="shared" si="35"/>
        <v>0</v>
      </c>
      <c r="I398" s="720" t="s">
        <v>2109</v>
      </c>
      <c r="J398" s="801"/>
      <c r="K398" s="776">
        <v>12</v>
      </c>
      <c r="L398" s="777">
        <f>J398*K398</f>
        <v>0</v>
      </c>
      <c r="M398" s="721">
        <f>M397</f>
        <v>0</v>
      </c>
      <c r="N398" s="593">
        <f>L398*M398</f>
        <v>0</v>
      </c>
    </row>
    <row r="399" spans="1:14" ht="15.95" customHeight="1">
      <c r="B399" s="720" t="s">
        <v>2774</v>
      </c>
      <c r="C399" s="721">
        <v>1</v>
      </c>
      <c r="D399" s="708">
        <v>3</v>
      </c>
      <c r="E399" s="596">
        <f t="shared" si="33"/>
        <v>3</v>
      </c>
      <c r="F399" s="721">
        <f t="shared" si="34"/>
        <v>0</v>
      </c>
      <c r="G399" s="593">
        <f t="shared" si="35"/>
        <v>0</v>
      </c>
    </row>
    <row r="400" spans="1:14" s="607" customFormat="1" ht="15.95" customHeight="1">
      <c r="A400" s="618"/>
      <c r="B400" s="720" t="s">
        <v>2120</v>
      </c>
      <c r="C400" s="721">
        <v>1</v>
      </c>
      <c r="D400" s="708">
        <v>6</v>
      </c>
      <c r="E400" s="596">
        <f t="shared" si="33"/>
        <v>6</v>
      </c>
      <c r="F400" s="721">
        <f t="shared" si="34"/>
        <v>0</v>
      </c>
      <c r="G400" s="593">
        <f t="shared" si="35"/>
        <v>0</v>
      </c>
      <c r="I400" s="783"/>
      <c r="J400" s="785"/>
      <c r="K400" s="807"/>
      <c r="L400" s="757"/>
    </row>
    <row r="401" spans="1:14" s="607" customFormat="1" ht="32.1" customHeight="1">
      <c r="A401" s="618"/>
      <c r="B401" s="809" t="s">
        <v>689</v>
      </c>
      <c r="C401" s="721">
        <v>1</v>
      </c>
      <c r="D401" s="708">
        <v>6</v>
      </c>
      <c r="E401" s="596">
        <f t="shared" si="33"/>
        <v>6</v>
      </c>
      <c r="F401" s="721">
        <f t="shared" si="34"/>
        <v>0</v>
      </c>
      <c r="G401" s="593">
        <f t="shared" si="35"/>
        <v>0</v>
      </c>
      <c r="I401" s="707" t="s">
        <v>2775</v>
      </c>
      <c r="J401" s="688"/>
      <c r="K401" s="689"/>
      <c r="L401" s="687"/>
    </row>
    <row r="402" spans="1:14" s="607" customFormat="1" ht="48.75" customHeight="1">
      <c r="A402" s="618"/>
      <c r="B402" s="720" t="s">
        <v>2049</v>
      </c>
      <c r="C402" s="721">
        <v>1</v>
      </c>
      <c r="D402" s="708">
        <v>2</v>
      </c>
      <c r="E402" s="596">
        <f t="shared" si="33"/>
        <v>2</v>
      </c>
      <c r="F402" s="721">
        <f t="shared" si="34"/>
        <v>0</v>
      </c>
      <c r="G402" s="593">
        <f t="shared" si="35"/>
        <v>0</v>
      </c>
      <c r="I402" s="619" t="s">
        <v>7</v>
      </c>
      <c r="J402" s="696" t="s">
        <v>237</v>
      </c>
      <c r="K402" s="619" t="s">
        <v>202</v>
      </c>
      <c r="L402" s="619" t="s">
        <v>2282</v>
      </c>
      <c r="M402" s="619" t="s">
        <v>2253</v>
      </c>
      <c r="N402" s="619" t="s">
        <v>2254</v>
      </c>
    </row>
    <row r="403" spans="1:14" s="607" customFormat="1" ht="18" customHeight="1">
      <c r="A403" s="618"/>
      <c r="B403" s="720" t="s">
        <v>2050</v>
      </c>
      <c r="C403" s="721">
        <v>1</v>
      </c>
      <c r="D403" s="708">
        <v>2</v>
      </c>
      <c r="E403" s="596">
        <f t="shared" si="33"/>
        <v>2</v>
      </c>
      <c r="F403" s="721">
        <f t="shared" si="34"/>
        <v>0</v>
      </c>
      <c r="G403" s="593">
        <f t="shared" si="35"/>
        <v>0</v>
      </c>
      <c r="I403" s="720" t="s">
        <v>242</v>
      </c>
      <c r="J403" s="721">
        <v>1</v>
      </c>
      <c r="K403" s="708">
        <v>2</v>
      </c>
      <c r="L403" s="596">
        <f>J403*K403</f>
        <v>2</v>
      </c>
      <c r="M403" s="721">
        <f>$K$358+$K$359</f>
        <v>0</v>
      </c>
      <c r="N403" s="593">
        <f>L403*M403</f>
        <v>0</v>
      </c>
    </row>
    <row r="404" spans="1:14" s="607" customFormat="1" ht="18" customHeight="1">
      <c r="A404" s="618"/>
      <c r="F404" s="404"/>
      <c r="I404" s="720" t="s">
        <v>243</v>
      </c>
      <c r="J404" s="721">
        <v>1</v>
      </c>
      <c r="K404" s="708">
        <v>2</v>
      </c>
      <c r="L404" s="596">
        <f t="shared" ref="L404:L415" si="36">J404*K404</f>
        <v>2</v>
      </c>
      <c r="M404" s="721">
        <f t="shared" ref="M404:M415" si="37">$K$358+$K$359</f>
        <v>0</v>
      </c>
      <c r="N404" s="593">
        <f t="shared" ref="N404:N415" si="38">L404*M404</f>
        <v>0</v>
      </c>
    </row>
    <row r="405" spans="1:14" s="607" customFormat="1" ht="18" customHeight="1">
      <c r="A405" s="618"/>
      <c r="F405" s="404"/>
      <c r="I405" s="720" t="s">
        <v>218</v>
      </c>
      <c r="J405" s="721">
        <v>1</v>
      </c>
      <c r="K405" s="708">
        <v>3</v>
      </c>
      <c r="L405" s="596">
        <f t="shared" si="36"/>
        <v>3</v>
      </c>
      <c r="M405" s="721">
        <f t="shared" si="37"/>
        <v>0</v>
      </c>
      <c r="N405" s="593">
        <f t="shared" si="38"/>
        <v>0</v>
      </c>
    </row>
    <row r="406" spans="1:14" s="607" customFormat="1" ht="18" customHeight="1">
      <c r="A406" s="618"/>
      <c r="F406" s="404"/>
      <c r="I406" s="720" t="s">
        <v>244</v>
      </c>
      <c r="J406" s="721">
        <v>1</v>
      </c>
      <c r="K406" s="708">
        <v>2</v>
      </c>
      <c r="L406" s="596">
        <f t="shared" si="36"/>
        <v>2</v>
      </c>
      <c r="M406" s="721">
        <f t="shared" si="37"/>
        <v>0</v>
      </c>
      <c r="N406" s="593">
        <f t="shared" si="38"/>
        <v>0</v>
      </c>
    </row>
    <row r="407" spans="1:14" s="607" customFormat="1" ht="18" customHeight="1">
      <c r="A407" s="618"/>
      <c r="F407" s="404"/>
      <c r="I407" s="720" t="s">
        <v>2118</v>
      </c>
      <c r="J407" s="721">
        <v>1</v>
      </c>
      <c r="K407" s="708">
        <v>1</v>
      </c>
      <c r="L407" s="596">
        <f t="shared" si="36"/>
        <v>1</v>
      </c>
      <c r="M407" s="721">
        <f t="shared" si="37"/>
        <v>0</v>
      </c>
      <c r="N407" s="593">
        <f t="shared" si="38"/>
        <v>0</v>
      </c>
    </row>
    <row r="408" spans="1:14" s="607" customFormat="1" ht="18" customHeight="1">
      <c r="A408" s="618"/>
      <c r="F408" s="404"/>
      <c r="I408" s="720" t="s">
        <v>268</v>
      </c>
      <c r="J408" s="721">
        <v>1</v>
      </c>
      <c r="K408" s="708">
        <v>1</v>
      </c>
      <c r="L408" s="596">
        <f t="shared" si="36"/>
        <v>1</v>
      </c>
      <c r="M408" s="721">
        <f t="shared" si="37"/>
        <v>0</v>
      </c>
      <c r="N408" s="593">
        <f t="shared" si="38"/>
        <v>0</v>
      </c>
    </row>
    <row r="409" spans="1:14" s="607" customFormat="1" ht="18" customHeight="1">
      <c r="A409" s="618"/>
      <c r="F409" s="404"/>
      <c r="I409" s="720" t="s">
        <v>245</v>
      </c>
      <c r="J409" s="721">
        <v>1</v>
      </c>
      <c r="K409" s="708">
        <v>2</v>
      </c>
      <c r="L409" s="596">
        <f t="shared" si="36"/>
        <v>2</v>
      </c>
      <c r="M409" s="721">
        <f t="shared" si="37"/>
        <v>0</v>
      </c>
      <c r="N409" s="593">
        <f t="shared" si="38"/>
        <v>0</v>
      </c>
    </row>
    <row r="410" spans="1:14" s="607" customFormat="1" ht="18" customHeight="1">
      <c r="A410" s="618"/>
      <c r="F410" s="404"/>
      <c r="I410" s="720" t="s">
        <v>2091</v>
      </c>
      <c r="J410" s="721">
        <v>1</v>
      </c>
      <c r="K410" s="708">
        <v>6</v>
      </c>
      <c r="L410" s="596">
        <f t="shared" si="36"/>
        <v>6</v>
      </c>
      <c r="M410" s="721">
        <f t="shared" si="37"/>
        <v>0</v>
      </c>
      <c r="N410" s="593">
        <f t="shared" si="38"/>
        <v>0</v>
      </c>
    </row>
    <row r="411" spans="1:14" s="607" customFormat="1" ht="18" customHeight="1">
      <c r="A411" s="618"/>
      <c r="F411" s="404"/>
      <c r="I411" s="720" t="s">
        <v>2774</v>
      </c>
      <c r="J411" s="721">
        <v>1</v>
      </c>
      <c r="K411" s="708">
        <v>3</v>
      </c>
      <c r="L411" s="596">
        <f t="shared" si="36"/>
        <v>3</v>
      </c>
      <c r="M411" s="721">
        <f t="shared" si="37"/>
        <v>0</v>
      </c>
      <c r="N411" s="593">
        <f t="shared" si="38"/>
        <v>0</v>
      </c>
    </row>
    <row r="412" spans="1:14" s="607" customFormat="1" ht="18" customHeight="1">
      <c r="A412" s="618"/>
      <c r="F412" s="404"/>
      <c r="I412" s="720" t="s">
        <v>2120</v>
      </c>
      <c r="J412" s="721">
        <v>1</v>
      </c>
      <c r="K412" s="708">
        <v>6</v>
      </c>
      <c r="L412" s="596">
        <f t="shared" si="36"/>
        <v>6</v>
      </c>
      <c r="M412" s="721">
        <f t="shared" si="37"/>
        <v>0</v>
      </c>
      <c r="N412" s="593">
        <f t="shared" si="38"/>
        <v>0</v>
      </c>
    </row>
    <row r="413" spans="1:14" s="607" customFormat="1" ht="18" customHeight="1">
      <c r="A413" s="618"/>
      <c r="F413" s="404"/>
      <c r="I413" s="809" t="s">
        <v>689</v>
      </c>
      <c r="J413" s="721">
        <v>1</v>
      </c>
      <c r="K413" s="708">
        <v>6</v>
      </c>
      <c r="L413" s="596">
        <f t="shared" si="36"/>
        <v>6</v>
      </c>
      <c r="M413" s="721">
        <f t="shared" si="37"/>
        <v>0</v>
      </c>
      <c r="N413" s="593">
        <f t="shared" si="38"/>
        <v>0</v>
      </c>
    </row>
    <row r="414" spans="1:14" s="607" customFormat="1" ht="18" customHeight="1">
      <c r="A414" s="618"/>
      <c r="F414" s="404"/>
      <c r="I414" s="720" t="s">
        <v>2049</v>
      </c>
      <c r="J414" s="721">
        <v>1</v>
      </c>
      <c r="K414" s="708">
        <v>2</v>
      </c>
      <c r="L414" s="596">
        <f t="shared" si="36"/>
        <v>2</v>
      </c>
      <c r="M414" s="721">
        <f t="shared" si="37"/>
        <v>0</v>
      </c>
      <c r="N414" s="593">
        <f t="shared" si="38"/>
        <v>0</v>
      </c>
    </row>
    <row r="415" spans="1:14" s="607" customFormat="1" ht="32.1" customHeight="1">
      <c r="A415" s="618"/>
      <c r="B415" s="707"/>
      <c r="C415" s="688"/>
      <c r="D415" s="689"/>
      <c r="E415" s="687"/>
      <c r="F415" s="404"/>
      <c r="G415" s="404"/>
      <c r="H415" s="404"/>
      <c r="I415" s="720" t="s">
        <v>2050</v>
      </c>
      <c r="J415" s="721">
        <v>1</v>
      </c>
      <c r="K415" s="708">
        <v>2</v>
      </c>
      <c r="L415" s="596">
        <f t="shared" si="36"/>
        <v>2</v>
      </c>
      <c r="M415" s="721">
        <f t="shared" si="37"/>
        <v>0</v>
      </c>
      <c r="N415" s="593">
        <f t="shared" si="38"/>
        <v>0</v>
      </c>
    </row>
    <row r="416" spans="1:14" s="607" customFormat="1" ht="32.1" customHeight="1">
      <c r="A416" s="618"/>
      <c r="B416" s="707"/>
      <c r="C416" s="688"/>
      <c r="D416" s="689"/>
      <c r="E416" s="687"/>
      <c r="F416" s="404"/>
      <c r="G416" s="404"/>
      <c r="H416" s="404"/>
      <c r="I416" s="783"/>
      <c r="J416" s="784"/>
      <c r="K416" s="785"/>
      <c r="L416" s="756"/>
      <c r="M416" s="738"/>
      <c r="N416" s="738"/>
    </row>
    <row r="417" spans="1:14" s="607" customFormat="1" ht="30.75" customHeight="1">
      <c r="A417" s="618"/>
      <c r="B417" s="1874" t="str">
        <f>FICHA!C393</f>
        <v>Adecuada disposición final de los residuos sólidos</v>
      </c>
      <c r="C417" s="1874"/>
      <c r="D417" s="1874"/>
      <c r="E417" s="1874"/>
      <c r="F417" s="1874"/>
      <c r="G417" s="1874"/>
      <c r="H417" s="1874"/>
      <c r="I417" s="1874"/>
      <c r="J417" s="1874"/>
      <c r="K417" s="1874"/>
      <c r="L417" s="1874"/>
      <c r="M417" s="1874"/>
      <c r="N417" s="1874"/>
    </row>
    <row r="419" spans="1:14" s="607" customFormat="1" ht="17.25" customHeight="1">
      <c r="A419" s="618"/>
      <c r="B419" s="595" t="s">
        <v>608</v>
      </c>
      <c r="C419" s="711" t="s">
        <v>72</v>
      </c>
      <c r="D419" s="404"/>
      <c r="E419" s="404"/>
      <c r="F419" s="404"/>
      <c r="I419" s="810"/>
      <c r="J419" s="1868"/>
      <c r="K419" s="1868"/>
      <c r="L419" s="1868"/>
      <c r="M419" s="738"/>
      <c r="N419" s="738"/>
    </row>
    <row r="420" spans="1:14" s="607" customFormat="1" ht="17.25" customHeight="1">
      <c r="A420" s="618"/>
      <c r="B420" s="571" t="s">
        <v>2776</v>
      </c>
      <c r="C420" s="721">
        <f>'Población Y RR.SS'!E29</f>
        <v>0</v>
      </c>
      <c r="D420" s="404"/>
      <c r="E420" s="404"/>
      <c r="F420" s="404"/>
      <c r="I420" s="738"/>
      <c r="J420" s="811"/>
      <c r="K420" s="811"/>
      <c r="L420" s="812"/>
      <c r="M420" s="738"/>
      <c r="N420" s="738"/>
    </row>
    <row r="421" spans="1:14" s="738" customFormat="1" ht="17.25" customHeight="1">
      <c r="A421" s="633"/>
      <c r="B421" s="798" t="s">
        <v>2777</v>
      </c>
      <c r="C421" s="711" t="s">
        <v>2041</v>
      </c>
      <c r="D421" s="732"/>
      <c r="E421" s="732"/>
      <c r="F421" s="732"/>
      <c r="I421" s="799"/>
      <c r="J421" s="813"/>
      <c r="K421" s="813"/>
      <c r="L421" s="800"/>
    </row>
    <row r="422" spans="1:14" s="738" customFormat="1" ht="17.25" customHeight="1">
      <c r="A422" s="633"/>
      <c r="B422" s="798" t="s">
        <v>2439</v>
      </c>
      <c r="C422" s="711" t="s">
        <v>2129</v>
      </c>
      <c r="D422" s="732"/>
      <c r="E422" s="732"/>
      <c r="F422" s="732"/>
      <c r="I422" s="799"/>
      <c r="J422" s="813"/>
      <c r="K422" s="813"/>
      <c r="L422" s="800"/>
    </row>
    <row r="423" spans="1:14" s="738" customFormat="1" ht="17.25" customHeight="1">
      <c r="A423" s="633"/>
      <c r="B423" s="814" t="s">
        <v>2147</v>
      </c>
      <c r="C423" s="815" t="s">
        <v>2128</v>
      </c>
      <c r="D423" s="732"/>
      <c r="E423" s="732"/>
      <c r="F423" s="732"/>
      <c r="I423" s="799"/>
      <c r="J423" s="813"/>
      <c r="K423" s="813"/>
      <c r="L423" s="800"/>
    </row>
    <row r="424" spans="1:14" s="738" customFormat="1" ht="17.25" customHeight="1">
      <c r="A424" s="633"/>
      <c r="B424" s="598" t="s">
        <v>2042</v>
      </c>
      <c r="C424" s="703"/>
      <c r="D424" s="732"/>
      <c r="E424" s="732"/>
      <c r="F424" s="732"/>
      <c r="I424" s="799"/>
      <c r="J424" s="800"/>
      <c r="K424" s="800"/>
      <c r="L424" s="800"/>
    </row>
    <row r="425" spans="1:14" s="738" customFormat="1" ht="17.25" customHeight="1">
      <c r="A425" s="633"/>
      <c r="C425" s="23"/>
      <c r="D425" s="23"/>
      <c r="E425" s="23"/>
      <c r="F425" s="23"/>
      <c r="G425" s="23"/>
      <c r="H425" s="23"/>
      <c r="I425" s="23"/>
      <c r="J425" s="23"/>
      <c r="K425" s="23"/>
      <c r="L425" s="602"/>
      <c r="M425" s="23"/>
      <c r="N425" s="23"/>
    </row>
    <row r="426" spans="1:14" s="607" customFormat="1" ht="17.25" customHeight="1">
      <c r="A426" s="618"/>
      <c r="B426" s="810"/>
      <c r="C426" s="800"/>
      <c r="D426" s="800"/>
      <c r="E426" s="800"/>
      <c r="F426" s="404"/>
      <c r="I426" s="810"/>
      <c r="J426" s="800"/>
      <c r="K426" s="800"/>
      <c r="L426" s="800"/>
    </row>
    <row r="427" spans="1:14" ht="15.95" customHeight="1">
      <c r="B427" s="816" t="s">
        <v>850</v>
      </c>
      <c r="C427" s="685"/>
      <c r="D427" s="817"/>
      <c r="E427" s="684"/>
      <c r="F427" s="403"/>
      <c r="G427" s="403"/>
      <c r="H427" s="403"/>
      <c r="I427" s="403"/>
      <c r="J427" s="403"/>
      <c r="K427" s="403"/>
      <c r="L427" s="684"/>
      <c r="M427" s="403"/>
      <c r="N427" s="403"/>
    </row>
    <row r="428" spans="1:14" ht="15.95" customHeight="1">
      <c r="B428" s="768"/>
      <c r="D428" s="818"/>
    </row>
    <row r="429" spans="1:14" ht="15.95" customHeight="1">
      <c r="D429" s="682"/>
    </row>
    <row r="430" spans="1:14" ht="15">
      <c r="B430" s="798" t="s">
        <v>2897</v>
      </c>
      <c r="C430" s="711" t="s">
        <v>2057</v>
      </c>
      <c r="G430" s="773"/>
      <c r="H430" s="774"/>
      <c r="I430" s="730"/>
      <c r="J430" s="645"/>
      <c r="K430" s="645"/>
    </row>
    <row r="431" spans="1:14" ht="15">
      <c r="B431" s="799"/>
      <c r="C431" s="689"/>
      <c r="G431" s="773"/>
      <c r="H431" s="774"/>
      <c r="I431" s="730"/>
      <c r="J431" s="645"/>
      <c r="K431" s="645"/>
    </row>
    <row r="432" spans="1:14" ht="15.95" customHeight="1">
      <c r="B432" s="768" t="s">
        <v>206</v>
      </c>
      <c r="C432" s="404"/>
      <c r="D432" s="404"/>
      <c r="G432" s="793"/>
      <c r="H432" s="645"/>
      <c r="I432" s="645"/>
      <c r="J432" s="645"/>
      <c r="K432" s="645"/>
    </row>
    <row r="433" spans="1:12" ht="27" customHeight="1">
      <c r="B433" s="619" t="s">
        <v>7</v>
      </c>
      <c r="C433" s="696" t="s">
        <v>4</v>
      </c>
      <c r="D433" s="619" t="s">
        <v>841</v>
      </c>
      <c r="G433" s="646"/>
      <c r="H433" s="775"/>
      <c r="I433" s="646"/>
      <c r="J433" s="645"/>
      <c r="K433" s="645"/>
    </row>
    <row r="434" spans="1:12" ht="15.95" customHeight="1">
      <c r="B434" s="769" t="s">
        <v>2051</v>
      </c>
      <c r="C434" s="788"/>
      <c r="D434" s="708">
        <f>C434</f>
        <v>0</v>
      </c>
      <c r="G434" s="806"/>
      <c r="H434" s="779"/>
      <c r="I434" s="779"/>
      <c r="J434" s="645"/>
      <c r="K434" s="645"/>
    </row>
    <row r="435" spans="1:12" ht="15.95" customHeight="1">
      <c r="B435" s="805" t="s">
        <v>2778</v>
      </c>
      <c r="C435" s="709">
        <f>+C445</f>
        <v>0</v>
      </c>
      <c r="D435" s="708">
        <f>C435</f>
        <v>0</v>
      </c>
      <c r="G435" s="806"/>
      <c r="H435" s="779"/>
      <c r="I435" s="779"/>
      <c r="J435" s="645"/>
      <c r="K435" s="645"/>
    </row>
    <row r="436" spans="1:12" s="645" customFormat="1" ht="15.95" customHeight="1">
      <c r="B436" s="819"/>
      <c r="C436" s="736"/>
      <c r="D436" s="736"/>
      <c r="E436" s="731"/>
      <c r="G436" s="819"/>
      <c r="H436" s="736"/>
      <c r="I436" s="736"/>
      <c r="L436" s="731"/>
    </row>
    <row r="437" spans="1:12" ht="15">
      <c r="B437" s="707" t="s">
        <v>820</v>
      </c>
      <c r="G437" s="773"/>
      <c r="H437" s="774"/>
      <c r="I437" s="730"/>
      <c r="J437" s="645"/>
      <c r="K437" s="645"/>
    </row>
    <row r="438" spans="1:12" s="780" customFormat="1" ht="29.25" customHeight="1">
      <c r="A438" s="405"/>
      <c r="B438" s="619" t="s">
        <v>7</v>
      </c>
      <c r="C438" s="696" t="s">
        <v>4</v>
      </c>
      <c r="D438" s="619" t="s">
        <v>202</v>
      </c>
      <c r="E438" s="619" t="s">
        <v>807</v>
      </c>
      <c r="F438" s="404"/>
      <c r="G438" s="646"/>
      <c r="H438" s="775"/>
      <c r="I438" s="646"/>
      <c r="J438" s="646"/>
      <c r="K438" s="645"/>
      <c r="L438" s="781"/>
    </row>
    <row r="439" spans="1:12" s="780" customFormat="1" ht="15.75" customHeight="1">
      <c r="A439" s="405"/>
      <c r="B439" s="720" t="s">
        <v>2048</v>
      </c>
      <c r="C439" s="770"/>
      <c r="D439" s="776">
        <v>1</v>
      </c>
      <c r="E439" s="777">
        <f>C439*D439</f>
        <v>0</v>
      </c>
      <c r="F439" s="404"/>
      <c r="G439" s="646"/>
      <c r="H439" s="775"/>
      <c r="I439" s="646"/>
      <c r="J439" s="646"/>
      <c r="K439" s="645"/>
      <c r="L439" s="781"/>
    </row>
    <row r="440" spans="1:12" s="780" customFormat="1" ht="16.5" customHeight="1">
      <c r="A440" s="405"/>
      <c r="B440" s="720" t="s">
        <v>2052</v>
      </c>
      <c r="C440" s="770"/>
      <c r="D440" s="776">
        <v>1</v>
      </c>
      <c r="E440" s="777">
        <f>C440*D440</f>
        <v>0</v>
      </c>
      <c r="F440" s="404"/>
      <c r="G440" s="820"/>
      <c r="H440" s="779"/>
      <c r="I440" s="757"/>
      <c r="J440" s="757"/>
      <c r="K440" s="645"/>
      <c r="L440" s="781"/>
    </row>
    <row r="441" spans="1:12" s="780" customFormat="1" ht="16.5" customHeight="1">
      <c r="A441" s="405"/>
      <c r="B441" s="720" t="s">
        <v>2053</v>
      </c>
      <c r="C441" s="770"/>
      <c r="D441" s="776">
        <v>1</v>
      </c>
      <c r="E441" s="777">
        <f>C441*D441</f>
        <v>0</v>
      </c>
      <c r="F441" s="404"/>
      <c r="G441" s="820"/>
      <c r="H441" s="779"/>
      <c r="I441" s="757"/>
      <c r="J441" s="757"/>
      <c r="K441" s="645"/>
      <c r="L441" s="781"/>
    </row>
    <row r="442" spans="1:12" s="405" customFormat="1" ht="16.5" customHeight="1">
      <c r="B442" s="820"/>
      <c r="C442" s="779"/>
      <c r="D442" s="757"/>
      <c r="E442" s="757"/>
      <c r="G442" s="820"/>
      <c r="H442" s="779"/>
      <c r="I442" s="757"/>
      <c r="J442" s="757"/>
      <c r="K442" s="645"/>
      <c r="L442" s="699"/>
    </row>
    <row r="443" spans="1:12" s="780" customFormat="1" ht="16.5" customHeight="1">
      <c r="A443" s="405"/>
      <c r="B443" s="707" t="s">
        <v>2264</v>
      </c>
      <c r="C443" s="688"/>
      <c r="D443" s="689"/>
      <c r="E443" s="687"/>
      <c r="F443" s="404"/>
      <c r="G443" s="820"/>
      <c r="H443" s="779"/>
      <c r="I443" s="757"/>
      <c r="J443" s="757"/>
      <c r="K443" s="645"/>
      <c r="L443" s="781"/>
    </row>
    <row r="444" spans="1:12" s="780" customFormat="1" ht="30" customHeight="1">
      <c r="A444" s="405"/>
      <c r="B444" s="619" t="s">
        <v>7</v>
      </c>
      <c r="C444" s="696" t="s">
        <v>4</v>
      </c>
      <c r="D444" s="619" t="s">
        <v>202</v>
      </c>
      <c r="E444" s="619" t="s">
        <v>807</v>
      </c>
      <c r="F444" s="404"/>
      <c r="G444" s="820"/>
      <c r="H444" s="779"/>
      <c r="I444" s="757"/>
      <c r="J444" s="757"/>
      <c r="K444" s="645"/>
      <c r="L444" s="781"/>
    </row>
    <row r="445" spans="1:12" s="780" customFormat="1" ht="16.5" customHeight="1">
      <c r="A445" s="405"/>
      <c r="B445" s="821" t="s">
        <v>2779</v>
      </c>
      <c r="C445" s="770"/>
      <c r="D445" s="708">
        <v>1</v>
      </c>
      <c r="E445" s="777">
        <f>C445*D445</f>
        <v>0</v>
      </c>
      <c r="F445" s="404"/>
      <c r="G445" s="820"/>
      <c r="H445" s="779"/>
      <c r="I445" s="757"/>
      <c r="J445" s="757"/>
      <c r="K445" s="645"/>
      <c r="L445" s="781"/>
    </row>
    <row r="446" spans="1:12" ht="15.95" customHeight="1">
      <c r="C446" s="404"/>
      <c r="D446" s="404"/>
      <c r="G446" s="645"/>
      <c r="H446" s="645"/>
      <c r="I446" s="645"/>
      <c r="J446" s="645"/>
      <c r="K446" s="645"/>
    </row>
    <row r="447" spans="1:12" ht="15.95" customHeight="1">
      <c r="B447" s="707" t="s">
        <v>2283</v>
      </c>
      <c r="G447" s="773"/>
      <c r="H447" s="774"/>
      <c r="I447" s="730"/>
      <c r="J447" s="645"/>
      <c r="K447" s="645"/>
    </row>
    <row r="448" spans="1:12" ht="48" customHeight="1">
      <c r="B448" s="619" t="s">
        <v>7</v>
      </c>
      <c r="C448" s="696" t="s">
        <v>237</v>
      </c>
      <c r="D448" s="619" t="s">
        <v>202</v>
      </c>
      <c r="E448" s="619" t="s">
        <v>2282</v>
      </c>
      <c r="F448" s="619" t="s">
        <v>2253</v>
      </c>
      <c r="G448" s="619" t="s">
        <v>2254</v>
      </c>
      <c r="H448" s="775"/>
      <c r="I448" s="646"/>
      <c r="J448" s="646"/>
      <c r="K448" s="645"/>
    </row>
    <row r="449" spans="1:12" ht="15.95" customHeight="1">
      <c r="B449" s="720" t="s">
        <v>238</v>
      </c>
      <c r="C449" s="709">
        <v>1</v>
      </c>
      <c r="D449" s="776">
        <v>4</v>
      </c>
      <c r="E449" s="777">
        <f t="shared" ref="E449:E454" si="39">C449*D449</f>
        <v>4</v>
      </c>
      <c r="F449" s="708">
        <f>$D$434</f>
        <v>0</v>
      </c>
      <c r="G449" s="583">
        <f t="shared" ref="G449:G454" si="40">E449*F449</f>
        <v>0</v>
      </c>
      <c r="H449" s="779"/>
      <c r="I449" s="757"/>
      <c r="J449" s="757"/>
      <c r="K449" s="645"/>
    </row>
    <row r="450" spans="1:12" ht="15.95" customHeight="1">
      <c r="B450" s="720" t="s">
        <v>240</v>
      </c>
      <c r="C450" s="709">
        <v>1</v>
      </c>
      <c r="D450" s="776">
        <v>3</v>
      </c>
      <c r="E450" s="777">
        <f t="shared" si="39"/>
        <v>3</v>
      </c>
      <c r="F450" s="708">
        <f>F449</f>
        <v>0</v>
      </c>
      <c r="G450" s="583">
        <f t="shared" si="40"/>
        <v>0</v>
      </c>
      <c r="H450" s="779"/>
      <c r="I450" s="757"/>
      <c r="J450" s="757"/>
      <c r="K450" s="645"/>
    </row>
    <row r="451" spans="1:12" ht="15.95" customHeight="1">
      <c r="B451" s="720" t="s">
        <v>249</v>
      </c>
      <c r="C451" s="709">
        <v>1</v>
      </c>
      <c r="D451" s="776">
        <v>1</v>
      </c>
      <c r="E451" s="777">
        <f t="shared" si="39"/>
        <v>1</v>
      </c>
      <c r="F451" s="708">
        <f>F450</f>
        <v>0</v>
      </c>
      <c r="G451" s="583">
        <f t="shared" si="40"/>
        <v>0</v>
      </c>
      <c r="H451" s="779"/>
      <c r="I451" s="757"/>
      <c r="J451" s="757"/>
      <c r="K451" s="645"/>
    </row>
    <row r="452" spans="1:12" ht="15.95" customHeight="1">
      <c r="B452" s="720" t="s">
        <v>250</v>
      </c>
      <c r="C452" s="709">
        <v>1</v>
      </c>
      <c r="D452" s="776">
        <v>1</v>
      </c>
      <c r="E452" s="777">
        <f t="shared" si="39"/>
        <v>1</v>
      </c>
      <c r="F452" s="708">
        <f>F451</f>
        <v>0</v>
      </c>
      <c r="G452" s="583">
        <f t="shared" si="40"/>
        <v>0</v>
      </c>
      <c r="H452" s="779"/>
      <c r="I452" s="757"/>
      <c r="J452" s="757"/>
      <c r="K452" s="645"/>
    </row>
    <row r="453" spans="1:12" s="607" customFormat="1" ht="15.95" customHeight="1">
      <c r="A453" s="618"/>
      <c r="B453" s="720" t="s">
        <v>251</v>
      </c>
      <c r="C453" s="709">
        <v>1</v>
      </c>
      <c r="D453" s="776">
        <v>3</v>
      </c>
      <c r="E453" s="777">
        <f t="shared" si="39"/>
        <v>3</v>
      </c>
      <c r="F453" s="708">
        <f>F452</f>
        <v>0</v>
      </c>
      <c r="G453" s="583">
        <f t="shared" si="40"/>
        <v>0</v>
      </c>
      <c r="H453" s="779"/>
      <c r="I453" s="757"/>
      <c r="J453" s="757"/>
      <c r="K453" s="633"/>
      <c r="L453" s="606"/>
    </row>
    <row r="454" spans="1:12" s="607" customFormat="1" ht="15.95" customHeight="1">
      <c r="A454" s="618"/>
      <c r="B454" s="821" t="s">
        <v>2780</v>
      </c>
      <c r="C454" s="709">
        <f>+C434</f>
        <v>0</v>
      </c>
      <c r="D454" s="708">
        <v>1</v>
      </c>
      <c r="E454" s="777">
        <f t="shared" si="39"/>
        <v>0</v>
      </c>
      <c r="F454" s="708">
        <f>F453</f>
        <v>0</v>
      </c>
      <c r="G454" s="583">
        <f t="shared" si="40"/>
        <v>0</v>
      </c>
      <c r="H454" s="779"/>
      <c r="I454" s="757"/>
      <c r="J454" s="757"/>
      <c r="K454" s="633"/>
      <c r="L454" s="606"/>
    </row>
    <row r="455" spans="1:12" s="607" customFormat="1" ht="15.95" customHeight="1">
      <c r="A455" s="618"/>
      <c r="E455" s="606"/>
      <c r="F455" s="780"/>
      <c r="G455" s="633"/>
      <c r="H455" s="633"/>
      <c r="I455" s="633"/>
      <c r="J455" s="633"/>
      <c r="K455" s="633"/>
      <c r="L455" s="606"/>
    </row>
    <row r="456" spans="1:12" ht="15.95" customHeight="1">
      <c r="B456" s="707" t="s">
        <v>2284</v>
      </c>
      <c r="G456" s="773"/>
      <c r="H456" s="774"/>
      <c r="I456" s="730"/>
      <c r="J456" s="645"/>
      <c r="K456" s="645"/>
    </row>
    <row r="457" spans="1:12" ht="41.25" customHeight="1">
      <c r="B457" s="619" t="s">
        <v>7</v>
      </c>
      <c r="C457" s="696" t="s">
        <v>4</v>
      </c>
      <c r="D457" s="619" t="s">
        <v>202</v>
      </c>
      <c r="E457" s="619" t="s">
        <v>2281</v>
      </c>
      <c r="F457" s="619" t="s">
        <v>2253</v>
      </c>
      <c r="G457" s="619" t="s">
        <v>2254</v>
      </c>
      <c r="H457" s="775"/>
      <c r="I457" s="646"/>
      <c r="J457" s="646"/>
      <c r="K457" s="645"/>
    </row>
    <row r="458" spans="1:12" ht="15.95" customHeight="1">
      <c r="B458" s="720" t="s">
        <v>252</v>
      </c>
      <c r="C458" s="709">
        <v>3</v>
      </c>
      <c r="D458" s="776">
        <v>1</v>
      </c>
      <c r="E458" s="777">
        <f t="shared" ref="E458:E463" si="41">C458*D458</f>
        <v>3</v>
      </c>
      <c r="F458" s="788"/>
      <c r="G458" s="583">
        <f t="shared" ref="G458:G463" si="42">E458*F458</f>
        <v>0</v>
      </c>
      <c r="H458" s="779"/>
      <c r="I458" s="757"/>
      <c r="J458" s="757"/>
      <c r="K458" s="645"/>
    </row>
    <row r="459" spans="1:12" ht="15.95" customHeight="1">
      <c r="B459" s="720" t="s">
        <v>254</v>
      </c>
      <c r="C459" s="709">
        <v>3</v>
      </c>
      <c r="D459" s="776">
        <v>1</v>
      </c>
      <c r="E459" s="777">
        <f t="shared" si="41"/>
        <v>3</v>
      </c>
      <c r="F459" s="788"/>
      <c r="G459" s="583">
        <f t="shared" si="42"/>
        <v>0</v>
      </c>
      <c r="H459" s="779"/>
      <c r="I459" s="757"/>
      <c r="J459" s="757"/>
      <c r="K459" s="645"/>
    </row>
    <row r="460" spans="1:12" ht="15.95" customHeight="1">
      <c r="B460" s="720" t="s">
        <v>2781</v>
      </c>
      <c r="C460" s="709">
        <v>2</v>
      </c>
      <c r="D460" s="776">
        <v>1</v>
      </c>
      <c r="E460" s="777">
        <f t="shared" si="41"/>
        <v>2</v>
      </c>
      <c r="F460" s="788"/>
      <c r="G460" s="583">
        <f t="shared" si="42"/>
        <v>0</v>
      </c>
      <c r="H460" s="779"/>
      <c r="I460" s="757"/>
      <c r="J460" s="757"/>
      <c r="K460" s="645"/>
    </row>
    <row r="461" spans="1:12" ht="15.95" customHeight="1">
      <c r="B461" s="720" t="s">
        <v>255</v>
      </c>
      <c r="C461" s="709">
        <v>2</v>
      </c>
      <c r="D461" s="776">
        <v>1</v>
      </c>
      <c r="E461" s="777">
        <f t="shared" si="41"/>
        <v>2</v>
      </c>
      <c r="F461" s="788"/>
      <c r="G461" s="583">
        <f t="shared" si="42"/>
        <v>0</v>
      </c>
      <c r="H461" s="779"/>
      <c r="I461" s="757"/>
      <c r="J461" s="757"/>
      <c r="K461" s="645"/>
    </row>
    <row r="462" spans="1:12" s="607" customFormat="1" ht="15.95" customHeight="1">
      <c r="A462" s="618"/>
      <c r="B462" s="720" t="s">
        <v>2038</v>
      </c>
      <c r="C462" s="709">
        <v>2</v>
      </c>
      <c r="D462" s="776">
        <v>1</v>
      </c>
      <c r="E462" s="777">
        <f t="shared" si="41"/>
        <v>2</v>
      </c>
      <c r="F462" s="788"/>
      <c r="G462" s="583">
        <f t="shared" si="42"/>
        <v>0</v>
      </c>
      <c r="H462" s="779"/>
      <c r="I462" s="757"/>
      <c r="J462" s="757"/>
      <c r="K462" s="633"/>
      <c r="L462" s="606"/>
    </row>
    <row r="463" spans="1:12" s="607" customFormat="1" ht="15.95" customHeight="1">
      <c r="A463" s="618"/>
      <c r="B463" s="720" t="s">
        <v>256</v>
      </c>
      <c r="C463" s="709">
        <v>1</v>
      </c>
      <c r="D463" s="776">
        <v>1</v>
      </c>
      <c r="E463" s="777">
        <f t="shared" si="41"/>
        <v>1</v>
      </c>
      <c r="F463" s="788"/>
      <c r="G463" s="583">
        <f t="shared" si="42"/>
        <v>0</v>
      </c>
      <c r="H463" s="779"/>
      <c r="I463" s="757"/>
      <c r="J463" s="757"/>
      <c r="K463" s="633"/>
      <c r="L463" s="606"/>
    </row>
    <row r="464" spans="1:12" s="607" customFormat="1" ht="15.95" customHeight="1">
      <c r="A464" s="618"/>
      <c r="B464" s="783"/>
      <c r="C464" s="785"/>
      <c r="D464" s="807"/>
      <c r="E464" s="757"/>
      <c r="F464" s="780"/>
      <c r="G464" s="820"/>
      <c r="H464" s="779"/>
      <c r="I464" s="757"/>
      <c r="J464" s="757"/>
      <c r="K464" s="633"/>
      <c r="L464" s="606"/>
    </row>
    <row r="465" spans="1:12" s="607" customFormat="1" ht="15.95" customHeight="1">
      <c r="A465" s="618"/>
      <c r="B465" s="707" t="s">
        <v>2775</v>
      </c>
      <c r="C465" s="688"/>
      <c r="D465" s="689"/>
      <c r="E465" s="687"/>
      <c r="F465" s="780"/>
      <c r="G465" s="773"/>
      <c r="H465" s="774"/>
      <c r="I465" s="730"/>
      <c r="J465" s="645"/>
      <c r="K465" s="633"/>
      <c r="L465" s="606"/>
    </row>
    <row r="466" spans="1:12" s="607" customFormat="1" ht="50.25" customHeight="1">
      <c r="A466" s="618"/>
      <c r="B466" s="619" t="s">
        <v>7</v>
      </c>
      <c r="C466" s="696" t="s">
        <v>237</v>
      </c>
      <c r="D466" s="619" t="s">
        <v>202</v>
      </c>
      <c r="E466" s="619" t="s">
        <v>2282</v>
      </c>
      <c r="F466" s="619" t="s">
        <v>2253</v>
      </c>
      <c r="G466" s="619" t="s">
        <v>2254</v>
      </c>
      <c r="H466" s="775"/>
      <c r="I466" s="646"/>
      <c r="J466" s="646"/>
      <c r="K466" s="633"/>
      <c r="L466" s="606"/>
    </row>
    <row r="467" spans="1:12" s="607" customFormat="1" ht="18" customHeight="1">
      <c r="A467" s="618"/>
      <c r="B467" s="720" t="s">
        <v>216</v>
      </c>
      <c r="C467" s="721">
        <v>1</v>
      </c>
      <c r="D467" s="708">
        <v>2</v>
      </c>
      <c r="E467" s="596">
        <f>C467*D467</f>
        <v>2</v>
      </c>
      <c r="F467" s="721">
        <f>C434+C435</f>
        <v>0</v>
      </c>
      <c r="G467" s="583">
        <f>E467*F467</f>
        <v>0</v>
      </c>
      <c r="H467" s="822"/>
      <c r="I467" s="779"/>
      <c r="J467" s="645"/>
      <c r="K467" s="633"/>
      <c r="L467" s="606"/>
    </row>
    <row r="468" spans="1:12" s="607" customFormat="1" ht="18" customHeight="1">
      <c r="A468" s="618"/>
      <c r="B468" s="720" t="s">
        <v>217</v>
      </c>
      <c r="C468" s="721">
        <v>1</v>
      </c>
      <c r="D468" s="708">
        <v>2</v>
      </c>
      <c r="E468" s="596">
        <f t="shared" ref="E468:E477" si="43">C468*D468</f>
        <v>2</v>
      </c>
      <c r="F468" s="721">
        <f>F467</f>
        <v>0</v>
      </c>
      <c r="G468" s="583">
        <f t="shared" ref="G468:G477" si="44">E468*F468</f>
        <v>0</v>
      </c>
      <c r="H468" s="779"/>
      <c r="I468" s="779"/>
      <c r="J468" s="645"/>
      <c r="K468" s="633"/>
      <c r="L468" s="606"/>
    </row>
    <row r="469" spans="1:12" s="607" customFormat="1" ht="18" customHeight="1">
      <c r="A469" s="618"/>
      <c r="B469" s="720" t="s">
        <v>218</v>
      </c>
      <c r="C469" s="721">
        <v>1</v>
      </c>
      <c r="D469" s="708">
        <v>3</v>
      </c>
      <c r="E469" s="596">
        <f t="shared" si="43"/>
        <v>3</v>
      </c>
      <c r="F469" s="721">
        <f t="shared" ref="F469:F476" si="45">F468</f>
        <v>0</v>
      </c>
      <c r="G469" s="583">
        <f t="shared" si="44"/>
        <v>0</v>
      </c>
      <c r="H469" s="779"/>
      <c r="I469" s="779"/>
      <c r="J469" s="645"/>
      <c r="K469" s="633"/>
      <c r="L469" s="606"/>
    </row>
    <row r="470" spans="1:12" s="607" customFormat="1" ht="18" customHeight="1">
      <c r="A470" s="618"/>
      <c r="B470" s="720" t="s">
        <v>2118</v>
      </c>
      <c r="C470" s="721">
        <v>1</v>
      </c>
      <c r="D470" s="708">
        <v>1</v>
      </c>
      <c r="E470" s="596">
        <f t="shared" si="43"/>
        <v>1</v>
      </c>
      <c r="F470" s="721">
        <f t="shared" si="45"/>
        <v>0</v>
      </c>
      <c r="G470" s="583">
        <f t="shared" si="44"/>
        <v>0</v>
      </c>
      <c r="H470" s="779"/>
      <c r="I470" s="779"/>
      <c r="J470" s="645"/>
      <c r="K470" s="633"/>
      <c r="L470" s="606"/>
    </row>
    <row r="471" spans="1:12" s="607" customFormat="1" ht="18" customHeight="1">
      <c r="A471" s="618"/>
      <c r="B471" s="720" t="s">
        <v>244</v>
      </c>
      <c r="C471" s="721">
        <v>1</v>
      </c>
      <c r="D471" s="708">
        <v>2</v>
      </c>
      <c r="E471" s="596">
        <f t="shared" si="43"/>
        <v>2</v>
      </c>
      <c r="F471" s="721">
        <f t="shared" si="45"/>
        <v>0</v>
      </c>
      <c r="G471" s="583">
        <f t="shared" si="44"/>
        <v>0</v>
      </c>
      <c r="H471" s="779"/>
      <c r="I471" s="779"/>
      <c r="J471" s="645"/>
      <c r="K471" s="633"/>
      <c r="L471" s="606"/>
    </row>
    <row r="472" spans="1:12" s="607" customFormat="1" ht="18" customHeight="1">
      <c r="A472" s="618"/>
      <c r="B472" s="720" t="s">
        <v>268</v>
      </c>
      <c r="C472" s="721">
        <v>1</v>
      </c>
      <c r="D472" s="708">
        <v>1</v>
      </c>
      <c r="E472" s="596">
        <f t="shared" si="43"/>
        <v>1</v>
      </c>
      <c r="F472" s="721">
        <f t="shared" si="45"/>
        <v>0</v>
      </c>
      <c r="G472" s="583">
        <f t="shared" si="44"/>
        <v>0</v>
      </c>
      <c r="H472" s="779"/>
      <c r="I472" s="779"/>
      <c r="J472" s="645"/>
      <c r="K472" s="633"/>
      <c r="L472" s="606"/>
    </row>
    <row r="473" spans="1:12" s="607" customFormat="1" ht="18" customHeight="1">
      <c r="A473" s="618"/>
      <c r="B473" s="720" t="s">
        <v>245</v>
      </c>
      <c r="C473" s="721">
        <v>1</v>
      </c>
      <c r="D473" s="708">
        <v>2</v>
      </c>
      <c r="E473" s="596">
        <f t="shared" si="43"/>
        <v>2</v>
      </c>
      <c r="F473" s="721">
        <f t="shared" si="45"/>
        <v>0</v>
      </c>
      <c r="G473" s="583">
        <f t="shared" si="44"/>
        <v>0</v>
      </c>
      <c r="H473" s="779"/>
      <c r="I473" s="779"/>
      <c r="J473" s="645"/>
      <c r="K473" s="633"/>
      <c r="L473" s="606"/>
    </row>
    <row r="474" spans="1:12" s="607" customFormat="1" ht="18" customHeight="1">
      <c r="A474" s="618"/>
      <c r="B474" s="720" t="s">
        <v>232</v>
      </c>
      <c r="C474" s="721">
        <v>1</v>
      </c>
      <c r="D474" s="708">
        <v>6</v>
      </c>
      <c r="E474" s="596">
        <f t="shared" si="43"/>
        <v>6</v>
      </c>
      <c r="F474" s="721">
        <f t="shared" si="45"/>
        <v>0</v>
      </c>
      <c r="G474" s="583">
        <f t="shared" si="44"/>
        <v>0</v>
      </c>
      <c r="H474" s="779"/>
      <c r="I474" s="779"/>
      <c r="J474" s="645"/>
      <c r="K474" s="633"/>
      <c r="L474" s="606"/>
    </row>
    <row r="475" spans="1:12" s="607" customFormat="1" ht="18" customHeight="1">
      <c r="A475" s="618"/>
      <c r="B475" s="720" t="s">
        <v>257</v>
      </c>
      <c r="C475" s="721">
        <v>1</v>
      </c>
      <c r="D475" s="708">
        <v>3</v>
      </c>
      <c r="E475" s="596">
        <f t="shared" si="43"/>
        <v>3</v>
      </c>
      <c r="F475" s="721">
        <f t="shared" si="45"/>
        <v>0</v>
      </c>
      <c r="G475" s="583">
        <f t="shared" si="44"/>
        <v>0</v>
      </c>
      <c r="H475" s="779"/>
      <c r="I475" s="779"/>
      <c r="J475" s="645"/>
      <c r="K475" s="633"/>
      <c r="L475" s="606"/>
    </row>
    <row r="476" spans="1:12" s="607" customFormat="1" ht="18" customHeight="1">
      <c r="A476" s="618"/>
      <c r="B476" s="720" t="s">
        <v>2120</v>
      </c>
      <c r="C476" s="721">
        <v>1</v>
      </c>
      <c r="D476" s="708">
        <v>12</v>
      </c>
      <c r="E476" s="596">
        <f t="shared" si="43"/>
        <v>12</v>
      </c>
      <c r="F476" s="721">
        <f t="shared" si="45"/>
        <v>0</v>
      </c>
      <c r="G476" s="583">
        <f t="shared" si="44"/>
        <v>0</v>
      </c>
      <c r="H476" s="779"/>
      <c r="I476" s="779"/>
      <c r="J476" s="645"/>
      <c r="K476" s="633"/>
      <c r="L476" s="606"/>
    </row>
    <row r="477" spans="1:12" s="607" customFormat="1" ht="18" customHeight="1">
      <c r="A477" s="618"/>
      <c r="B477" s="720" t="s">
        <v>2782</v>
      </c>
      <c r="C477" s="721">
        <v>1</v>
      </c>
      <c r="D477" s="708">
        <v>2</v>
      </c>
      <c r="E477" s="596">
        <f t="shared" si="43"/>
        <v>2</v>
      </c>
      <c r="F477" s="721">
        <f>F476</f>
        <v>0</v>
      </c>
      <c r="G477" s="583">
        <f t="shared" si="44"/>
        <v>0</v>
      </c>
      <c r="H477" s="779"/>
      <c r="I477" s="779"/>
      <c r="J477" s="645"/>
      <c r="K477" s="633"/>
      <c r="L477" s="606"/>
    </row>
    <row r="478" spans="1:12" s="607" customFormat="1" ht="15.95" customHeight="1">
      <c r="A478" s="618"/>
      <c r="B478" s="768"/>
      <c r="C478" s="688"/>
      <c r="D478" s="689"/>
      <c r="E478" s="687"/>
      <c r="F478" s="404"/>
      <c r="G478" s="404"/>
      <c r="H478" s="404"/>
      <c r="L478" s="606"/>
    </row>
    <row r="479" spans="1:12" s="607" customFormat="1" ht="15.95" customHeight="1">
      <c r="A479" s="618"/>
      <c r="B479" s="584" t="s">
        <v>2139</v>
      </c>
      <c r="C479" s="823"/>
      <c r="D479" s="824" t="s">
        <v>2138</v>
      </c>
      <c r="E479" s="687"/>
      <c r="F479" s="404"/>
      <c r="G479" s="404"/>
      <c r="H479" s="404"/>
      <c r="L479" s="606"/>
    </row>
    <row r="480" spans="1:12" s="607" customFormat="1" ht="15.95" customHeight="1">
      <c r="A480" s="618"/>
      <c r="B480" s="768"/>
      <c r="C480" s="688"/>
      <c r="D480" s="689"/>
      <c r="E480" s="687"/>
      <c r="F480" s="404"/>
      <c r="G480" s="404"/>
      <c r="H480" s="404"/>
      <c r="L480" s="606"/>
    </row>
    <row r="481" spans="1:14" ht="15.95" customHeight="1">
      <c r="B481" s="816" t="s">
        <v>851</v>
      </c>
      <c r="C481" s="685"/>
      <c r="D481" s="686"/>
      <c r="E481" s="684"/>
      <c r="F481" s="403"/>
      <c r="G481" s="403"/>
      <c r="H481" s="403"/>
      <c r="I481" s="403"/>
      <c r="J481" s="403"/>
      <c r="K481" s="403"/>
      <c r="L481" s="684"/>
      <c r="M481" s="403"/>
      <c r="N481" s="403"/>
    </row>
    <row r="483" spans="1:14" ht="15">
      <c r="B483" s="798" t="s">
        <v>2897</v>
      </c>
      <c r="C483" s="711" t="s">
        <v>2055</v>
      </c>
      <c r="G483" s="773"/>
      <c r="H483" s="774"/>
      <c r="I483" s="730"/>
      <c r="J483" s="645"/>
      <c r="K483" s="645"/>
    </row>
    <row r="484" spans="1:14" ht="15">
      <c r="B484" s="799"/>
      <c r="C484" s="689"/>
      <c r="G484" s="773"/>
      <c r="H484" s="774"/>
      <c r="I484" s="730"/>
      <c r="J484" s="645"/>
      <c r="K484" s="645"/>
    </row>
    <row r="485" spans="1:14" ht="15.95" customHeight="1">
      <c r="B485" s="768" t="s">
        <v>206</v>
      </c>
      <c r="C485" s="404"/>
      <c r="D485" s="404"/>
      <c r="G485" s="793"/>
      <c r="H485" s="645"/>
      <c r="I485" s="645"/>
      <c r="J485" s="645"/>
      <c r="K485" s="645"/>
    </row>
    <row r="486" spans="1:14" ht="27" customHeight="1">
      <c r="B486" s="619" t="s">
        <v>7</v>
      </c>
      <c r="C486" s="696" t="s">
        <v>4</v>
      </c>
      <c r="D486" s="619" t="s">
        <v>841</v>
      </c>
      <c r="G486" s="646"/>
      <c r="H486" s="775"/>
      <c r="I486" s="646"/>
      <c r="J486" s="645"/>
      <c r="K486" s="645"/>
    </row>
    <row r="487" spans="1:14" ht="15.95" customHeight="1">
      <c r="B487" s="769" t="s">
        <v>2051</v>
      </c>
      <c r="C487" s="788"/>
      <c r="D487" s="708">
        <f>C487</f>
        <v>0</v>
      </c>
      <c r="G487" s="806"/>
      <c r="H487" s="779"/>
      <c r="I487" s="779"/>
      <c r="J487" s="645"/>
      <c r="K487" s="645"/>
    </row>
    <row r="488" spans="1:14" ht="15.95" customHeight="1">
      <c r="B488" s="571" t="s">
        <v>2039</v>
      </c>
      <c r="C488" s="709">
        <f>C499</f>
        <v>0</v>
      </c>
      <c r="D488" s="708">
        <f>C488</f>
        <v>0</v>
      </c>
      <c r="G488" s="806"/>
      <c r="H488" s="779"/>
      <c r="I488" s="779"/>
      <c r="J488" s="645"/>
      <c r="K488" s="645"/>
    </row>
    <row r="489" spans="1:14" s="645" customFormat="1" ht="15.95" customHeight="1">
      <c r="B489" s="793"/>
      <c r="E489" s="731"/>
      <c r="G489" s="793"/>
      <c r="L489" s="731"/>
    </row>
    <row r="490" spans="1:14" ht="15">
      <c r="B490" s="707" t="s">
        <v>820</v>
      </c>
      <c r="G490" s="773"/>
      <c r="H490" s="774"/>
      <c r="I490" s="730"/>
      <c r="J490" s="645"/>
      <c r="K490" s="645"/>
    </row>
    <row r="491" spans="1:14" s="780" customFormat="1" ht="29.25" customHeight="1">
      <c r="A491" s="405"/>
      <c r="B491" s="619" t="s">
        <v>7</v>
      </c>
      <c r="C491" s="696" t="s">
        <v>4</v>
      </c>
      <c r="D491" s="619" t="s">
        <v>202</v>
      </c>
      <c r="E491" s="619" t="s">
        <v>807</v>
      </c>
      <c r="F491" s="404"/>
      <c r="G491" s="646"/>
      <c r="H491" s="775"/>
      <c r="I491" s="646"/>
      <c r="J491" s="646"/>
      <c r="K491" s="645"/>
      <c r="L491" s="781"/>
    </row>
    <row r="492" spans="1:14" s="780" customFormat="1" ht="15.75" customHeight="1">
      <c r="A492" s="405"/>
      <c r="B492" s="720" t="s">
        <v>2048</v>
      </c>
      <c r="C492" s="770"/>
      <c r="D492" s="776">
        <v>1</v>
      </c>
      <c r="E492" s="777">
        <f>C492*D492</f>
        <v>0</v>
      </c>
      <c r="F492" s="404"/>
      <c r="G492" s="646"/>
      <c r="H492" s="775"/>
      <c r="I492" s="646"/>
      <c r="J492" s="646"/>
      <c r="K492" s="645"/>
      <c r="L492" s="781"/>
    </row>
    <row r="493" spans="1:14" s="780" customFormat="1" ht="16.5" customHeight="1">
      <c r="A493" s="405"/>
      <c r="B493" s="720" t="s">
        <v>2052</v>
      </c>
      <c r="C493" s="770"/>
      <c r="D493" s="776">
        <v>1</v>
      </c>
      <c r="E493" s="777">
        <f>C493*D493</f>
        <v>0</v>
      </c>
      <c r="F493" s="404"/>
      <c r="G493" s="820"/>
      <c r="H493" s="779"/>
      <c r="I493" s="757"/>
      <c r="J493" s="757"/>
      <c r="K493" s="645"/>
      <c r="L493" s="781"/>
    </row>
    <row r="494" spans="1:14" s="780" customFormat="1" ht="16.5" customHeight="1">
      <c r="A494" s="405"/>
      <c r="B494" s="720" t="s">
        <v>2053</v>
      </c>
      <c r="C494" s="770"/>
      <c r="D494" s="776">
        <v>1</v>
      </c>
      <c r="E494" s="777">
        <f>C494*D494</f>
        <v>0</v>
      </c>
      <c r="F494" s="404"/>
      <c r="G494" s="820"/>
      <c r="H494" s="779"/>
      <c r="I494" s="757"/>
      <c r="J494" s="757"/>
      <c r="K494" s="645"/>
      <c r="L494" s="781"/>
    </row>
    <row r="495" spans="1:14" s="780" customFormat="1" ht="16.5" customHeight="1">
      <c r="A495" s="405"/>
      <c r="B495" s="821" t="s">
        <v>2783</v>
      </c>
      <c r="C495" s="770"/>
      <c r="D495" s="708">
        <v>1</v>
      </c>
      <c r="E495" s="777">
        <f>C495*D495</f>
        <v>0</v>
      </c>
      <c r="F495" s="404"/>
      <c r="G495" s="820"/>
      <c r="H495" s="779"/>
      <c r="I495" s="757"/>
      <c r="J495" s="757"/>
      <c r="K495" s="645"/>
      <c r="L495" s="781"/>
    </row>
    <row r="496" spans="1:14" s="780" customFormat="1" ht="16.5" customHeight="1">
      <c r="A496" s="405"/>
      <c r="B496" s="825"/>
      <c r="C496" s="785"/>
      <c r="D496" s="785"/>
      <c r="E496" s="757"/>
      <c r="F496" s="404"/>
      <c r="G496" s="820"/>
      <c r="H496" s="779"/>
      <c r="I496" s="757"/>
      <c r="J496" s="757"/>
      <c r="K496" s="645"/>
      <c r="L496" s="781"/>
    </row>
    <row r="497" spans="1:12" s="780" customFormat="1" ht="16.5" customHeight="1">
      <c r="A497" s="405"/>
      <c r="B497" s="707" t="s">
        <v>2264</v>
      </c>
      <c r="C497" s="688"/>
      <c r="D497" s="689"/>
      <c r="E497" s="687"/>
      <c r="F497" s="404"/>
      <c r="G497" s="820"/>
      <c r="H497" s="779"/>
      <c r="I497" s="757"/>
      <c r="J497" s="757"/>
      <c r="K497" s="645"/>
      <c r="L497" s="781"/>
    </row>
    <row r="498" spans="1:12" s="780" customFormat="1" ht="30" customHeight="1">
      <c r="A498" s="405"/>
      <c r="B498" s="619" t="s">
        <v>7</v>
      </c>
      <c r="C498" s="696" t="s">
        <v>4</v>
      </c>
      <c r="D498" s="619" t="s">
        <v>202</v>
      </c>
      <c r="E498" s="619" t="s">
        <v>807</v>
      </c>
      <c r="F498" s="404"/>
      <c r="G498" s="820"/>
      <c r="H498" s="779"/>
      <c r="I498" s="757"/>
      <c r="J498" s="757"/>
      <c r="K498" s="645"/>
      <c r="L498" s="781"/>
    </row>
    <row r="499" spans="1:12" s="780" customFormat="1" ht="16.5" customHeight="1">
      <c r="A499" s="405"/>
      <c r="B499" s="821" t="s">
        <v>668</v>
      </c>
      <c r="C499" s="770"/>
      <c r="D499" s="708">
        <v>1</v>
      </c>
      <c r="E499" s="777">
        <f>C499*D499</f>
        <v>0</v>
      </c>
      <c r="F499" s="404"/>
      <c r="G499" s="820"/>
      <c r="H499" s="779"/>
      <c r="I499" s="757"/>
      <c r="J499" s="757"/>
      <c r="K499" s="645"/>
      <c r="L499" s="781"/>
    </row>
    <row r="500" spans="1:12" ht="15.95" customHeight="1">
      <c r="C500" s="404"/>
      <c r="D500" s="404"/>
      <c r="G500" s="645"/>
      <c r="H500" s="645"/>
      <c r="I500" s="645"/>
      <c r="J500" s="645"/>
      <c r="K500" s="645"/>
    </row>
    <row r="501" spans="1:12" ht="15.95" customHeight="1">
      <c r="B501" s="707" t="s">
        <v>2283</v>
      </c>
      <c r="G501" s="773"/>
      <c r="H501" s="774"/>
      <c r="I501" s="730"/>
      <c r="J501" s="645"/>
      <c r="K501" s="645"/>
    </row>
    <row r="502" spans="1:12" ht="30" customHeight="1">
      <c r="B502" s="619" t="s">
        <v>7</v>
      </c>
      <c r="C502" s="696" t="s">
        <v>4</v>
      </c>
      <c r="D502" s="619" t="s">
        <v>202</v>
      </c>
      <c r="E502" s="619" t="s">
        <v>2281</v>
      </c>
      <c r="F502" s="619" t="s">
        <v>2253</v>
      </c>
      <c r="G502" s="619" t="s">
        <v>2254</v>
      </c>
      <c r="H502" s="775"/>
      <c r="I502" s="646"/>
      <c r="J502" s="646"/>
      <c r="K502" s="645"/>
    </row>
    <row r="503" spans="1:12" ht="15.95" customHeight="1">
      <c r="B503" s="720" t="s">
        <v>238</v>
      </c>
      <c r="C503" s="708">
        <v>1</v>
      </c>
      <c r="D503" s="776">
        <v>4</v>
      </c>
      <c r="E503" s="777">
        <f>C503*D503</f>
        <v>4</v>
      </c>
      <c r="F503" s="708">
        <f>$D$487</f>
        <v>0</v>
      </c>
      <c r="G503" s="583">
        <f>E503*F503</f>
        <v>0</v>
      </c>
      <c r="H503" s="779"/>
      <c r="I503" s="757"/>
      <c r="J503" s="757"/>
      <c r="K503" s="645"/>
    </row>
    <row r="504" spans="1:12" ht="15.95" customHeight="1">
      <c r="B504" s="720" t="s">
        <v>240</v>
      </c>
      <c r="C504" s="708">
        <v>1</v>
      </c>
      <c r="D504" s="776">
        <v>3</v>
      </c>
      <c r="E504" s="777">
        <f>C504*D504*$D$487</f>
        <v>0</v>
      </c>
      <c r="F504" s="708">
        <f>F503</f>
        <v>0</v>
      </c>
      <c r="G504" s="583">
        <f>E504*F504</f>
        <v>0</v>
      </c>
      <c r="H504" s="779"/>
      <c r="I504" s="757"/>
      <c r="J504" s="757"/>
      <c r="K504" s="645"/>
    </row>
    <row r="505" spans="1:12" ht="15.95" customHeight="1">
      <c r="B505" s="720" t="s">
        <v>249</v>
      </c>
      <c r="C505" s="708">
        <v>1</v>
      </c>
      <c r="D505" s="776">
        <v>1</v>
      </c>
      <c r="E505" s="777">
        <f>C505*D505*$D$487</f>
        <v>0</v>
      </c>
      <c r="F505" s="708">
        <f>F504</f>
        <v>0</v>
      </c>
      <c r="G505" s="583">
        <f>E505*F505</f>
        <v>0</v>
      </c>
      <c r="H505" s="779"/>
      <c r="I505" s="757"/>
      <c r="J505" s="757"/>
      <c r="K505" s="645"/>
    </row>
    <row r="506" spans="1:12" ht="15.95" customHeight="1">
      <c r="B506" s="720" t="s">
        <v>250</v>
      </c>
      <c r="C506" s="708">
        <v>1</v>
      </c>
      <c r="D506" s="776">
        <v>1</v>
      </c>
      <c r="E506" s="777">
        <f>C506*D506*$D$487</f>
        <v>0</v>
      </c>
      <c r="F506" s="708">
        <f>F505</f>
        <v>0</v>
      </c>
      <c r="G506" s="583">
        <f>E506*F506</f>
        <v>0</v>
      </c>
      <c r="H506" s="779"/>
      <c r="I506" s="757"/>
      <c r="J506" s="757"/>
      <c r="K506" s="645"/>
    </row>
    <row r="507" spans="1:12" s="607" customFormat="1" ht="15.95" customHeight="1">
      <c r="A507" s="618"/>
      <c r="B507" s="720" t="s">
        <v>251</v>
      </c>
      <c r="C507" s="708">
        <v>1</v>
      </c>
      <c r="D507" s="776">
        <v>3</v>
      </c>
      <c r="E507" s="777">
        <f>C507*D507*$D$487</f>
        <v>0</v>
      </c>
      <c r="F507" s="708">
        <f>F506</f>
        <v>0</v>
      </c>
      <c r="G507" s="583">
        <f>E507*F507</f>
        <v>0</v>
      </c>
      <c r="H507" s="779"/>
      <c r="I507" s="757"/>
      <c r="J507" s="757"/>
      <c r="K507" s="633"/>
      <c r="L507" s="606"/>
    </row>
    <row r="508" spans="1:12" s="607" customFormat="1" ht="15.95" customHeight="1">
      <c r="A508" s="618"/>
      <c r="E508" s="606"/>
      <c r="F508" s="780"/>
      <c r="G508" s="633"/>
      <c r="H508" s="633"/>
      <c r="I508" s="633"/>
      <c r="J508" s="633"/>
      <c r="K508" s="633"/>
      <c r="L508" s="606"/>
    </row>
    <row r="509" spans="1:12" ht="15.95" customHeight="1">
      <c r="B509" s="707" t="s">
        <v>2284</v>
      </c>
      <c r="G509" s="773"/>
      <c r="H509" s="774"/>
      <c r="I509" s="730"/>
      <c r="J509" s="645"/>
      <c r="K509" s="645"/>
    </row>
    <row r="510" spans="1:12" ht="30" customHeight="1">
      <c r="B510" s="619" t="s">
        <v>7</v>
      </c>
      <c r="C510" s="696" t="s">
        <v>4</v>
      </c>
      <c r="D510" s="619" t="s">
        <v>202</v>
      </c>
      <c r="E510" s="619" t="s">
        <v>2281</v>
      </c>
      <c r="F510" s="619" t="s">
        <v>2253</v>
      </c>
      <c r="G510" s="619" t="s">
        <v>2254</v>
      </c>
      <c r="H510" s="775"/>
      <c r="I510" s="646"/>
      <c r="J510" s="646"/>
      <c r="K510" s="645"/>
    </row>
    <row r="511" spans="1:12" ht="15.95" customHeight="1">
      <c r="B511" s="720" t="s">
        <v>252</v>
      </c>
      <c r="C511" s="708">
        <v>3</v>
      </c>
      <c r="D511" s="776">
        <v>1</v>
      </c>
      <c r="E511" s="777">
        <f t="shared" ref="E511:E516" si="46">C511*D511</f>
        <v>3</v>
      </c>
      <c r="F511" s="871"/>
      <c r="G511" s="583">
        <f t="shared" ref="G511:G516" si="47">E511*F511</f>
        <v>0</v>
      </c>
      <c r="H511" s="779"/>
      <c r="I511" s="757"/>
      <c r="J511" s="757"/>
      <c r="K511" s="645"/>
    </row>
    <row r="512" spans="1:12" ht="15.95" customHeight="1">
      <c r="B512" s="720" t="s">
        <v>254</v>
      </c>
      <c r="C512" s="708">
        <v>3</v>
      </c>
      <c r="D512" s="776">
        <v>1</v>
      </c>
      <c r="E512" s="777">
        <f t="shared" si="46"/>
        <v>3</v>
      </c>
      <c r="F512" s="871"/>
      <c r="G512" s="583">
        <f t="shared" si="47"/>
        <v>0</v>
      </c>
      <c r="H512" s="779"/>
      <c r="I512" s="757"/>
      <c r="J512" s="757"/>
      <c r="K512" s="645"/>
    </row>
    <row r="513" spans="1:12" ht="15.95" customHeight="1">
      <c r="B513" s="720" t="s">
        <v>2781</v>
      </c>
      <c r="C513" s="708">
        <v>2</v>
      </c>
      <c r="D513" s="776">
        <v>1</v>
      </c>
      <c r="E513" s="777">
        <f t="shared" si="46"/>
        <v>2</v>
      </c>
      <c r="F513" s="871"/>
      <c r="G513" s="583">
        <f t="shared" si="47"/>
        <v>0</v>
      </c>
      <c r="H513" s="779"/>
      <c r="I513" s="757"/>
      <c r="J513" s="757"/>
      <c r="K513" s="645"/>
    </row>
    <row r="514" spans="1:12" ht="15.95" customHeight="1">
      <c r="B514" s="720" t="s">
        <v>255</v>
      </c>
      <c r="C514" s="708">
        <v>2</v>
      </c>
      <c r="D514" s="776">
        <v>1</v>
      </c>
      <c r="E514" s="777">
        <f t="shared" si="46"/>
        <v>2</v>
      </c>
      <c r="F514" s="871"/>
      <c r="G514" s="583">
        <f t="shared" si="47"/>
        <v>0</v>
      </c>
      <c r="H514" s="779"/>
      <c r="I514" s="757"/>
      <c r="J514" s="757"/>
      <c r="K514" s="645"/>
    </row>
    <row r="515" spans="1:12" ht="15.95" customHeight="1">
      <c r="B515" s="720" t="s">
        <v>2038</v>
      </c>
      <c r="C515" s="708">
        <v>2</v>
      </c>
      <c r="D515" s="776">
        <v>1</v>
      </c>
      <c r="E515" s="777">
        <f t="shared" si="46"/>
        <v>2</v>
      </c>
      <c r="F515" s="871"/>
      <c r="G515" s="583">
        <f t="shared" si="47"/>
        <v>0</v>
      </c>
      <c r="H515" s="779"/>
      <c r="I515" s="757"/>
      <c r="J515" s="757"/>
      <c r="K515" s="645"/>
    </row>
    <row r="516" spans="1:12" ht="15.95" customHeight="1">
      <c r="B516" s="720" t="s">
        <v>256</v>
      </c>
      <c r="C516" s="708">
        <v>1</v>
      </c>
      <c r="D516" s="776">
        <v>1</v>
      </c>
      <c r="E516" s="777">
        <f t="shared" si="46"/>
        <v>1</v>
      </c>
      <c r="F516" s="871"/>
      <c r="G516" s="583">
        <f t="shared" si="47"/>
        <v>0</v>
      </c>
      <c r="H516" s="779"/>
      <c r="I516" s="757"/>
      <c r="J516" s="757"/>
      <c r="K516" s="645"/>
    </row>
    <row r="517" spans="1:12" s="607" customFormat="1" ht="15.95" customHeight="1">
      <c r="A517" s="618"/>
      <c r="B517" s="783"/>
      <c r="C517" s="785"/>
      <c r="D517" s="807"/>
      <c r="E517" s="757"/>
      <c r="F517" s="780"/>
      <c r="G517" s="820"/>
      <c r="H517" s="779"/>
      <c r="I517" s="757"/>
      <c r="J517" s="757"/>
      <c r="K517" s="633"/>
      <c r="L517" s="606"/>
    </row>
    <row r="518" spans="1:12" s="607" customFormat="1" ht="15.95" customHeight="1">
      <c r="A518" s="618"/>
      <c r="B518" s="707" t="s">
        <v>2775</v>
      </c>
      <c r="C518" s="688"/>
      <c r="D518" s="689"/>
      <c r="E518" s="687"/>
      <c r="F518" s="780"/>
      <c r="G518" s="773"/>
      <c r="H518" s="774"/>
      <c r="I518" s="730"/>
      <c r="J518" s="645"/>
      <c r="K518" s="633"/>
      <c r="L518" s="606"/>
    </row>
    <row r="519" spans="1:12" s="607" customFormat="1" ht="15.95" customHeight="1">
      <c r="A519" s="618"/>
      <c r="B519" s="707" t="s">
        <v>248</v>
      </c>
      <c r="C519" s="688"/>
      <c r="D519" s="689"/>
      <c r="E519" s="687"/>
      <c r="F519" s="780"/>
      <c r="G519" s="773"/>
      <c r="H519" s="774"/>
      <c r="I519" s="730"/>
      <c r="J519" s="645"/>
      <c r="K519" s="633"/>
      <c r="L519" s="606"/>
    </row>
    <row r="520" spans="1:12" s="607" customFormat="1" ht="32.1" customHeight="1">
      <c r="A520" s="618"/>
      <c r="B520" s="619" t="s">
        <v>7</v>
      </c>
      <c r="C520" s="696" t="s">
        <v>4</v>
      </c>
      <c r="D520" s="619" t="s">
        <v>202</v>
      </c>
      <c r="E520" s="619" t="s">
        <v>2281</v>
      </c>
      <c r="F520" s="619" t="s">
        <v>2253</v>
      </c>
      <c r="G520" s="619" t="s">
        <v>2254</v>
      </c>
      <c r="H520" s="775"/>
      <c r="I520" s="646"/>
      <c r="J520" s="646"/>
      <c r="K520" s="633"/>
      <c r="L520" s="606"/>
    </row>
    <row r="521" spans="1:12" s="607" customFormat="1" ht="18" customHeight="1">
      <c r="A521" s="618"/>
      <c r="B521" s="720" t="s">
        <v>216</v>
      </c>
      <c r="C521" s="721">
        <v>1</v>
      </c>
      <c r="D521" s="708">
        <v>2</v>
      </c>
      <c r="E521" s="596">
        <f>C521*D521</f>
        <v>2</v>
      </c>
      <c r="F521" s="721">
        <f>($D$487+$D$488)</f>
        <v>0</v>
      </c>
      <c r="G521" s="583">
        <f>E521*F521</f>
        <v>0</v>
      </c>
      <c r="H521" s="822"/>
      <c r="I521" s="779"/>
      <c r="J521" s="645"/>
      <c r="K521" s="633"/>
      <c r="L521" s="606"/>
    </row>
    <row r="522" spans="1:12" s="607" customFormat="1" ht="18" customHeight="1">
      <c r="A522" s="618"/>
      <c r="B522" s="720" t="s">
        <v>217</v>
      </c>
      <c r="C522" s="721">
        <v>1</v>
      </c>
      <c r="D522" s="708">
        <v>2</v>
      </c>
      <c r="E522" s="596">
        <f t="shared" ref="E522:E531" si="48">C522*D522</f>
        <v>2</v>
      </c>
      <c r="F522" s="721">
        <f t="shared" ref="F522:F531" si="49">($D$487+$D$488)</f>
        <v>0</v>
      </c>
      <c r="G522" s="583">
        <f t="shared" ref="G522:G531" si="50">E522*F522</f>
        <v>0</v>
      </c>
      <c r="H522" s="779"/>
      <c r="I522" s="779"/>
      <c r="J522" s="645"/>
      <c r="K522" s="633"/>
      <c r="L522" s="606"/>
    </row>
    <row r="523" spans="1:12" s="607" customFormat="1" ht="18" customHeight="1">
      <c r="A523" s="618"/>
      <c r="B523" s="720" t="s">
        <v>218</v>
      </c>
      <c r="C523" s="721">
        <v>1</v>
      </c>
      <c r="D523" s="708">
        <v>3</v>
      </c>
      <c r="E523" s="596">
        <f t="shared" si="48"/>
        <v>3</v>
      </c>
      <c r="F523" s="721">
        <f t="shared" si="49"/>
        <v>0</v>
      </c>
      <c r="G523" s="583">
        <f t="shared" si="50"/>
        <v>0</v>
      </c>
      <c r="H523" s="779"/>
      <c r="I523" s="779"/>
      <c r="J523" s="645"/>
      <c r="K523" s="633"/>
      <c r="L523" s="606"/>
    </row>
    <row r="524" spans="1:12" s="607" customFormat="1" ht="18" customHeight="1">
      <c r="A524" s="618"/>
      <c r="B524" s="720" t="s">
        <v>2118</v>
      </c>
      <c r="C524" s="721">
        <v>1</v>
      </c>
      <c r="D524" s="708">
        <v>1</v>
      </c>
      <c r="E524" s="596">
        <f t="shared" si="48"/>
        <v>1</v>
      </c>
      <c r="F524" s="721">
        <f t="shared" si="49"/>
        <v>0</v>
      </c>
      <c r="G524" s="583">
        <f t="shared" si="50"/>
        <v>0</v>
      </c>
      <c r="H524" s="779"/>
      <c r="I524" s="779"/>
      <c r="J524" s="645"/>
      <c r="K524" s="633"/>
      <c r="L524" s="606"/>
    </row>
    <row r="525" spans="1:12" s="607" customFormat="1" ht="18" customHeight="1">
      <c r="A525" s="618"/>
      <c r="B525" s="720" t="s">
        <v>244</v>
      </c>
      <c r="C525" s="721">
        <v>1</v>
      </c>
      <c r="D525" s="708">
        <v>2</v>
      </c>
      <c r="E525" s="596">
        <f t="shared" si="48"/>
        <v>2</v>
      </c>
      <c r="F525" s="721">
        <f t="shared" si="49"/>
        <v>0</v>
      </c>
      <c r="G525" s="583">
        <f t="shared" si="50"/>
        <v>0</v>
      </c>
      <c r="H525" s="779"/>
      <c r="I525" s="779"/>
      <c r="J525" s="645"/>
      <c r="K525" s="633"/>
      <c r="L525" s="606"/>
    </row>
    <row r="526" spans="1:12" s="607" customFormat="1" ht="18" customHeight="1">
      <c r="A526" s="618"/>
      <c r="B526" s="720" t="s">
        <v>268</v>
      </c>
      <c r="C526" s="721">
        <v>1</v>
      </c>
      <c r="D526" s="708">
        <v>1</v>
      </c>
      <c r="E526" s="596">
        <f t="shared" si="48"/>
        <v>1</v>
      </c>
      <c r="F526" s="721">
        <f t="shared" si="49"/>
        <v>0</v>
      </c>
      <c r="G526" s="583">
        <f t="shared" si="50"/>
        <v>0</v>
      </c>
      <c r="H526" s="779"/>
      <c r="I526" s="779"/>
      <c r="J526" s="645"/>
      <c r="K526" s="633"/>
      <c r="L526" s="606"/>
    </row>
    <row r="527" spans="1:12" s="607" customFormat="1" ht="18" customHeight="1">
      <c r="A527" s="618"/>
      <c r="B527" s="720" t="s">
        <v>245</v>
      </c>
      <c r="C527" s="721">
        <v>1</v>
      </c>
      <c r="D527" s="708">
        <v>2</v>
      </c>
      <c r="E527" s="596">
        <f t="shared" si="48"/>
        <v>2</v>
      </c>
      <c r="F527" s="721">
        <f t="shared" si="49"/>
        <v>0</v>
      </c>
      <c r="G527" s="583">
        <f t="shared" si="50"/>
        <v>0</v>
      </c>
      <c r="H527" s="779"/>
      <c r="I527" s="779"/>
      <c r="J527" s="645"/>
      <c r="K527" s="633"/>
      <c r="L527" s="606"/>
    </row>
    <row r="528" spans="1:12" s="607" customFormat="1" ht="18" customHeight="1">
      <c r="A528" s="618"/>
      <c r="B528" s="720" t="s">
        <v>232</v>
      </c>
      <c r="C528" s="721">
        <v>1</v>
      </c>
      <c r="D528" s="708">
        <v>6</v>
      </c>
      <c r="E528" s="596">
        <f t="shared" si="48"/>
        <v>6</v>
      </c>
      <c r="F528" s="721">
        <f t="shared" si="49"/>
        <v>0</v>
      </c>
      <c r="G528" s="583">
        <f t="shared" si="50"/>
        <v>0</v>
      </c>
      <c r="H528" s="779"/>
      <c r="I528" s="779"/>
      <c r="J528" s="645"/>
      <c r="K528" s="633"/>
      <c r="L528" s="606"/>
    </row>
    <row r="529" spans="1:14" s="607" customFormat="1" ht="18" customHeight="1">
      <c r="A529" s="618"/>
      <c r="B529" s="720" t="s">
        <v>257</v>
      </c>
      <c r="C529" s="721">
        <v>1</v>
      </c>
      <c r="D529" s="708">
        <v>3</v>
      </c>
      <c r="E529" s="596">
        <f t="shared" si="48"/>
        <v>3</v>
      </c>
      <c r="F529" s="721">
        <f t="shared" si="49"/>
        <v>0</v>
      </c>
      <c r="G529" s="583">
        <f t="shared" si="50"/>
        <v>0</v>
      </c>
      <c r="H529" s="779"/>
      <c r="I529" s="779"/>
      <c r="J529" s="645"/>
      <c r="K529" s="633"/>
      <c r="L529" s="606"/>
    </row>
    <row r="530" spans="1:14" s="607" customFormat="1" ht="18" customHeight="1">
      <c r="A530" s="618"/>
      <c r="B530" s="720" t="s">
        <v>2120</v>
      </c>
      <c r="C530" s="721">
        <v>1</v>
      </c>
      <c r="D530" s="708">
        <v>12</v>
      </c>
      <c r="E530" s="596">
        <f t="shared" si="48"/>
        <v>12</v>
      </c>
      <c r="F530" s="721">
        <f t="shared" si="49"/>
        <v>0</v>
      </c>
      <c r="G530" s="583">
        <f t="shared" si="50"/>
        <v>0</v>
      </c>
      <c r="H530" s="779"/>
      <c r="I530" s="779"/>
      <c r="J530" s="645"/>
      <c r="K530" s="633"/>
      <c r="L530" s="606"/>
    </row>
    <row r="531" spans="1:14" s="607" customFormat="1" ht="18" customHeight="1">
      <c r="A531" s="618"/>
      <c r="B531" s="720" t="s">
        <v>2782</v>
      </c>
      <c r="C531" s="721">
        <v>1</v>
      </c>
      <c r="D531" s="708">
        <v>2</v>
      </c>
      <c r="E531" s="596">
        <f t="shared" si="48"/>
        <v>2</v>
      </c>
      <c r="F531" s="721">
        <f t="shared" si="49"/>
        <v>0</v>
      </c>
      <c r="G531" s="583">
        <f t="shared" si="50"/>
        <v>0</v>
      </c>
      <c r="H531" s="779"/>
      <c r="I531" s="779"/>
      <c r="J531" s="645"/>
      <c r="K531" s="633"/>
      <c r="L531" s="606"/>
    </row>
    <row r="533" spans="1:14" s="607" customFormat="1" ht="15.95" customHeight="1">
      <c r="A533" s="618"/>
      <c r="B533" s="584" t="s">
        <v>2139</v>
      </c>
      <c r="C533" s="823"/>
      <c r="D533" s="824"/>
      <c r="E533" s="687"/>
      <c r="F533" s="404"/>
      <c r="G533" s="404"/>
      <c r="H533" s="404"/>
      <c r="L533" s="606"/>
    </row>
    <row r="534" spans="1:14" s="607" customFormat="1" ht="15.95" customHeight="1">
      <c r="A534" s="618"/>
      <c r="B534" s="826"/>
      <c r="C534" s="812"/>
      <c r="D534" s="827"/>
      <c r="E534" s="687"/>
      <c r="F534" s="404"/>
      <c r="G534" s="404"/>
      <c r="H534" s="404"/>
      <c r="L534" s="606"/>
    </row>
    <row r="535" spans="1:14" s="607" customFormat="1" ht="15.95" customHeight="1">
      <c r="A535" s="618"/>
      <c r="B535" s="826"/>
      <c r="C535" s="812"/>
      <c r="D535" s="827"/>
      <c r="E535" s="687"/>
      <c r="F535" s="404"/>
      <c r="G535" s="404"/>
      <c r="H535" s="404"/>
      <c r="L535" s="606"/>
    </row>
    <row r="536" spans="1:14" ht="15.95" customHeight="1">
      <c r="B536" s="816" t="s">
        <v>2287</v>
      </c>
      <c r="C536" s="686"/>
      <c r="D536" s="686"/>
      <c r="E536" s="684"/>
      <c r="F536" s="403"/>
      <c r="G536" s="403"/>
      <c r="H536" s="403"/>
      <c r="I536" s="403"/>
      <c r="J536" s="403"/>
      <c r="K536" s="403"/>
      <c r="L536" s="684"/>
      <c r="M536" s="403"/>
      <c r="N536" s="403"/>
    </row>
    <row r="537" spans="1:14" ht="15.95" customHeight="1">
      <c r="B537" s="768"/>
      <c r="C537" s="689"/>
    </row>
    <row r="538" spans="1:14" ht="15">
      <c r="B538" s="798" t="s">
        <v>2897</v>
      </c>
      <c r="C538" s="711" t="s">
        <v>2059</v>
      </c>
      <c r="G538" s="773"/>
      <c r="H538" s="774"/>
      <c r="I538" s="730"/>
      <c r="J538" s="645"/>
      <c r="K538" s="645"/>
    </row>
    <row r="540" spans="1:14" ht="15.95" customHeight="1">
      <c r="B540" s="768" t="s">
        <v>206</v>
      </c>
      <c r="C540" s="404"/>
      <c r="D540" s="404"/>
      <c r="G540" s="793"/>
      <c r="H540" s="645"/>
      <c r="I540" s="645"/>
      <c r="J540" s="645"/>
      <c r="K540" s="645"/>
    </row>
    <row r="541" spans="1:14" ht="27" customHeight="1">
      <c r="B541" s="619" t="s">
        <v>7</v>
      </c>
      <c r="C541" s="696" t="s">
        <v>4</v>
      </c>
      <c r="D541" s="619" t="s">
        <v>841</v>
      </c>
      <c r="G541" s="646"/>
      <c r="H541" s="775"/>
      <c r="I541" s="646"/>
      <c r="J541" s="645"/>
      <c r="K541" s="645"/>
    </row>
    <row r="542" spans="1:14" ht="15.95" customHeight="1">
      <c r="B542" s="769" t="s">
        <v>248</v>
      </c>
      <c r="C542" s="788"/>
      <c r="D542" s="708">
        <f>C542</f>
        <v>0</v>
      </c>
      <c r="G542" s="806"/>
      <c r="H542" s="779"/>
      <c r="I542" s="779"/>
      <c r="J542" s="645"/>
      <c r="K542" s="645"/>
    </row>
    <row r="543" spans="1:14" ht="15.95" customHeight="1">
      <c r="B543" s="805" t="s">
        <v>2039</v>
      </c>
      <c r="C543" s="708">
        <f>C554+C555+C556</f>
        <v>0</v>
      </c>
      <c r="D543" s="708">
        <f>C543</f>
        <v>0</v>
      </c>
      <c r="G543" s="806"/>
      <c r="H543" s="779"/>
      <c r="I543" s="779"/>
      <c r="J543" s="645"/>
      <c r="K543" s="645"/>
    </row>
    <row r="544" spans="1:14" s="645" customFormat="1" ht="15.95" customHeight="1">
      <c r="B544" s="819"/>
      <c r="C544" s="736"/>
      <c r="D544" s="736"/>
      <c r="E544" s="731"/>
      <c r="G544" s="819"/>
      <c r="H544" s="736"/>
      <c r="I544" s="736"/>
      <c r="L544" s="731"/>
    </row>
    <row r="545" spans="1:12" ht="15">
      <c r="B545" s="707" t="s">
        <v>820</v>
      </c>
      <c r="G545" s="773"/>
      <c r="H545" s="774"/>
      <c r="I545" s="730"/>
      <c r="J545" s="645"/>
      <c r="K545" s="645"/>
    </row>
    <row r="546" spans="1:12" s="780" customFormat="1" ht="29.25" customHeight="1">
      <c r="A546" s="405"/>
      <c r="B546" s="619" t="s">
        <v>2286</v>
      </c>
      <c r="C546" s="696" t="s">
        <v>4</v>
      </c>
      <c r="D546" s="619" t="s">
        <v>202</v>
      </c>
      <c r="E546" s="619" t="s">
        <v>807</v>
      </c>
      <c r="F546" s="404"/>
      <c r="G546" s="646"/>
      <c r="H546" s="775"/>
      <c r="I546" s="646"/>
      <c r="J546" s="646"/>
      <c r="K546" s="645"/>
      <c r="L546" s="781"/>
    </row>
    <row r="547" spans="1:12" s="780" customFormat="1" ht="15.75" customHeight="1">
      <c r="A547" s="405"/>
      <c r="B547" s="720" t="s">
        <v>2048</v>
      </c>
      <c r="C547" s="770"/>
      <c r="D547" s="776">
        <v>1</v>
      </c>
      <c r="E547" s="777">
        <f>C547*D547</f>
        <v>0</v>
      </c>
      <c r="F547" s="404"/>
      <c r="G547" s="646"/>
      <c r="H547" s="775"/>
      <c r="I547" s="646"/>
      <c r="J547" s="646"/>
      <c r="K547" s="645"/>
      <c r="L547" s="781"/>
    </row>
    <row r="548" spans="1:12" s="780" customFormat="1" ht="16.5" customHeight="1">
      <c r="A548" s="405"/>
      <c r="B548" s="720" t="s">
        <v>2052</v>
      </c>
      <c r="C548" s="770"/>
      <c r="D548" s="776">
        <v>1</v>
      </c>
      <c r="E548" s="777">
        <f>C548*D548</f>
        <v>0</v>
      </c>
      <c r="F548" s="404"/>
      <c r="G548" s="820"/>
      <c r="H548" s="779"/>
      <c r="I548" s="757"/>
      <c r="J548" s="757"/>
      <c r="K548" s="645"/>
      <c r="L548" s="781"/>
    </row>
    <row r="549" spans="1:12" s="780" customFormat="1" ht="16.5" customHeight="1">
      <c r="A549" s="405"/>
      <c r="B549" s="720" t="s">
        <v>2053</v>
      </c>
      <c r="C549" s="770"/>
      <c r="D549" s="776">
        <v>1</v>
      </c>
      <c r="E549" s="777">
        <f t="shared" ref="E549:E556" si="51">C549*D549</f>
        <v>0</v>
      </c>
      <c r="F549" s="404"/>
      <c r="G549" s="820"/>
      <c r="H549" s="779"/>
      <c r="I549" s="757"/>
      <c r="J549" s="757"/>
      <c r="K549" s="645"/>
      <c r="L549" s="781"/>
    </row>
    <row r="550" spans="1:12" s="780" customFormat="1" ht="16.5" customHeight="1">
      <c r="A550" s="405"/>
      <c r="B550" s="720" t="s">
        <v>153</v>
      </c>
      <c r="C550" s="770"/>
      <c r="D550" s="776">
        <v>1</v>
      </c>
      <c r="E550" s="777">
        <f t="shared" si="51"/>
        <v>0</v>
      </c>
      <c r="F550" s="404"/>
      <c r="G550" s="820"/>
      <c r="H550" s="779"/>
      <c r="I550" s="757"/>
      <c r="J550" s="757"/>
      <c r="K550" s="645"/>
      <c r="L550" s="781"/>
    </row>
    <row r="551" spans="1:12" s="780" customFormat="1" ht="16.5" customHeight="1">
      <c r="A551" s="405"/>
      <c r="B551" s="783"/>
      <c r="C551" s="785"/>
      <c r="D551" s="807"/>
      <c r="E551" s="757"/>
      <c r="F551" s="404"/>
      <c r="G551" s="820"/>
      <c r="H551" s="779"/>
      <c r="I551" s="757"/>
      <c r="J551" s="757"/>
      <c r="K551" s="645"/>
      <c r="L551" s="781"/>
    </row>
    <row r="552" spans="1:12" s="780" customFormat="1" ht="16.5" customHeight="1">
      <c r="A552" s="405"/>
      <c r="B552" s="707" t="s">
        <v>2285</v>
      </c>
      <c r="C552" s="785"/>
      <c r="D552" s="807"/>
      <c r="E552" s="757"/>
      <c r="F552" s="404"/>
      <c r="G552" s="820"/>
      <c r="H552" s="779"/>
      <c r="I552" s="757"/>
      <c r="J552" s="757"/>
      <c r="K552" s="645"/>
      <c r="L552" s="781"/>
    </row>
    <row r="553" spans="1:12" s="780" customFormat="1" ht="31.5" customHeight="1">
      <c r="A553" s="405"/>
      <c r="B553" s="619" t="s">
        <v>7</v>
      </c>
      <c r="C553" s="696" t="s">
        <v>4</v>
      </c>
      <c r="D553" s="619" t="s">
        <v>841</v>
      </c>
      <c r="E553" s="619" t="s">
        <v>807</v>
      </c>
      <c r="F553" s="404"/>
      <c r="G553" s="820"/>
      <c r="H553" s="779"/>
      <c r="I553" s="757"/>
      <c r="J553" s="757"/>
      <c r="K553" s="645"/>
      <c r="L553" s="781"/>
    </row>
    <row r="554" spans="1:12" s="780" customFormat="1" ht="16.5" customHeight="1">
      <c r="A554" s="405"/>
      <c r="B554" s="828" t="s">
        <v>668</v>
      </c>
      <c r="C554" s="770"/>
      <c r="D554" s="776">
        <v>1</v>
      </c>
      <c r="E554" s="777">
        <f>C554*D554</f>
        <v>0</v>
      </c>
      <c r="F554" s="404"/>
      <c r="G554" s="820"/>
      <c r="H554" s="779"/>
      <c r="I554" s="757"/>
      <c r="J554" s="757"/>
      <c r="K554" s="645"/>
      <c r="L554" s="781"/>
    </row>
    <row r="555" spans="1:12" s="780" customFormat="1" ht="29.25" customHeight="1">
      <c r="A555" s="405"/>
      <c r="B555" s="829"/>
      <c r="C555" s="770"/>
      <c r="D555" s="776">
        <v>1</v>
      </c>
      <c r="E555" s="777">
        <f t="shared" si="51"/>
        <v>0</v>
      </c>
      <c r="F555" s="404"/>
      <c r="G555" s="820"/>
      <c r="H555" s="779"/>
      <c r="I555" s="757"/>
      <c r="J555" s="757"/>
      <c r="K555" s="645"/>
      <c r="L555" s="781"/>
    </row>
    <row r="556" spans="1:12" s="780" customFormat="1" ht="16.5" customHeight="1">
      <c r="A556" s="405"/>
      <c r="B556" s="828" t="s">
        <v>2712</v>
      </c>
      <c r="C556" s="770"/>
      <c r="D556" s="776">
        <v>1</v>
      </c>
      <c r="E556" s="777">
        <f t="shared" si="51"/>
        <v>0</v>
      </c>
      <c r="F556" s="404"/>
      <c r="G556" s="820"/>
      <c r="H556" s="779"/>
      <c r="I556" s="757"/>
      <c r="J556" s="757"/>
      <c r="K556" s="645"/>
      <c r="L556" s="781"/>
    </row>
    <row r="557" spans="1:12" s="405" customFormat="1" ht="16.5" customHeight="1">
      <c r="B557" s="830"/>
      <c r="C557" s="779"/>
      <c r="D557" s="757"/>
      <c r="E557" s="757"/>
      <c r="G557" s="820"/>
      <c r="H557" s="779"/>
      <c r="I557" s="757"/>
      <c r="J557" s="757"/>
      <c r="K557" s="645"/>
      <c r="L557" s="699"/>
    </row>
    <row r="558" spans="1:12" ht="15.95" customHeight="1">
      <c r="B558" s="707" t="s">
        <v>2271</v>
      </c>
      <c r="G558" s="773"/>
      <c r="H558" s="774"/>
      <c r="I558" s="730"/>
      <c r="J558" s="645"/>
      <c r="K558" s="645"/>
    </row>
    <row r="559" spans="1:12" ht="30" customHeight="1">
      <c r="B559" s="619" t="s">
        <v>7</v>
      </c>
      <c r="C559" s="696" t="s">
        <v>4</v>
      </c>
      <c r="D559" s="619" t="s">
        <v>202</v>
      </c>
      <c r="E559" s="619" t="s">
        <v>2281</v>
      </c>
      <c r="F559" s="619" t="s">
        <v>2253</v>
      </c>
      <c r="G559" s="619" t="s">
        <v>2254</v>
      </c>
      <c r="H559" s="775"/>
      <c r="I559" s="646"/>
      <c r="J559" s="646"/>
      <c r="K559" s="645"/>
    </row>
    <row r="560" spans="1:12" ht="15.95" customHeight="1">
      <c r="B560" s="720" t="s">
        <v>238</v>
      </c>
      <c r="C560" s="708">
        <v>3</v>
      </c>
      <c r="D560" s="776">
        <v>4</v>
      </c>
      <c r="E560" s="777">
        <f>C560*D560</f>
        <v>12</v>
      </c>
      <c r="F560" s="708">
        <f>$D$542</f>
        <v>0</v>
      </c>
      <c r="G560" s="583">
        <f>E560*F560</f>
        <v>0</v>
      </c>
      <c r="H560" s="779"/>
      <c r="I560" s="757"/>
      <c r="J560" s="757"/>
      <c r="K560" s="645"/>
    </row>
    <row r="561" spans="1:12" ht="15.95" customHeight="1">
      <c r="B561" s="720" t="s">
        <v>240</v>
      </c>
      <c r="C561" s="708">
        <v>3</v>
      </c>
      <c r="D561" s="776">
        <v>3</v>
      </c>
      <c r="E561" s="777">
        <f>C561*D561*$D$542</f>
        <v>0</v>
      </c>
      <c r="F561" s="708">
        <f>F560</f>
        <v>0</v>
      </c>
      <c r="G561" s="583">
        <f>E561*F561</f>
        <v>0</v>
      </c>
      <c r="H561" s="779"/>
      <c r="I561" s="757"/>
      <c r="J561" s="757"/>
      <c r="K561" s="645"/>
    </row>
    <row r="562" spans="1:12" ht="15.95" customHeight="1">
      <c r="B562" s="720" t="s">
        <v>249</v>
      </c>
      <c r="C562" s="708">
        <v>2</v>
      </c>
      <c r="D562" s="776">
        <v>1</v>
      </c>
      <c r="E562" s="777">
        <f>C562*D562*$D$542</f>
        <v>0</v>
      </c>
      <c r="F562" s="708">
        <f>F561</f>
        <v>0</v>
      </c>
      <c r="G562" s="583">
        <f>E562*F562</f>
        <v>0</v>
      </c>
      <c r="H562" s="779"/>
      <c r="I562" s="757"/>
      <c r="J562" s="757"/>
      <c r="K562" s="645"/>
    </row>
    <row r="563" spans="1:12" ht="15.95" customHeight="1">
      <c r="B563" s="720" t="s">
        <v>250</v>
      </c>
      <c r="C563" s="708">
        <v>2</v>
      </c>
      <c r="D563" s="776">
        <v>1</v>
      </c>
      <c r="E563" s="777">
        <f>C563*D563*$D$542</f>
        <v>0</v>
      </c>
      <c r="F563" s="708">
        <f>F562</f>
        <v>0</v>
      </c>
      <c r="G563" s="583">
        <f>E563*F563</f>
        <v>0</v>
      </c>
      <c r="H563" s="779"/>
      <c r="I563" s="757"/>
      <c r="J563" s="757"/>
      <c r="K563" s="645"/>
    </row>
    <row r="564" spans="1:12" s="607" customFormat="1" ht="15.95" customHeight="1">
      <c r="A564" s="618"/>
      <c r="B564" s="720" t="s">
        <v>251</v>
      </c>
      <c r="C564" s="708">
        <v>2</v>
      </c>
      <c r="D564" s="776">
        <v>3</v>
      </c>
      <c r="E564" s="777">
        <f>C564*D564*$D$542</f>
        <v>0</v>
      </c>
      <c r="F564" s="708">
        <f>F563</f>
        <v>0</v>
      </c>
      <c r="G564" s="583">
        <f>E564*F564</f>
        <v>0</v>
      </c>
      <c r="H564" s="779"/>
      <c r="I564" s="757"/>
      <c r="J564" s="757"/>
      <c r="K564" s="633"/>
      <c r="L564" s="606"/>
    </row>
    <row r="565" spans="1:12" s="607" customFormat="1" ht="15.95" customHeight="1">
      <c r="A565" s="618"/>
      <c r="E565" s="606"/>
      <c r="F565" s="780"/>
      <c r="G565" s="633"/>
      <c r="H565" s="633"/>
      <c r="I565" s="633"/>
      <c r="J565" s="633"/>
      <c r="K565" s="633"/>
      <c r="L565" s="606"/>
    </row>
    <row r="566" spans="1:12" ht="15.95" customHeight="1">
      <c r="B566" s="707" t="s">
        <v>2288</v>
      </c>
      <c r="G566" s="773"/>
      <c r="H566" s="774"/>
      <c r="I566" s="730"/>
      <c r="J566" s="645"/>
      <c r="K566" s="645"/>
    </row>
    <row r="567" spans="1:12" ht="30" customHeight="1">
      <c r="B567" s="619" t="s">
        <v>7</v>
      </c>
      <c r="C567" s="696" t="s">
        <v>4</v>
      </c>
      <c r="D567" s="619" t="s">
        <v>202</v>
      </c>
      <c r="E567" s="619" t="s">
        <v>2281</v>
      </c>
      <c r="F567" s="619" t="s">
        <v>2253</v>
      </c>
      <c r="G567" s="619" t="s">
        <v>2254</v>
      </c>
      <c r="H567" s="775"/>
      <c r="I567" s="646"/>
      <c r="J567" s="646"/>
      <c r="K567" s="645"/>
    </row>
    <row r="568" spans="1:12" ht="15.95" customHeight="1">
      <c r="B568" s="720" t="s">
        <v>252</v>
      </c>
      <c r="C568" s="708">
        <v>3</v>
      </c>
      <c r="D568" s="776">
        <v>1</v>
      </c>
      <c r="E568" s="777">
        <f t="shared" ref="E568:E573" si="52">C568*D568</f>
        <v>3</v>
      </c>
      <c r="F568" s="788"/>
      <c r="G568" s="583">
        <f t="shared" ref="G568:G573" si="53">E568*F568</f>
        <v>0</v>
      </c>
      <c r="H568" s="779"/>
      <c r="I568" s="757"/>
      <c r="J568" s="757"/>
      <c r="K568" s="645"/>
    </row>
    <row r="569" spans="1:12" ht="15.95" customHeight="1">
      <c r="B569" s="720" t="s">
        <v>254</v>
      </c>
      <c r="C569" s="708">
        <v>3</v>
      </c>
      <c r="D569" s="776">
        <v>1</v>
      </c>
      <c r="E569" s="777">
        <f t="shared" si="52"/>
        <v>3</v>
      </c>
      <c r="F569" s="788"/>
      <c r="G569" s="583">
        <f t="shared" si="53"/>
        <v>0</v>
      </c>
      <c r="H569" s="779"/>
      <c r="I569" s="757"/>
      <c r="J569" s="757"/>
      <c r="K569" s="645"/>
    </row>
    <row r="570" spans="1:12" ht="15.95" customHeight="1">
      <c r="B570" s="720" t="s">
        <v>2781</v>
      </c>
      <c r="C570" s="708">
        <v>2</v>
      </c>
      <c r="D570" s="776">
        <v>1</v>
      </c>
      <c r="E570" s="777">
        <f t="shared" si="52"/>
        <v>2</v>
      </c>
      <c r="F570" s="788"/>
      <c r="G570" s="583">
        <f t="shared" si="53"/>
        <v>0</v>
      </c>
      <c r="H570" s="779"/>
      <c r="I570" s="757"/>
      <c r="J570" s="757"/>
      <c r="K570" s="645"/>
    </row>
    <row r="571" spans="1:12" ht="15.95" customHeight="1">
      <c r="B571" s="720" t="s">
        <v>255</v>
      </c>
      <c r="C571" s="708">
        <v>2</v>
      </c>
      <c r="D571" s="776">
        <v>1</v>
      </c>
      <c r="E571" s="777">
        <f t="shared" si="52"/>
        <v>2</v>
      </c>
      <c r="F571" s="788"/>
      <c r="G571" s="583">
        <f t="shared" si="53"/>
        <v>0</v>
      </c>
      <c r="H571" s="779"/>
      <c r="I571" s="757"/>
      <c r="J571" s="757"/>
      <c r="K571" s="645"/>
    </row>
    <row r="572" spans="1:12" ht="15.95" customHeight="1">
      <c r="B572" s="720" t="s">
        <v>2038</v>
      </c>
      <c r="C572" s="708">
        <v>2</v>
      </c>
      <c r="D572" s="776">
        <v>1</v>
      </c>
      <c r="E572" s="777">
        <f t="shared" si="52"/>
        <v>2</v>
      </c>
      <c r="F572" s="788"/>
      <c r="G572" s="583">
        <f t="shared" si="53"/>
        <v>0</v>
      </c>
      <c r="H572" s="779"/>
      <c r="I572" s="757"/>
      <c r="J572" s="757"/>
      <c r="K572" s="645"/>
    </row>
    <row r="573" spans="1:12" ht="15.95" customHeight="1">
      <c r="B573" s="720" t="s">
        <v>256</v>
      </c>
      <c r="C573" s="708">
        <v>1</v>
      </c>
      <c r="D573" s="776">
        <v>1</v>
      </c>
      <c r="E573" s="777">
        <f t="shared" si="52"/>
        <v>1</v>
      </c>
      <c r="F573" s="788"/>
      <c r="G573" s="583">
        <f t="shared" si="53"/>
        <v>0</v>
      </c>
      <c r="H573" s="779"/>
      <c r="I573" s="757"/>
      <c r="J573" s="757"/>
      <c r="K573" s="645"/>
    </row>
    <row r="574" spans="1:12" s="607" customFormat="1" ht="15.95" customHeight="1">
      <c r="A574" s="618"/>
      <c r="B574" s="783"/>
      <c r="C574" s="785"/>
      <c r="D574" s="807"/>
      <c r="E574" s="757"/>
      <c r="F574" s="780"/>
      <c r="G574" s="820"/>
      <c r="H574" s="779"/>
      <c r="I574" s="757"/>
      <c r="J574" s="757"/>
      <c r="K574" s="633"/>
      <c r="L574" s="606"/>
    </row>
    <row r="575" spans="1:12" s="607" customFormat="1" ht="15.95" customHeight="1">
      <c r="A575" s="618"/>
      <c r="B575" s="707" t="s">
        <v>2784</v>
      </c>
      <c r="C575" s="688"/>
      <c r="D575" s="689"/>
      <c r="E575" s="687"/>
      <c r="F575" s="780"/>
      <c r="G575" s="773"/>
      <c r="H575" s="774"/>
      <c r="I575" s="730"/>
      <c r="J575" s="645"/>
      <c r="K575" s="633"/>
      <c r="L575" s="606"/>
    </row>
    <row r="576" spans="1:12" s="607" customFormat="1" ht="15.95" customHeight="1">
      <c r="A576" s="618"/>
      <c r="B576" s="707" t="s">
        <v>248</v>
      </c>
      <c r="C576" s="688"/>
      <c r="D576" s="689"/>
      <c r="E576" s="687"/>
      <c r="F576" s="780"/>
      <c r="G576" s="773"/>
      <c r="H576" s="774"/>
      <c r="I576" s="730"/>
      <c r="J576" s="645"/>
      <c r="K576" s="633"/>
      <c r="L576" s="606"/>
    </row>
    <row r="577" spans="1:12" s="607" customFormat="1" ht="32.1" customHeight="1">
      <c r="A577" s="618"/>
      <c r="B577" s="619" t="s">
        <v>7</v>
      </c>
      <c r="C577" s="696" t="s">
        <v>4</v>
      </c>
      <c r="D577" s="619" t="s">
        <v>202</v>
      </c>
      <c r="E577" s="619" t="s">
        <v>2281</v>
      </c>
      <c r="F577" s="619" t="s">
        <v>2253</v>
      </c>
      <c r="G577" s="619" t="s">
        <v>2254</v>
      </c>
      <c r="H577" s="775"/>
      <c r="I577" s="646"/>
      <c r="J577" s="646"/>
      <c r="K577" s="633"/>
      <c r="L577" s="606"/>
    </row>
    <row r="578" spans="1:12" s="607" customFormat="1" ht="18" customHeight="1">
      <c r="A578" s="618"/>
      <c r="B578" s="720" t="s">
        <v>216</v>
      </c>
      <c r="C578" s="728">
        <v>1</v>
      </c>
      <c r="D578" s="708">
        <v>2</v>
      </c>
      <c r="E578" s="596">
        <f>C578*D578</f>
        <v>2</v>
      </c>
      <c r="F578" s="721">
        <f>($D$542+$D$543)</f>
        <v>0</v>
      </c>
      <c r="G578" s="583">
        <f>E578*F578</f>
        <v>0</v>
      </c>
      <c r="H578" s="822"/>
      <c r="I578" s="779"/>
      <c r="J578" s="645"/>
      <c r="K578" s="633"/>
      <c r="L578" s="606"/>
    </row>
    <row r="579" spans="1:12" s="607" customFormat="1" ht="18" customHeight="1">
      <c r="A579" s="618"/>
      <c r="B579" s="720" t="s">
        <v>217</v>
      </c>
      <c r="C579" s="721">
        <v>1</v>
      </c>
      <c r="D579" s="708">
        <v>2</v>
      </c>
      <c r="E579" s="596">
        <f t="shared" ref="E579:E588" si="54">C579*D579</f>
        <v>2</v>
      </c>
      <c r="F579" s="721">
        <f>F578</f>
        <v>0</v>
      </c>
      <c r="G579" s="583">
        <f t="shared" ref="G579:G588" si="55">E579*F579</f>
        <v>0</v>
      </c>
      <c r="H579" s="779"/>
      <c r="I579" s="779"/>
      <c r="J579" s="645"/>
      <c r="K579" s="633"/>
      <c r="L579" s="606"/>
    </row>
    <row r="580" spans="1:12" s="607" customFormat="1" ht="18" customHeight="1">
      <c r="A580" s="618"/>
      <c r="B580" s="720" t="s">
        <v>218</v>
      </c>
      <c r="C580" s="721">
        <v>1</v>
      </c>
      <c r="D580" s="708">
        <v>3</v>
      </c>
      <c r="E580" s="596">
        <f t="shared" si="54"/>
        <v>3</v>
      </c>
      <c r="F580" s="721">
        <f t="shared" ref="F580:F588" si="56">F579</f>
        <v>0</v>
      </c>
      <c r="G580" s="583">
        <f t="shared" si="55"/>
        <v>0</v>
      </c>
      <c r="H580" s="779"/>
      <c r="I580" s="779"/>
      <c r="J580" s="645"/>
      <c r="K580" s="633"/>
      <c r="L580" s="606"/>
    </row>
    <row r="581" spans="1:12" s="607" customFormat="1" ht="18" customHeight="1">
      <c r="A581" s="618"/>
      <c r="B581" s="720" t="s">
        <v>2118</v>
      </c>
      <c r="C581" s="721">
        <v>1</v>
      </c>
      <c r="D581" s="708">
        <v>1</v>
      </c>
      <c r="E581" s="596">
        <f t="shared" si="54"/>
        <v>1</v>
      </c>
      <c r="F581" s="721">
        <f t="shared" si="56"/>
        <v>0</v>
      </c>
      <c r="G581" s="583">
        <f t="shared" si="55"/>
        <v>0</v>
      </c>
      <c r="H581" s="779"/>
      <c r="I581" s="779"/>
      <c r="J581" s="645"/>
      <c r="K581" s="633"/>
      <c r="L581" s="606"/>
    </row>
    <row r="582" spans="1:12" s="607" customFormat="1" ht="18" customHeight="1">
      <c r="A582" s="618"/>
      <c r="B582" s="720" t="s">
        <v>244</v>
      </c>
      <c r="C582" s="721">
        <v>1</v>
      </c>
      <c r="D582" s="708">
        <v>2</v>
      </c>
      <c r="E582" s="596">
        <f t="shared" si="54"/>
        <v>2</v>
      </c>
      <c r="F582" s="721">
        <f t="shared" si="56"/>
        <v>0</v>
      </c>
      <c r="G582" s="583">
        <f t="shared" si="55"/>
        <v>0</v>
      </c>
      <c r="H582" s="779"/>
      <c r="I582" s="779"/>
      <c r="J582" s="645"/>
      <c r="K582" s="633"/>
      <c r="L582" s="606"/>
    </row>
    <row r="583" spans="1:12" s="607" customFormat="1" ht="18" customHeight="1">
      <c r="A583" s="618"/>
      <c r="B583" s="720" t="s">
        <v>268</v>
      </c>
      <c r="C583" s="721">
        <v>1</v>
      </c>
      <c r="D583" s="708">
        <v>1</v>
      </c>
      <c r="E583" s="596">
        <f t="shared" si="54"/>
        <v>1</v>
      </c>
      <c r="F583" s="721">
        <f t="shared" si="56"/>
        <v>0</v>
      </c>
      <c r="G583" s="583">
        <f t="shared" si="55"/>
        <v>0</v>
      </c>
      <c r="H583" s="779"/>
      <c r="I583" s="779"/>
      <c r="J583" s="645"/>
      <c r="K583" s="633"/>
      <c r="L583" s="606"/>
    </row>
    <row r="584" spans="1:12" s="607" customFormat="1" ht="18" customHeight="1">
      <c r="A584" s="618"/>
      <c r="B584" s="720" t="s">
        <v>245</v>
      </c>
      <c r="C584" s="721">
        <v>1</v>
      </c>
      <c r="D584" s="708">
        <v>2</v>
      </c>
      <c r="E584" s="596">
        <f t="shared" si="54"/>
        <v>2</v>
      </c>
      <c r="F584" s="721">
        <f t="shared" si="56"/>
        <v>0</v>
      </c>
      <c r="G584" s="583">
        <f t="shared" si="55"/>
        <v>0</v>
      </c>
      <c r="H584" s="779"/>
      <c r="I584" s="779"/>
      <c r="J584" s="645"/>
      <c r="K584" s="633"/>
      <c r="L584" s="606"/>
    </row>
    <row r="585" spans="1:12" s="607" customFormat="1" ht="18" customHeight="1">
      <c r="A585" s="618"/>
      <c r="B585" s="720" t="s">
        <v>232</v>
      </c>
      <c r="C585" s="721">
        <v>1</v>
      </c>
      <c r="D585" s="708">
        <v>6</v>
      </c>
      <c r="E585" s="596">
        <f t="shared" si="54"/>
        <v>6</v>
      </c>
      <c r="F585" s="721">
        <f t="shared" si="56"/>
        <v>0</v>
      </c>
      <c r="G585" s="583">
        <f t="shared" si="55"/>
        <v>0</v>
      </c>
      <c r="H585" s="779"/>
      <c r="I585" s="779"/>
      <c r="J585" s="645"/>
      <c r="K585" s="633"/>
      <c r="L585" s="606"/>
    </row>
    <row r="586" spans="1:12" s="607" customFormat="1" ht="18" customHeight="1">
      <c r="A586" s="618"/>
      <c r="B586" s="720" t="s">
        <v>257</v>
      </c>
      <c r="C586" s="721">
        <v>1</v>
      </c>
      <c r="D586" s="708">
        <v>3</v>
      </c>
      <c r="E586" s="596">
        <f t="shared" si="54"/>
        <v>3</v>
      </c>
      <c r="F586" s="721">
        <f t="shared" si="56"/>
        <v>0</v>
      </c>
      <c r="G586" s="583">
        <f t="shared" si="55"/>
        <v>0</v>
      </c>
      <c r="H586" s="779"/>
      <c r="I586" s="779"/>
      <c r="J586" s="645"/>
      <c r="K586" s="633"/>
      <c r="L586" s="606"/>
    </row>
    <row r="587" spans="1:12" s="607" customFormat="1" ht="18" customHeight="1">
      <c r="A587" s="618"/>
      <c r="B587" s="720" t="s">
        <v>2120</v>
      </c>
      <c r="C587" s="721">
        <v>1</v>
      </c>
      <c r="D587" s="708">
        <v>12</v>
      </c>
      <c r="E587" s="596">
        <f t="shared" si="54"/>
        <v>12</v>
      </c>
      <c r="F587" s="721">
        <f t="shared" si="56"/>
        <v>0</v>
      </c>
      <c r="G587" s="583">
        <f t="shared" si="55"/>
        <v>0</v>
      </c>
      <c r="H587" s="779"/>
      <c r="I587" s="779"/>
      <c r="J587" s="645"/>
      <c r="K587" s="633"/>
      <c r="L587" s="606"/>
    </row>
    <row r="588" spans="1:12" s="607" customFormat="1" ht="18" customHeight="1">
      <c r="A588" s="618"/>
      <c r="B588" s="720" t="s">
        <v>2782</v>
      </c>
      <c r="C588" s="721">
        <v>1</v>
      </c>
      <c r="D588" s="708">
        <v>2</v>
      </c>
      <c r="E588" s="596">
        <f t="shared" si="54"/>
        <v>2</v>
      </c>
      <c r="F588" s="721">
        <f t="shared" si="56"/>
        <v>0</v>
      </c>
      <c r="G588" s="583">
        <f t="shared" si="55"/>
        <v>0</v>
      </c>
      <c r="H588" s="779"/>
      <c r="I588" s="779"/>
      <c r="J588" s="645"/>
      <c r="K588" s="633"/>
      <c r="L588" s="606"/>
    </row>
    <row r="590" spans="1:12" s="607" customFormat="1" ht="18" customHeight="1">
      <c r="A590" s="618"/>
      <c r="B590" s="783"/>
      <c r="C590" s="784"/>
      <c r="D590" s="785"/>
      <c r="E590" s="756"/>
      <c r="F590" s="404"/>
      <c r="G590" s="820"/>
      <c r="H590" s="779"/>
      <c r="I590" s="779"/>
      <c r="J590" s="645"/>
      <c r="K590" s="633"/>
      <c r="L590" s="606"/>
    </row>
    <row r="591" spans="1:12" s="607" customFormat="1" ht="36" customHeight="1">
      <c r="A591" s="618"/>
      <c r="B591" s="584" t="s">
        <v>2139</v>
      </c>
      <c r="C591" s="823"/>
      <c r="D591" s="824"/>
      <c r="E591" s="687"/>
      <c r="F591" s="404"/>
      <c r="G591" s="404"/>
      <c r="H591" s="404"/>
      <c r="L591" s="606"/>
    </row>
    <row r="592" spans="1:12" s="607" customFormat="1" ht="15.95" customHeight="1">
      <c r="A592" s="618"/>
      <c r="B592" s="826"/>
      <c r="C592" s="812"/>
      <c r="D592" s="827"/>
      <c r="E592" s="687"/>
      <c r="F592" s="404"/>
      <c r="G592" s="404"/>
      <c r="H592" s="404"/>
      <c r="L592" s="606"/>
    </row>
    <row r="593" spans="2:12" ht="15.95" customHeight="1">
      <c r="B593" s="1872" t="str">
        <f>FICHA!C399</f>
        <v>Eficiente gestión técnica, administrativa, económica y financiera del servicio de limpieza pública</v>
      </c>
      <c r="C593" s="1872"/>
      <c r="D593" s="1872"/>
      <c r="E593" s="1872"/>
      <c r="F593" s="1872"/>
      <c r="G593" s="1872"/>
      <c r="H593" s="1872"/>
      <c r="I593" s="1872"/>
      <c r="J593" s="1872"/>
      <c r="K593" s="1872"/>
    </row>
    <row r="595" spans="2:12" s="645" customFormat="1" ht="15">
      <c r="B595" s="773"/>
      <c r="C595" s="773"/>
      <c r="D595" s="646"/>
      <c r="E595" s="646"/>
      <c r="L595" s="731"/>
    </row>
    <row r="596" spans="2:12" s="645" customFormat="1" ht="32.25" customHeight="1">
      <c r="B596" s="852" t="s">
        <v>608</v>
      </c>
      <c r="C596" s="852" t="s">
        <v>20</v>
      </c>
      <c r="D596" s="852" t="s">
        <v>23</v>
      </c>
      <c r="L596" s="731"/>
    </row>
    <row r="597" spans="2:12" s="645" customFormat="1" ht="54" customHeight="1">
      <c r="B597" s="542" t="s">
        <v>2225</v>
      </c>
      <c r="C597" s="583" t="s">
        <v>2257</v>
      </c>
      <c r="D597" s="831"/>
      <c r="L597" s="731"/>
    </row>
    <row r="598" spans="2:12" s="645" customFormat="1" ht="54" customHeight="1">
      <c r="B598" s="542" t="s">
        <v>2785</v>
      </c>
      <c r="C598" s="583" t="s">
        <v>2257</v>
      </c>
      <c r="D598" s="831"/>
      <c r="L598" s="731"/>
    </row>
    <row r="599" spans="2:12" s="645" customFormat="1" ht="54" customHeight="1">
      <c r="B599" s="542" t="s">
        <v>2226</v>
      </c>
      <c r="C599" s="583" t="s">
        <v>2257</v>
      </c>
      <c r="D599" s="831"/>
      <c r="L599" s="731"/>
    </row>
    <row r="600" spans="2:12" s="645" customFormat="1" ht="54" customHeight="1">
      <c r="B600" s="542" t="s">
        <v>2701</v>
      </c>
      <c r="C600" s="583" t="s">
        <v>2257</v>
      </c>
      <c r="D600" s="831"/>
      <c r="L600" s="731"/>
    </row>
    <row r="601" spans="2:12" s="645" customFormat="1" ht="54" customHeight="1">
      <c r="B601" s="542" t="s">
        <v>2702</v>
      </c>
      <c r="C601" s="583" t="s">
        <v>2257</v>
      </c>
      <c r="D601" s="831"/>
      <c r="L601" s="731"/>
    </row>
    <row r="602" spans="2:12" s="645" customFormat="1" ht="54" customHeight="1">
      <c r="B602" s="542" t="s">
        <v>2703</v>
      </c>
      <c r="C602" s="583" t="s">
        <v>2257</v>
      </c>
      <c r="D602" s="831"/>
      <c r="L602" s="731"/>
    </row>
    <row r="603" spans="2:12" s="645" customFormat="1" ht="54" customHeight="1">
      <c r="B603" s="542" t="s">
        <v>2703</v>
      </c>
      <c r="C603" s="583" t="s">
        <v>2257</v>
      </c>
      <c r="D603" s="831"/>
      <c r="L603" s="731"/>
    </row>
    <row r="604" spans="2:12" s="645" customFormat="1" ht="22.5" customHeight="1">
      <c r="B604" s="542" t="s">
        <v>800</v>
      </c>
      <c r="C604" s="583" t="s">
        <v>2257</v>
      </c>
      <c r="D604" s="831"/>
      <c r="L604" s="731"/>
    </row>
    <row r="605" spans="2:12" s="645" customFormat="1" ht="48.75" customHeight="1">
      <c r="B605" s="542" t="s">
        <v>2852</v>
      </c>
      <c r="C605" s="583" t="s">
        <v>407</v>
      </c>
      <c r="D605" s="831"/>
      <c r="L605" s="731"/>
    </row>
    <row r="606" spans="2:12" s="645" customFormat="1" ht="39" customHeight="1">
      <c r="B606" s="542" t="s">
        <v>2853</v>
      </c>
      <c r="C606" s="583" t="s">
        <v>2257</v>
      </c>
      <c r="D606" s="831"/>
      <c r="L606" s="731"/>
    </row>
    <row r="607" spans="2:12" s="645" customFormat="1" ht="33" customHeight="1">
      <c r="B607" s="542" t="s">
        <v>2746</v>
      </c>
      <c r="C607" s="583" t="s">
        <v>538</v>
      </c>
      <c r="D607" s="831"/>
      <c r="L607" s="731"/>
    </row>
    <row r="608" spans="2:12" s="645" customFormat="1" ht="48" customHeight="1">
      <c r="B608" s="542" t="s">
        <v>2227</v>
      </c>
      <c r="C608" s="583" t="s">
        <v>2257</v>
      </c>
      <c r="D608" s="831"/>
      <c r="L608" s="731"/>
    </row>
    <row r="609" spans="1:15" s="645" customFormat="1" ht="39.75" customHeight="1">
      <c r="B609" s="542" t="s">
        <v>2228</v>
      </c>
      <c r="C609" s="583" t="s">
        <v>2257</v>
      </c>
      <c r="D609" s="831"/>
      <c r="L609" s="731"/>
    </row>
    <row r="610" spans="1:15" s="645" customFormat="1" ht="22.5" customHeight="1">
      <c r="B610" s="832" t="s">
        <v>800</v>
      </c>
      <c r="C610" s="583" t="s">
        <v>2257</v>
      </c>
      <c r="D610" s="831"/>
      <c r="L610" s="731"/>
    </row>
    <row r="612" spans="1:15" ht="15.95" customHeight="1">
      <c r="B612" s="1873" t="str">
        <f>FICHA!C413</f>
        <v>Adecuada educación y cultura ambiental de la población</v>
      </c>
      <c r="C612" s="1873"/>
      <c r="D612" s="1873"/>
      <c r="E612" s="1873"/>
      <c r="F612" s="1873"/>
      <c r="G612" s="1873"/>
      <c r="H612" s="1873"/>
      <c r="I612" s="1873"/>
      <c r="J612" s="1873"/>
      <c r="K612" s="1873"/>
    </row>
    <row r="614" spans="1:15" ht="31.5" customHeight="1">
      <c r="B614" s="853" t="s">
        <v>608</v>
      </c>
      <c r="C614" s="852" t="s">
        <v>20</v>
      </c>
      <c r="D614" s="852" t="s">
        <v>23</v>
      </c>
      <c r="E614" s="404"/>
    </row>
    <row r="615" spans="1:15" s="390" customFormat="1" ht="78.75" customHeight="1">
      <c r="A615" s="396"/>
      <c r="B615" s="833" t="s">
        <v>2705</v>
      </c>
      <c r="C615" s="834" t="s">
        <v>2257</v>
      </c>
      <c r="D615" s="831"/>
      <c r="L615" s="835"/>
    </row>
    <row r="616" spans="1:15" s="390" customFormat="1" ht="49.5" customHeight="1">
      <c r="A616" s="396"/>
      <c r="B616" s="833" t="s">
        <v>2859</v>
      </c>
      <c r="C616" s="834" t="s">
        <v>2257</v>
      </c>
      <c r="D616" s="831"/>
      <c r="L616" s="835"/>
    </row>
    <row r="617" spans="1:15" s="390" customFormat="1" ht="22.5" customHeight="1">
      <c r="A617" s="396"/>
      <c r="B617" s="833" t="s">
        <v>800</v>
      </c>
      <c r="C617" s="834" t="s">
        <v>2257</v>
      </c>
      <c r="D617" s="831"/>
      <c r="L617" s="835"/>
    </row>
    <row r="618" spans="1:15" s="390" customFormat="1" ht="49.5" customHeight="1">
      <c r="A618" s="396"/>
      <c r="B618" s="833" t="s">
        <v>2685</v>
      </c>
      <c r="C618" s="834" t="s">
        <v>2257</v>
      </c>
      <c r="D618" s="831"/>
      <c r="L618" s="835"/>
    </row>
    <row r="619" spans="1:15" s="390" customFormat="1" ht="49.5" customHeight="1">
      <c r="A619" s="396"/>
      <c r="B619" s="833" t="s">
        <v>2860</v>
      </c>
      <c r="C619" s="834" t="s">
        <v>2257</v>
      </c>
      <c r="D619" s="831"/>
      <c r="L619" s="835"/>
    </row>
    <row r="620" spans="1:15" s="390" customFormat="1" ht="49.5" customHeight="1">
      <c r="A620" s="396"/>
      <c r="B620" s="833" t="s">
        <v>2686</v>
      </c>
      <c r="C620" s="834" t="s">
        <v>2257</v>
      </c>
      <c r="D620" s="831"/>
      <c r="L620" s="835"/>
    </row>
    <row r="621" spans="1:15" s="390" customFormat="1" ht="26.25" customHeight="1">
      <c r="A621" s="396"/>
      <c r="B621" s="836" t="s">
        <v>800</v>
      </c>
      <c r="C621" s="834" t="s">
        <v>2257</v>
      </c>
      <c r="D621" s="831"/>
      <c r="L621" s="835"/>
    </row>
    <row r="622" spans="1:15" s="390" customFormat="1" ht="18" customHeight="1">
      <c r="A622" s="396"/>
      <c r="B622" s="837"/>
      <c r="C622" s="838"/>
      <c r="D622" s="838"/>
      <c r="L622" s="835"/>
    </row>
    <row r="623" spans="1:15" s="390" customFormat="1" ht="14.25" customHeight="1">
      <c r="A623" s="1866"/>
      <c r="B623" s="1866"/>
      <c r="C623" s="1866"/>
      <c r="D623" s="1866"/>
      <c r="E623" s="1866"/>
      <c r="F623" s="1866"/>
      <c r="G623" s="1866"/>
      <c r="H623" s="1866"/>
      <c r="I623" s="1866"/>
      <c r="J623" s="1866"/>
      <c r="K623" s="1866"/>
      <c r="L623" s="1866"/>
      <c r="M623" s="1866"/>
      <c r="N623" s="1866"/>
      <c r="O623" s="1866"/>
    </row>
    <row r="624" spans="1:15" s="390" customFormat="1" ht="13.5" customHeight="1">
      <c r="A624" s="1866"/>
      <c r="B624" s="1866"/>
      <c r="C624" s="1866"/>
      <c r="D624" s="1866"/>
      <c r="E624" s="1866"/>
      <c r="F624" s="1866"/>
      <c r="G624" s="1866"/>
      <c r="H624" s="1866"/>
      <c r="I624" s="1866"/>
      <c r="J624" s="1866"/>
      <c r="K624" s="1866"/>
      <c r="L624" s="1866"/>
      <c r="M624" s="1866"/>
      <c r="N624" s="1866"/>
      <c r="O624" s="1866"/>
    </row>
    <row r="625" spans="1:15" ht="22.5" customHeight="1">
      <c r="A625" s="1866"/>
      <c r="B625" s="1866"/>
      <c r="C625" s="1866"/>
      <c r="D625" s="1866"/>
      <c r="E625" s="1866"/>
      <c r="F625" s="1866"/>
      <c r="G625" s="1866"/>
      <c r="H625" s="1866"/>
      <c r="I625" s="1866"/>
      <c r="J625" s="1866"/>
      <c r="K625" s="1866"/>
      <c r="L625" s="1866"/>
      <c r="M625" s="1866"/>
      <c r="N625" s="1866"/>
      <c r="O625" s="1866"/>
    </row>
    <row r="626" spans="1:15" ht="15.95" customHeight="1">
      <c r="B626" s="839"/>
      <c r="C626" s="839"/>
      <c r="D626" s="838"/>
      <c r="E626" s="838"/>
    </row>
  </sheetData>
  <dataConsolidate/>
  <mergeCells count="62">
    <mergeCell ref="B268:J268"/>
    <mergeCell ref="B287:H287"/>
    <mergeCell ref="B198:C198"/>
    <mergeCell ref="B280:H280"/>
    <mergeCell ref="B285:H285"/>
    <mergeCell ref="B1:K1"/>
    <mergeCell ref="B44:G44"/>
    <mergeCell ref="B42:K42"/>
    <mergeCell ref="B58:G58"/>
    <mergeCell ref="B66:G66"/>
    <mergeCell ref="F15:F18"/>
    <mergeCell ref="B25:C25"/>
    <mergeCell ref="F28:F31"/>
    <mergeCell ref="F32:G32"/>
    <mergeCell ref="B28:B31"/>
    <mergeCell ref="B32:C32"/>
    <mergeCell ref="B5:K5"/>
    <mergeCell ref="B19:C19"/>
    <mergeCell ref="B12:C12"/>
    <mergeCell ref="B15:B18"/>
    <mergeCell ref="F19:G19"/>
    <mergeCell ref="B97:G97"/>
    <mergeCell ref="B108:G108"/>
    <mergeCell ref="B172:C172"/>
    <mergeCell ref="B196:C196"/>
    <mergeCell ref="B197:C197"/>
    <mergeCell ref="B138:K138"/>
    <mergeCell ref="B159:H159"/>
    <mergeCell ref="B165:H165"/>
    <mergeCell ref="B170:C170"/>
    <mergeCell ref="B171:C171"/>
    <mergeCell ref="B167:J167"/>
    <mergeCell ref="B193:H193"/>
    <mergeCell ref="B191:H191"/>
    <mergeCell ref="B185:H185"/>
    <mergeCell ref="A623:O625"/>
    <mergeCell ref="B290:C290"/>
    <mergeCell ref="J419:L419"/>
    <mergeCell ref="C353:E353"/>
    <mergeCell ref="B291:C291"/>
    <mergeCell ref="B292:C292"/>
    <mergeCell ref="C344:E344"/>
    <mergeCell ref="C348:E348"/>
    <mergeCell ref="B339:K339"/>
    <mergeCell ref="B612:K612"/>
    <mergeCell ref="B593:K593"/>
    <mergeCell ref="J353:L353"/>
    <mergeCell ref="B417:N417"/>
    <mergeCell ref="J347:L347"/>
    <mergeCell ref="J344:L344"/>
    <mergeCell ref="J345:L345"/>
    <mergeCell ref="J343:L343"/>
    <mergeCell ref="J348:L348"/>
    <mergeCell ref="J349:L349"/>
    <mergeCell ref="J350:L350"/>
    <mergeCell ref="C343:E343"/>
    <mergeCell ref="C345:E345"/>
    <mergeCell ref="C346:E346"/>
    <mergeCell ref="C347:E347"/>
    <mergeCell ref="J346:L346"/>
    <mergeCell ref="C349:E349"/>
    <mergeCell ref="C350:E350"/>
  </mergeCells>
  <dataValidations count="2">
    <dataValidation type="list" allowBlank="1" showInputMessage="1" showErrorMessage="1" sqref="H434:H435 H487:H488 H542:H543" xr:uid="{00000000-0002-0000-0A00-000000000000}">
      <formula1>#REF!</formula1>
    </dataValidation>
    <dataValidation type="list" allowBlank="1" showInputMessage="1" showErrorMessage="1" sqref="J426:L426 C426:E426" xr:uid="{00000000-0002-0000-0A00-000001000000}">
      <formula1>$A$301:$A$304</formula1>
    </dataValidation>
  </dataValidations>
  <printOptions horizontalCentered="1"/>
  <pageMargins left="0.70866141732283472" right="0.70866141732283472" top="0.74803149606299213" bottom="0.74803149606299213" header="0.31496062992125984" footer="0.31496062992125984"/>
  <pageSetup paperSize="9" scale="17" orientation="landscape" r:id="rId1"/>
  <rowBreaks count="4" manualBreakCount="4">
    <brk id="288" max="14" man="1"/>
    <brk id="326" max="14" man="1"/>
    <brk id="489" max="14" man="1"/>
    <brk id="611" max="14" man="1"/>
  </rowBreaks>
  <ignoredErrors>
    <ignoredError sqref="C105:F105 F84:F93 F74:F79 F116:F122 F126:F135 F223:F235 F211:F218 F239:F243 F306:F312 F317:F329 F333:F337 F391:F403 F383:F387 M404:M415 M395:M398 F449:F454 F467:F477 F503 F521:F532 F560 F578:F588" formula="1"/>
    <ignoredError sqref="C40:F40" unlockedFormula="1"/>
  </ignoredErrors>
  <drawing r:id="rId2"/>
  <legacyDrawing r:id="rId3"/>
  <controls>
    <mc:AlternateContent xmlns:mc="http://schemas.openxmlformats.org/markup-compatibility/2006">
      <mc:Choice Requires="x14">
        <control shapeId="80992" r:id="rId4" name="CommandButton1">
          <controlPr defaultSize="0" autoLine="0" r:id="rId5">
            <anchor moveWithCells="1" sizeWithCells="1">
              <from>
                <xdr:col>1</xdr:col>
                <xdr:colOff>28575</xdr:colOff>
                <xdr:row>1</xdr:row>
                <xdr:rowOff>104775</xdr:rowOff>
              </from>
              <to>
                <xdr:col>1</xdr:col>
                <xdr:colOff>1438275</xdr:colOff>
                <xdr:row>3</xdr:row>
                <xdr:rowOff>38100</xdr:rowOff>
              </to>
            </anchor>
          </controlPr>
        </control>
      </mc:Choice>
      <mc:Fallback>
        <control shapeId="80992" r:id="rId4" name="CommandButton1"/>
      </mc:Fallback>
    </mc:AlternateContent>
    <mc:AlternateContent xmlns:mc="http://schemas.openxmlformats.org/markup-compatibility/2006">
      <mc:Choice Requires="x14">
        <control shapeId="80994" r:id="rId6" name="CommandButton2">
          <controlPr defaultSize="0" autoLine="0" r:id="rId7">
            <anchor moveWithCells="1" sizeWithCells="1">
              <from>
                <xdr:col>0</xdr:col>
                <xdr:colOff>47625</xdr:colOff>
                <xdr:row>623</xdr:row>
                <xdr:rowOff>123825</xdr:rowOff>
              </from>
              <to>
                <xdr:col>1</xdr:col>
                <xdr:colOff>1685925</xdr:colOff>
                <xdr:row>624</xdr:row>
                <xdr:rowOff>266700</xdr:rowOff>
              </to>
            </anchor>
          </controlPr>
        </control>
      </mc:Choice>
      <mc:Fallback>
        <control shapeId="80994" r:id="rId6" name="CommandButton2"/>
      </mc:Fallback>
    </mc:AlternateContent>
    <mc:AlternateContent xmlns:mc="http://schemas.openxmlformats.org/markup-compatibility/2006">
      <mc:Choice Requires="x14">
        <control shapeId="80937" r:id="rId8" name="Check Box 41">
          <controlPr defaultSize="0" autoFill="0" autoLine="0" autoPict="0" macro="[0]!CheckBox41_Haga_clic_en">
            <anchor moveWithCells="1">
              <from>
                <xdr:col>2</xdr:col>
                <xdr:colOff>47625</xdr:colOff>
                <xdr:row>52</xdr:row>
                <xdr:rowOff>0</xdr:rowOff>
              </from>
              <to>
                <xdr:col>2</xdr:col>
                <xdr:colOff>304800</xdr:colOff>
                <xdr:row>53</xdr:row>
                <xdr:rowOff>19050</xdr:rowOff>
              </to>
            </anchor>
          </controlPr>
        </control>
      </mc:Choice>
    </mc:AlternateContent>
    <mc:AlternateContent xmlns:mc="http://schemas.openxmlformats.org/markup-compatibility/2006">
      <mc:Choice Requires="x14">
        <control shapeId="80940" r:id="rId9" name="Check Box 44">
          <controlPr defaultSize="0" autoFill="0" autoLine="0" autoPict="0">
            <anchor moveWithCells="1">
              <from>
                <xdr:col>2</xdr:col>
                <xdr:colOff>47625</xdr:colOff>
                <xdr:row>53</xdr:row>
                <xdr:rowOff>0</xdr:rowOff>
              </from>
              <to>
                <xdr:col>2</xdr:col>
                <xdr:colOff>304800</xdr:colOff>
                <xdr:row>54</xdr:row>
                <xdr:rowOff>19050</xdr:rowOff>
              </to>
            </anchor>
          </controlPr>
        </control>
      </mc:Choice>
    </mc:AlternateContent>
    <mc:AlternateContent xmlns:mc="http://schemas.openxmlformats.org/markup-compatibility/2006">
      <mc:Choice Requires="x14">
        <control shapeId="80941" r:id="rId10" name="Check Box 45">
          <controlPr defaultSize="0" autoFill="0" autoLine="0" autoPict="0" macro="[0]!CheckBox45_Haga_clic_en">
            <anchor moveWithCells="1">
              <from>
                <xdr:col>2</xdr:col>
                <xdr:colOff>47625</xdr:colOff>
                <xdr:row>53</xdr:row>
                <xdr:rowOff>0</xdr:rowOff>
              </from>
              <to>
                <xdr:col>2</xdr:col>
                <xdr:colOff>304800</xdr:colOff>
                <xdr:row>54</xdr:row>
                <xdr:rowOff>19050</xdr:rowOff>
              </to>
            </anchor>
          </controlPr>
        </control>
      </mc:Choice>
    </mc:AlternateContent>
    <mc:AlternateContent xmlns:mc="http://schemas.openxmlformats.org/markup-compatibility/2006">
      <mc:Choice Requires="x14">
        <control shapeId="80946" r:id="rId11" name="Check Box 50">
          <controlPr defaultSize="0" autoFill="0" autoLine="0" autoPict="0" macro="[0]!CheckBox50_Haga_clic_en">
            <anchor moveWithCells="1">
              <from>
                <xdr:col>2</xdr:col>
                <xdr:colOff>47625</xdr:colOff>
                <xdr:row>140</xdr:row>
                <xdr:rowOff>0</xdr:rowOff>
              </from>
              <to>
                <xdr:col>2</xdr:col>
                <xdr:colOff>304800</xdr:colOff>
                <xdr:row>140</xdr:row>
                <xdr:rowOff>228600</xdr:rowOff>
              </to>
            </anchor>
          </controlPr>
        </control>
      </mc:Choice>
    </mc:AlternateContent>
    <mc:AlternateContent xmlns:mc="http://schemas.openxmlformats.org/markup-compatibility/2006">
      <mc:Choice Requires="x14">
        <control shapeId="80947" r:id="rId12" name="Check Box 51">
          <controlPr defaultSize="0" autoFill="0" autoLine="0" autoPict="0" macro="[0]!CheckBox51_Haga_clic_en">
            <anchor moveWithCells="1">
              <from>
                <xdr:col>2</xdr:col>
                <xdr:colOff>47625</xdr:colOff>
                <xdr:row>141</xdr:row>
                <xdr:rowOff>9525</xdr:rowOff>
              </from>
              <to>
                <xdr:col>2</xdr:col>
                <xdr:colOff>304800</xdr:colOff>
                <xdr:row>141</xdr:row>
                <xdr:rowOff>238125</xdr:rowOff>
              </to>
            </anchor>
          </controlPr>
        </control>
      </mc:Choice>
    </mc:AlternateContent>
  </controls>
  <extLst>
    <ext xmlns:x14="http://schemas.microsoft.com/office/spreadsheetml/2009/9/main" uri="{CCE6A557-97BC-4b89-ADB6-D9C93CAAB3DF}">
      <x14:dataValidations xmlns:xm="http://schemas.microsoft.com/office/excel/2006/main" count="14">
        <x14:dataValidation type="list" allowBlank="1" showInputMessage="1" showErrorMessage="1" xr:uid="{00000000-0002-0000-0A00-000002000000}">
          <x14:formula1>
            <xm:f>BASE!$B$305:$B$308</xm:f>
          </x14:formula1>
          <xm:sqref>B69 B111</xm:sqref>
        </x14:dataValidation>
        <x14:dataValidation type="list" allowBlank="1" showInputMessage="1" showErrorMessage="1" xr:uid="{00000000-0002-0000-0A00-000003000000}">
          <x14:formula1>
            <xm:f>BASE!$E$308:$E$310</xm:f>
          </x14:formula1>
          <xm:sqref>B283:B284 B188:B189</xm:sqref>
        </x14:dataValidation>
        <x14:dataValidation type="list" allowBlank="1" showInputMessage="1" showErrorMessage="1" xr:uid="{00000000-0002-0000-0A00-000004000000}">
          <x14:formula1>
            <xm:f>BASE!$B$314:$B$320</xm:f>
          </x14:formula1>
          <xm:sqref>C50</xm:sqref>
        </x14:dataValidation>
        <x14:dataValidation type="list" allowBlank="1" showInputMessage="1" showErrorMessage="1" xr:uid="{00000000-0002-0000-0A00-000005000000}">
          <x14:formula1>
            <xm:f>BASE!$D$316:$D$322</xm:f>
          </x14:formula1>
          <xm:sqref>B153:B158</xm:sqref>
        </x14:dataValidation>
        <x14:dataValidation type="list" allowBlank="1" showInputMessage="1" showErrorMessage="1" xr:uid="{00000000-0002-0000-0A00-000006000000}">
          <x14:formula1>
            <xm:f>BASE!$E$316:$E$318</xm:f>
          </x14:formula1>
          <xm:sqref>B162:B163</xm:sqref>
        </x14:dataValidation>
        <x14:dataValidation type="list" allowBlank="1" showInputMessage="1" showErrorMessage="1" xr:uid="{00000000-0002-0000-0A00-000007000000}">
          <x14:formula1>
            <xm:f>BASE!$D$324:$D$334</xm:f>
          </x14:formula1>
          <xm:sqref>B256:B265</xm:sqref>
        </x14:dataValidation>
        <x14:dataValidation type="list" allowBlank="1" showInputMessage="1" showErrorMessage="1" xr:uid="{00000000-0002-0000-0A00-000008000000}">
          <x14:formula1>
            <xm:f>BASE!$E$306:$E$307</xm:f>
          </x14:formula1>
          <xm:sqref>B279 B184</xm:sqref>
        </x14:dataValidation>
        <x14:dataValidation type="list" allowBlank="1" showInputMessage="1" showErrorMessage="1" xr:uid="{00000000-0002-0000-0A00-000009000000}">
          <x14:formula1>
            <xm:f>BASE!$I$5:$I$6</xm:f>
          </x14:formula1>
          <xm:sqref>C359 C366 C377:C379 J359 J366 J368:J370 J377 J379:J380 J385 J387:J388 J392 C439:C441 C445 C492:C495 C499 C547:C550 C554:C556</xm:sqref>
        </x14:dataValidation>
        <x14:dataValidation type="list" allowBlank="1" showInputMessage="1" showErrorMessage="1" xr:uid="{00000000-0002-0000-0A00-00000A000000}">
          <x14:formula1>
            <xm:f>BASE!$A$305:$A$308</xm:f>
          </x14:formula1>
          <xm:sqref>C424 C353:E353 J353:L353</xm:sqref>
        </x14:dataValidation>
        <x14:dataValidation type="list" allowBlank="1" showInputMessage="1" showErrorMessage="1" xr:uid="{00000000-0002-0000-0A00-00000B000000}">
          <x14:formula1>
            <xm:f>BASE!$B$330:$B$334</xm:f>
          </x14:formula1>
          <xm:sqref>B555</xm:sqref>
        </x14:dataValidation>
        <x14:dataValidation type="list" allowBlank="1" showInputMessage="1" showErrorMessage="1" xr:uid="{00000000-0002-0000-0A00-00000C000000}">
          <x14:formula1>
            <xm:f>BASE!$I$5:$I$7</xm:f>
          </x14:formula1>
          <xm:sqref>C202</xm:sqref>
        </x14:dataValidation>
        <x14:dataValidation type="list" allowBlank="1" showInputMessage="1" showErrorMessage="1" xr:uid="{00000000-0002-0000-0A00-00000D000000}">
          <x14:formula1>
            <xm:f>BASE!$B$310:$B$313</xm:f>
          </x14:formula1>
          <xm:sqref>B112</xm:sqref>
        </x14:dataValidation>
        <x14:dataValidation type="list" allowBlank="1" showInputMessage="1" showErrorMessage="1" xr:uid="{00000000-0002-0000-0A00-00000F000000}">
          <x14:formula1>
            <xm:f>BASE!$A$321:$A$322</xm:f>
          </x14:formula1>
          <xm:sqref>J363</xm:sqref>
        </x14:dataValidation>
        <x14:dataValidation type="list" allowBlank="1" showInputMessage="1" showErrorMessage="1" xr:uid="{00000000-0002-0000-0A00-000010000000}">
          <x14:formula1>
            <xm:f>BASE!$E$311:$E$313</xm:f>
          </x14:formula1>
          <xm:sqref>C296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4">
    <tabColor theme="0"/>
  </sheetPr>
  <dimension ref="A2:J363"/>
  <sheetViews>
    <sheetView showZeros="0" view="pageBreakPreview" zoomScaleNormal="130" zoomScaleSheetLayoutView="100" zoomScalePageLayoutView="175" workbookViewId="0">
      <selection activeCell="I16" sqref="I16"/>
    </sheetView>
  </sheetViews>
  <sheetFormatPr baseColWidth="10" defaultColWidth="11.42578125" defaultRowHeight="12.75"/>
  <cols>
    <col min="1" max="1" width="3" style="3" customWidth="1"/>
    <col min="2" max="2" width="47.28515625" style="980" customWidth="1"/>
    <col min="3" max="3" width="13.140625" style="252" customWidth="1"/>
    <col min="4" max="5" width="11.42578125" style="252"/>
    <col min="6" max="6" width="14.85546875" style="252" customWidth="1"/>
    <col min="7" max="7" width="11.42578125" style="252"/>
    <col min="8" max="8" width="18.140625" style="970" customWidth="1"/>
    <col min="9" max="9" width="19" style="252" customWidth="1"/>
    <col min="10" max="10" width="3.140625" style="3" customWidth="1"/>
    <col min="11" max="11" width="11.42578125" style="3"/>
    <col min="12" max="12" width="49" style="3" customWidth="1"/>
    <col min="13" max="16384" width="11.42578125" style="3"/>
  </cols>
  <sheetData>
    <row r="2" spans="1:10" ht="48.75" customHeight="1">
      <c r="A2" s="898"/>
      <c r="B2" s="1904" t="s">
        <v>3260</v>
      </c>
      <c r="C2" s="1904"/>
      <c r="D2" s="1904"/>
      <c r="E2" s="1904"/>
      <c r="F2" s="1904"/>
      <c r="G2" s="1904"/>
      <c r="H2" s="1904"/>
      <c r="I2" s="1904"/>
      <c r="J2" s="898"/>
    </row>
    <row r="3" spans="1:10" ht="13.5" customHeight="1">
      <c r="A3" s="898"/>
      <c r="B3" s="898"/>
      <c r="C3" s="898"/>
      <c r="D3" s="898"/>
      <c r="E3" s="898"/>
      <c r="F3" s="898"/>
      <c r="G3" s="898"/>
      <c r="H3" s="898"/>
      <c r="I3" s="898"/>
      <c r="J3" s="898"/>
    </row>
    <row r="4" spans="1:10" ht="32.25" customHeight="1">
      <c r="A4" s="899"/>
      <c r="B4" s="899"/>
      <c r="C4" s="899"/>
      <c r="D4" s="899"/>
      <c r="E4" s="899"/>
      <c r="F4" s="899"/>
      <c r="G4" s="899"/>
      <c r="H4" s="899"/>
      <c r="I4" s="899"/>
      <c r="J4" s="899"/>
    </row>
    <row r="5" spans="1:10">
      <c r="B5" s="1900" t="str">
        <f>FICHA!C231</f>
        <v>Adecuado almacenamiento en vías urbanas y áreas públicas</v>
      </c>
      <c r="C5" s="1900"/>
      <c r="D5" s="1900"/>
      <c r="E5" s="1900"/>
      <c r="F5" s="1900"/>
      <c r="G5" s="1900"/>
      <c r="H5" s="1900"/>
      <c r="I5" s="1900"/>
    </row>
    <row r="6" spans="1:10" ht="45" customHeight="1">
      <c r="B6" s="578" t="s">
        <v>608</v>
      </c>
      <c r="C6" s="578" t="s">
        <v>796</v>
      </c>
      <c r="D6" s="578" t="s">
        <v>20</v>
      </c>
      <c r="E6" s="578" t="s">
        <v>2259</v>
      </c>
      <c r="F6" s="578" t="s">
        <v>2258</v>
      </c>
      <c r="G6" s="578" t="s">
        <v>2148</v>
      </c>
      <c r="H6" s="900" t="s">
        <v>3242</v>
      </c>
      <c r="I6" s="900" t="s">
        <v>3259</v>
      </c>
    </row>
    <row r="7" spans="1:10" ht="15" customHeight="1">
      <c r="B7" s="401" t="str">
        <f>B5</f>
        <v>Adecuado almacenamiento en vías urbanas y áreas públicas</v>
      </c>
      <c r="C7" s="901"/>
      <c r="D7" s="901"/>
      <c r="E7" s="901"/>
      <c r="F7" s="901"/>
      <c r="G7" s="901"/>
      <c r="H7" s="902"/>
      <c r="I7" s="902"/>
    </row>
    <row r="8" spans="1:10">
      <c r="B8" s="903" t="s">
        <v>797</v>
      </c>
      <c r="C8" s="904"/>
      <c r="D8" s="904"/>
      <c r="E8" s="904"/>
      <c r="F8" s="904"/>
      <c r="G8" s="904"/>
      <c r="H8" s="905"/>
      <c r="I8" s="904"/>
    </row>
    <row r="9" spans="1:10">
      <c r="B9" s="906" t="s">
        <v>2084</v>
      </c>
      <c r="C9" s="907" t="s">
        <v>407</v>
      </c>
      <c r="D9" s="907" t="s">
        <v>11</v>
      </c>
      <c r="E9" s="908">
        <f>'Planteamiento Técnico'!D12+'Planteamiento Técnico'!D25</f>
        <v>0</v>
      </c>
      <c r="F9" s="908">
        <v>1</v>
      </c>
      <c r="G9" s="908">
        <f>E9*F9</f>
        <v>0</v>
      </c>
      <c r="H9" s="909"/>
      <c r="I9" s="908">
        <f>G9*H9</f>
        <v>0</v>
      </c>
    </row>
    <row r="10" spans="1:10">
      <c r="B10" s="906" t="s">
        <v>2105</v>
      </c>
      <c r="C10" s="907" t="s">
        <v>407</v>
      </c>
      <c r="D10" s="907" t="s">
        <v>11</v>
      </c>
      <c r="E10" s="908">
        <f>'Planteamiento Técnico'!D19+'Planteamiento Técnico'!D32</f>
        <v>0</v>
      </c>
      <c r="F10" s="908">
        <v>1</v>
      </c>
      <c r="G10" s="908">
        <f>E10*F10</f>
        <v>0</v>
      </c>
      <c r="H10" s="909"/>
      <c r="I10" s="908">
        <f>G10*H10</f>
        <v>0</v>
      </c>
    </row>
    <row r="11" spans="1:10">
      <c r="B11" s="906" t="s">
        <v>725</v>
      </c>
      <c r="C11" s="907" t="s">
        <v>407</v>
      </c>
      <c r="D11" s="907" t="s">
        <v>11</v>
      </c>
      <c r="E11" s="908">
        <f>'Planteamiento Técnico'!H19+'Planteamiento Técnico'!H32</f>
        <v>0</v>
      </c>
      <c r="F11" s="908">
        <v>1</v>
      </c>
      <c r="G11" s="908">
        <f>E11*F11</f>
        <v>0</v>
      </c>
      <c r="H11" s="909"/>
      <c r="I11" s="908">
        <f>G11*H11</f>
        <v>0</v>
      </c>
    </row>
    <row r="12" spans="1:10">
      <c r="B12" s="1901" t="s">
        <v>830</v>
      </c>
      <c r="C12" s="1902"/>
      <c r="D12" s="1903"/>
      <c r="E12" s="910">
        <f>SUM(E9:E11)</f>
        <v>0</v>
      </c>
      <c r="F12" s="910"/>
      <c r="G12" s="910"/>
      <c r="H12" s="903"/>
      <c r="I12" s="93">
        <f>SUM(I8:I11)</f>
        <v>0</v>
      </c>
    </row>
    <row r="13" spans="1:10">
      <c r="B13" s="1899" t="s">
        <v>125</v>
      </c>
      <c r="C13" s="1899"/>
      <c r="D13" s="1899"/>
      <c r="E13" s="1899"/>
      <c r="F13" s="1899"/>
      <c r="G13" s="1899"/>
      <c r="H13" s="1899"/>
      <c r="I13" s="93">
        <f>I12</f>
        <v>0</v>
      </c>
    </row>
    <row r="17" spans="2:9">
      <c r="B17" s="1900" t="str">
        <f>FICHA!B252</f>
        <v>Adecuado barrido de vías urbanas y áreas públicas</v>
      </c>
      <c r="C17" s="1900"/>
      <c r="D17" s="1900"/>
      <c r="E17" s="1900"/>
      <c r="F17" s="1900"/>
      <c r="G17" s="1900"/>
      <c r="H17" s="1900"/>
      <c r="I17" s="1900"/>
    </row>
    <row r="18" spans="2:9" ht="27.75" customHeight="1">
      <c r="B18" s="578" t="str">
        <f>+B6</f>
        <v>DESCRIPCIÓN</v>
      </c>
      <c r="C18" s="578" t="s">
        <v>796</v>
      </c>
      <c r="D18" s="578" t="s">
        <v>20</v>
      </c>
      <c r="E18" s="578" t="s">
        <v>2259</v>
      </c>
      <c r="F18" s="578" t="s">
        <v>2258</v>
      </c>
      <c r="G18" s="578" t="s">
        <v>2148</v>
      </c>
      <c r="H18" s="900" t="s">
        <v>3261</v>
      </c>
      <c r="I18" s="900" t="s">
        <v>3259</v>
      </c>
    </row>
    <row r="19" spans="2:9" ht="11.25" customHeight="1">
      <c r="B19" s="401" t="str">
        <f>B17</f>
        <v>Adecuado barrido de vías urbanas y áreas públicas</v>
      </c>
      <c r="C19" s="578"/>
      <c r="D19" s="578"/>
      <c r="E19" s="578"/>
      <c r="F19" s="578"/>
      <c r="G19" s="578"/>
      <c r="H19" s="900"/>
      <c r="I19" s="900"/>
    </row>
    <row r="20" spans="2:9" ht="12.75" customHeight="1">
      <c r="B20" s="578" t="s">
        <v>810</v>
      </c>
      <c r="C20" s="578"/>
      <c r="D20" s="578"/>
      <c r="E20" s="578"/>
      <c r="F20" s="578"/>
      <c r="G20" s="578"/>
      <c r="H20" s="900"/>
      <c r="I20" s="578"/>
    </row>
    <row r="21" spans="2:9">
      <c r="B21" s="903" t="s">
        <v>797</v>
      </c>
      <c r="C21" s="911"/>
      <c r="D21" s="911"/>
      <c r="E21" s="911"/>
      <c r="F21" s="911"/>
      <c r="G21" s="911"/>
      <c r="H21" s="912"/>
      <c r="I21" s="911"/>
    </row>
    <row r="22" spans="2:9">
      <c r="B22" s="913" t="s">
        <v>2085</v>
      </c>
      <c r="C22" s="907" t="s">
        <v>407</v>
      </c>
      <c r="D22" s="907" t="s">
        <v>11</v>
      </c>
      <c r="E22" s="908">
        <f>'Planteamiento Técnico'!D68</f>
        <v>0</v>
      </c>
      <c r="F22" s="908">
        <v>1</v>
      </c>
      <c r="G22" s="908">
        <f>E22*F22</f>
        <v>0</v>
      </c>
      <c r="H22" s="909"/>
      <c r="I22" s="908">
        <f>G22*H22</f>
        <v>0</v>
      </c>
    </row>
    <row r="23" spans="2:9">
      <c r="B23" s="914">
        <f>'Planteamiento Técnico'!B69</f>
        <v>0</v>
      </c>
      <c r="C23" s="907" t="s">
        <v>407</v>
      </c>
      <c r="D23" s="907" t="s">
        <v>11</v>
      </c>
      <c r="E23" s="908">
        <f>'Planteamiento Técnico'!D69</f>
        <v>0</v>
      </c>
      <c r="F23" s="908">
        <v>1</v>
      </c>
      <c r="G23" s="908">
        <f>E23*F23</f>
        <v>0</v>
      </c>
      <c r="H23" s="909"/>
      <c r="I23" s="908">
        <f>G23*H23</f>
        <v>0</v>
      </c>
    </row>
    <row r="24" spans="2:9">
      <c r="B24" s="1901" t="s">
        <v>2988</v>
      </c>
      <c r="C24" s="1902"/>
      <c r="D24" s="1903"/>
      <c r="E24" s="910">
        <f>SUM(E22:E23)</f>
        <v>0</v>
      </c>
      <c r="F24" s="910"/>
      <c r="G24" s="910"/>
      <c r="H24" s="93"/>
      <c r="I24" s="910">
        <f>SUM(I22:I23)</f>
        <v>0</v>
      </c>
    </row>
    <row r="25" spans="2:9">
      <c r="B25" s="578" t="s">
        <v>2251</v>
      </c>
      <c r="C25" s="578"/>
      <c r="D25" s="578"/>
      <c r="E25" s="578"/>
      <c r="F25" s="578"/>
      <c r="G25" s="578"/>
      <c r="H25" s="900"/>
      <c r="I25" s="578"/>
    </row>
    <row r="26" spans="2:9">
      <c r="B26" s="903" t="s">
        <v>797</v>
      </c>
      <c r="C26" s="911"/>
      <c r="D26" s="911"/>
      <c r="E26" s="911"/>
      <c r="F26" s="911"/>
      <c r="G26" s="911"/>
      <c r="H26" s="912"/>
      <c r="I26" s="911"/>
    </row>
    <row r="27" spans="2:9">
      <c r="B27" s="913" t="str">
        <f>'Planteamiento Técnico'!B110</f>
        <v>Coches de barrido de 240 lt</v>
      </c>
      <c r="C27" s="907" t="s">
        <v>407</v>
      </c>
      <c r="D27" s="907" t="s">
        <v>11</v>
      </c>
      <c r="E27" s="908">
        <f>'Planteamiento Técnico'!D110</f>
        <v>0</v>
      </c>
      <c r="F27" s="908">
        <v>1</v>
      </c>
      <c r="G27" s="908">
        <f>E27*F27</f>
        <v>0</v>
      </c>
      <c r="H27" s="909"/>
      <c r="I27" s="908">
        <f>G27*H27</f>
        <v>0</v>
      </c>
    </row>
    <row r="28" spans="2:9">
      <c r="B28" s="913">
        <f>'Planteamiento Técnico'!B111</f>
        <v>0</v>
      </c>
      <c r="C28" s="907" t="s">
        <v>407</v>
      </c>
      <c r="D28" s="907" t="s">
        <v>11</v>
      </c>
      <c r="E28" s="908">
        <f>'Planteamiento Técnico'!D111</f>
        <v>0</v>
      </c>
      <c r="F28" s="908">
        <v>1</v>
      </c>
      <c r="G28" s="908">
        <f>E28*F28</f>
        <v>0</v>
      </c>
      <c r="H28" s="908">
        <v>1</v>
      </c>
      <c r="I28" s="908">
        <f>G28*H28</f>
        <v>0</v>
      </c>
    </row>
    <row r="29" spans="2:9">
      <c r="B29" s="913">
        <f>'Planteamiento Técnico'!B112</f>
        <v>0</v>
      </c>
      <c r="C29" s="907" t="s">
        <v>407</v>
      </c>
      <c r="D29" s="907" t="s">
        <v>11</v>
      </c>
      <c r="E29" s="908" t="b">
        <f>'Planteamiento Técnico'!D112</f>
        <v>0</v>
      </c>
      <c r="F29" s="908">
        <v>1</v>
      </c>
      <c r="G29" s="908">
        <f>E29*F29</f>
        <v>0</v>
      </c>
      <c r="H29" s="908">
        <v>1</v>
      </c>
      <c r="I29" s="908">
        <f>G29*H29</f>
        <v>0</v>
      </c>
    </row>
    <row r="30" spans="2:9">
      <c r="B30" s="1901" t="s">
        <v>2989</v>
      </c>
      <c r="C30" s="1902"/>
      <c r="D30" s="1903"/>
      <c r="E30" s="910">
        <f>SUM(E27:E29)</f>
        <v>0</v>
      </c>
      <c r="F30" s="910"/>
      <c r="G30" s="910"/>
      <c r="H30" s="93"/>
      <c r="I30" s="910">
        <f>SUM(I27:I29)</f>
        <v>0</v>
      </c>
    </row>
    <row r="31" spans="2:9">
      <c r="B31" s="903" t="s">
        <v>798</v>
      </c>
      <c r="C31" s="903"/>
      <c r="D31" s="903"/>
      <c r="E31" s="903"/>
      <c r="F31" s="903"/>
      <c r="G31" s="903"/>
      <c r="H31" s="903"/>
      <c r="I31" s="903"/>
    </row>
    <row r="32" spans="2:9">
      <c r="B32" s="915" t="str">
        <f>'Planteamiento Técnico'!B73</f>
        <v>Conos de seguridad color naranja fosforecente</v>
      </c>
      <c r="C32" s="907" t="s">
        <v>407</v>
      </c>
      <c r="D32" s="907" t="s">
        <v>11</v>
      </c>
      <c r="E32" s="908">
        <f>'Planteamiento Técnico'!E73</f>
        <v>6</v>
      </c>
      <c r="F32" s="908">
        <f>'Planteamiento Técnico'!F73+'Planteamiento Técnico'!F116</f>
        <v>0</v>
      </c>
      <c r="G32" s="908">
        <f t="shared" ref="G32:G38" si="0">E32*F32</f>
        <v>0</v>
      </c>
      <c r="H32" s="909"/>
      <c r="I32" s="908">
        <f t="shared" ref="I32:I38" si="1">G32*H32</f>
        <v>0</v>
      </c>
    </row>
    <row r="33" spans="2:9">
      <c r="B33" s="915" t="str">
        <f>'Planteamiento Técnico'!B74</f>
        <v>Escobas de paja</v>
      </c>
      <c r="C33" s="907" t="s">
        <v>407</v>
      </c>
      <c r="D33" s="907" t="s">
        <v>11</v>
      </c>
      <c r="E33" s="908">
        <f>'Planteamiento Técnico'!E74</f>
        <v>12</v>
      </c>
      <c r="F33" s="908">
        <f>'Planteamiento Técnico'!F74+'Planteamiento Técnico'!F117</f>
        <v>0</v>
      </c>
      <c r="G33" s="908">
        <f t="shared" si="0"/>
        <v>0</v>
      </c>
      <c r="H33" s="909"/>
      <c r="I33" s="908">
        <f t="shared" si="1"/>
        <v>0</v>
      </c>
    </row>
    <row r="34" spans="2:9">
      <c r="B34" s="915" t="str">
        <f>'Planteamiento Técnico'!B75</f>
        <v>Escobillón  de cerda</v>
      </c>
      <c r="C34" s="907" t="s">
        <v>407</v>
      </c>
      <c r="D34" s="907" t="s">
        <v>11</v>
      </c>
      <c r="E34" s="908">
        <f>'Planteamiento Técnico'!E75</f>
        <v>3</v>
      </c>
      <c r="F34" s="908">
        <f>'Planteamiento Técnico'!F75+'Planteamiento Técnico'!F118</f>
        <v>0</v>
      </c>
      <c r="G34" s="908">
        <f t="shared" si="0"/>
        <v>0</v>
      </c>
      <c r="H34" s="909"/>
      <c r="I34" s="908">
        <f t="shared" si="1"/>
        <v>0</v>
      </c>
    </row>
    <row r="35" spans="2:9">
      <c r="B35" s="915" t="str">
        <f>'Planteamiento Técnico'!B76</f>
        <v>Escobas metálicas</v>
      </c>
      <c r="C35" s="907" t="s">
        <v>407</v>
      </c>
      <c r="D35" s="907" t="s">
        <v>11</v>
      </c>
      <c r="E35" s="908">
        <f>'Planteamiento Técnico'!E76</f>
        <v>12</v>
      </c>
      <c r="F35" s="908">
        <f>'Planteamiento Técnico'!F76+'Planteamiento Técnico'!F119</f>
        <v>0</v>
      </c>
      <c r="G35" s="908">
        <f t="shared" si="0"/>
        <v>0</v>
      </c>
      <c r="H35" s="909"/>
      <c r="I35" s="908">
        <f t="shared" si="1"/>
        <v>0</v>
      </c>
    </row>
    <row r="36" spans="2:9">
      <c r="B36" s="915" t="str">
        <f>'Planteamiento Técnico'!B77</f>
        <v>Recogedor Metálico</v>
      </c>
      <c r="C36" s="907" t="s">
        <v>407</v>
      </c>
      <c r="D36" s="907" t="s">
        <v>11</v>
      </c>
      <c r="E36" s="908">
        <f>'Planteamiento Técnico'!E77</f>
        <v>4</v>
      </c>
      <c r="F36" s="908">
        <f>'Planteamiento Técnico'!F77+'Planteamiento Técnico'!F120</f>
        <v>0</v>
      </c>
      <c r="G36" s="908">
        <f t="shared" si="0"/>
        <v>0</v>
      </c>
      <c r="H36" s="909"/>
      <c r="I36" s="908">
        <f t="shared" si="1"/>
        <v>0</v>
      </c>
    </row>
    <row r="37" spans="2:9">
      <c r="B37" s="915" t="str">
        <f>'Planteamiento Técnico'!B78</f>
        <v>Bolsas de 120 lts (millar)</v>
      </c>
      <c r="C37" s="907" t="s">
        <v>407</v>
      </c>
      <c r="D37" s="907" t="s">
        <v>2256</v>
      </c>
      <c r="E37" s="908">
        <f>'Planteamiento Técnico'!E78</f>
        <v>0</v>
      </c>
      <c r="F37" s="908">
        <f>'Planteamiento Técnico'!F78+'Planteamiento Técnico'!F121</f>
        <v>0</v>
      </c>
      <c r="G37" s="908">
        <f t="shared" si="0"/>
        <v>0</v>
      </c>
      <c r="H37" s="909"/>
      <c r="I37" s="908">
        <f t="shared" si="1"/>
        <v>0</v>
      </c>
    </row>
    <row r="38" spans="2:9">
      <c r="B38" s="915" t="str">
        <f>'Planteamiento Técnico'!B79</f>
        <v>Punzon</v>
      </c>
      <c r="C38" s="907" t="s">
        <v>407</v>
      </c>
      <c r="D38" s="907" t="s">
        <v>11</v>
      </c>
      <c r="E38" s="908">
        <f>'Planteamiento Técnico'!E79</f>
        <v>6.0000000000000001E-3</v>
      </c>
      <c r="F38" s="908">
        <f>'Planteamiento Técnico'!F79+'Planteamiento Técnico'!F122</f>
        <v>0</v>
      </c>
      <c r="G38" s="908">
        <f t="shared" si="0"/>
        <v>0</v>
      </c>
      <c r="H38" s="909"/>
      <c r="I38" s="908">
        <f t="shared" si="1"/>
        <v>0</v>
      </c>
    </row>
    <row r="39" spans="2:9">
      <c r="B39" s="1901" t="s">
        <v>830</v>
      </c>
      <c r="C39" s="1902"/>
      <c r="D39" s="1903"/>
      <c r="E39" s="908"/>
      <c r="F39" s="908"/>
      <c r="G39" s="908"/>
      <c r="H39" s="11"/>
      <c r="I39" s="910">
        <f>SUM(I31:I38)</f>
        <v>0</v>
      </c>
    </row>
    <row r="40" spans="2:9">
      <c r="B40" s="903" t="s">
        <v>799</v>
      </c>
      <c r="C40" s="911"/>
      <c r="D40" s="907"/>
      <c r="E40" s="907"/>
      <c r="F40" s="907"/>
      <c r="G40" s="907"/>
      <c r="H40" s="911"/>
      <c r="I40" s="907"/>
    </row>
    <row r="41" spans="2:9" ht="11.25" customHeight="1">
      <c r="B41" s="916" t="str">
        <f>'Planteamiento Técnico'!B84</f>
        <v>Camisaco con cintas reflectivas</v>
      </c>
      <c r="C41" s="907" t="s">
        <v>407</v>
      </c>
      <c r="D41" s="907" t="s">
        <v>11</v>
      </c>
      <c r="E41" s="908">
        <f>'Planteamiento Técnico'!E84</f>
        <v>4</v>
      </c>
      <c r="F41" s="908">
        <f>'Planteamiento Técnico'!F84+'Planteamiento Técnico'!F126</f>
        <v>0</v>
      </c>
      <c r="G41" s="908">
        <f t="shared" ref="G41:G50" si="2">E41*F41</f>
        <v>0</v>
      </c>
      <c r="H41" s="909"/>
      <c r="I41" s="908">
        <f t="shared" ref="I41:I50" si="3">G41*H41</f>
        <v>0</v>
      </c>
    </row>
    <row r="42" spans="2:9" ht="11.25" customHeight="1">
      <c r="B42" s="916" t="str">
        <f>'Planteamiento Técnico'!B85</f>
        <v>Pantalón de drill con cintas reflectivas</v>
      </c>
      <c r="C42" s="907" t="s">
        <v>407</v>
      </c>
      <c r="D42" s="907" t="s">
        <v>11</v>
      </c>
      <c r="E42" s="908">
        <f>'Planteamiento Técnico'!E85</f>
        <v>3</v>
      </c>
      <c r="F42" s="908">
        <f>'Planteamiento Técnico'!F85+'Planteamiento Técnico'!F127</f>
        <v>0</v>
      </c>
      <c r="G42" s="908">
        <f t="shared" si="2"/>
        <v>0</v>
      </c>
      <c r="H42" s="909"/>
      <c r="I42" s="908">
        <f t="shared" si="3"/>
        <v>0</v>
      </c>
    </row>
    <row r="43" spans="2:9" ht="11.25" customHeight="1">
      <c r="B43" s="916" t="str">
        <f>'Planteamiento Técnico'!B86</f>
        <v>Polo</v>
      </c>
      <c r="C43" s="907" t="s">
        <v>407</v>
      </c>
      <c r="D43" s="907" t="s">
        <v>11</v>
      </c>
      <c r="E43" s="908">
        <f>'Planteamiento Técnico'!E86</f>
        <v>6</v>
      </c>
      <c r="F43" s="908">
        <f>'Planteamiento Técnico'!F86+'Planteamiento Técnico'!F128</f>
        <v>0</v>
      </c>
      <c r="G43" s="908">
        <f t="shared" si="2"/>
        <v>0</v>
      </c>
      <c r="H43" s="909"/>
      <c r="I43" s="908">
        <f t="shared" si="3"/>
        <v>0</v>
      </c>
    </row>
    <row r="44" spans="2:9" ht="11.25" customHeight="1">
      <c r="B44" s="916" t="str">
        <f>'Planteamiento Técnico'!B87</f>
        <v>Gorro</v>
      </c>
      <c r="C44" s="907" t="s">
        <v>407</v>
      </c>
      <c r="D44" s="907" t="s">
        <v>11</v>
      </c>
      <c r="E44" s="908">
        <f>'Planteamiento Técnico'!E87</f>
        <v>3</v>
      </c>
      <c r="F44" s="908">
        <f>'Planteamiento Técnico'!F87+'Planteamiento Técnico'!F129</f>
        <v>0</v>
      </c>
      <c r="G44" s="908">
        <f t="shared" si="2"/>
        <v>0</v>
      </c>
      <c r="H44" s="909"/>
      <c r="I44" s="908">
        <f t="shared" si="3"/>
        <v>0</v>
      </c>
    </row>
    <row r="45" spans="2:9" ht="11.25" customHeight="1">
      <c r="B45" s="916" t="str">
        <f>'Planteamiento Técnico'!B88</f>
        <v>Poncho Impermeable</v>
      </c>
      <c r="C45" s="907" t="s">
        <v>407</v>
      </c>
      <c r="D45" s="907" t="s">
        <v>11</v>
      </c>
      <c r="E45" s="908">
        <f>'Planteamiento Técnico'!E88</f>
        <v>2</v>
      </c>
      <c r="F45" s="908">
        <f>'Planteamiento Técnico'!F88+'Planteamiento Técnico'!F130</f>
        <v>0</v>
      </c>
      <c r="G45" s="908">
        <f t="shared" si="2"/>
        <v>0</v>
      </c>
      <c r="H45" s="909"/>
      <c r="I45" s="908">
        <f t="shared" si="3"/>
        <v>0</v>
      </c>
    </row>
    <row r="46" spans="2:9" ht="11.25" customHeight="1">
      <c r="B46" s="916" t="str">
        <f>'Planteamiento Técnico'!B89</f>
        <v>Guante nylon</v>
      </c>
      <c r="C46" s="907" t="s">
        <v>407</v>
      </c>
      <c r="D46" s="907" t="s">
        <v>11</v>
      </c>
      <c r="E46" s="908">
        <f>'Planteamiento Técnico'!E89</f>
        <v>12</v>
      </c>
      <c r="F46" s="908">
        <f>'Planteamiento Técnico'!F89+'Planteamiento Técnico'!F131</f>
        <v>0</v>
      </c>
      <c r="G46" s="908">
        <f t="shared" si="2"/>
        <v>0</v>
      </c>
      <c r="H46" s="909"/>
      <c r="I46" s="908">
        <f t="shared" si="3"/>
        <v>0</v>
      </c>
    </row>
    <row r="47" spans="2:9" ht="11.25" customHeight="1">
      <c r="B47" s="916" t="str">
        <f>'Planteamiento Técnico'!B90</f>
        <v>Mascarilla de Drill</v>
      </c>
      <c r="C47" s="907" t="s">
        <v>407</v>
      </c>
      <c r="D47" s="907" t="s">
        <v>11</v>
      </c>
      <c r="E47" s="908">
        <f>'Planteamiento Técnico'!E90</f>
        <v>12</v>
      </c>
      <c r="F47" s="908">
        <f>'Planteamiento Técnico'!F90+'Planteamiento Técnico'!F132</f>
        <v>0</v>
      </c>
      <c r="G47" s="908">
        <f t="shared" si="2"/>
        <v>0</v>
      </c>
      <c r="H47" s="909"/>
      <c r="I47" s="908">
        <f t="shared" si="3"/>
        <v>0</v>
      </c>
    </row>
    <row r="48" spans="2:9" ht="11.25" customHeight="1">
      <c r="B48" s="916" t="str">
        <f>'Planteamiento Técnico'!B91</f>
        <v>Zapatillas</v>
      </c>
      <c r="C48" s="907" t="s">
        <v>407</v>
      </c>
      <c r="D48" s="907" t="s">
        <v>262</v>
      </c>
      <c r="E48" s="908">
        <f>'Planteamiento Técnico'!E91</f>
        <v>4</v>
      </c>
      <c r="F48" s="908">
        <f>'Planteamiento Técnico'!F91+'Planteamiento Técnico'!F133</f>
        <v>0</v>
      </c>
      <c r="G48" s="908">
        <f t="shared" si="2"/>
        <v>0</v>
      </c>
      <c r="H48" s="909"/>
      <c r="I48" s="908">
        <f t="shared" si="3"/>
        <v>0</v>
      </c>
    </row>
    <row r="49" spans="2:9" ht="11.25" customHeight="1">
      <c r="B49" s="916" t="str">
        <f>'Planteamiento Técnico'!B92</f>
        <v>Mochila</v>
      </c>
      <c r="C49" s="907" t="s">
        <v>407</v>
      </c>
      <c r="D49" s="907" t="s">
        <v>11</v>
      </c>
      <c r="E49" s="908">
        <f>'Planteamiento Técnico'!E92</f>
        <v>1</v>
      </c>
      <c r="F49" s="908">
        <f>'Planteamiento Técnico'!F92+'Planteamiento Técnico'!F134</f>
        <v>0</v>
      </c>
      <c r="G49" s="908">
        <f t="shared" si="2"/>
        <v>0</v>
      </c>
      <c r="H49" s="909"/>
      <c r="I49" s="908">
        <f t="shared" si="3"/>
        <v>0</v>
      </c>
    </row>
    <row r="50" spans="2:9" ht="11.25" customHeight="1">
      <c r="B50" s="916" t="str">
        <f>'Planteamiento Técnico'!B93</f>
        <v>Botas de jebe con forro</v>
      </c>
      <c r="C50" s="907" t="s">
        <v>407</v>
      </c>
      <c r="D50" s="907" t="s">
        <v>262</v>
      </c>
      <c r="E50" s="908">
        <f>'Planteamiento Técnico'!E93</f>
        <v>3</v>
      </c>
      <c r="F50" s="908">
        <f>'Planteamiento Técnico'!F93+'Planteamiento Técnico'!F135</f>
        <v>0</v>
      </c>
      <c r="G50" s="908">
        <f t="shared" si="2"/>
        <v>0</v>
      </c>
      <c r="H50" s="909"/>
      <c r="I50" s="908">
        <f t="shared" si="3"/>
        <v>0</v>
      </c>
    </row>
    <row r="51" spans="2:9">
      <c r="B51" s="1901" t="s">
        <v>830</v>
      </c>
      <c r="C51" s="1902"/>
      <c r="D51" s="1903"/>
      <c r="E51" s="908"/>
      <c r="F51" s="908"/>
      <c r="G51" s="908"/>
      <c r="H51" s="11"/>
      <c r="I51" s="910">
        <f>SUM(I40:I50)</f>
        <v>0</v>
      </c>
    </row>
    <row r="52" spans="2:9">
      <c r="B52" s="1899" t="s">
        <v>2986</v>
      </c>
      <c r="C52" s="1899"/>
      <c r="D52" s="1899"/>
      <c r="E52" s="1899"/>
      <c r="F52" s="1899"/>
      <c r="G52" s="1899"/>
      <c r="H52" s="1899"/>
      <c r="I52" s="910">
        <f>I51+I39+I24</f>
        <v>0</v>
      </c>
    </row>
    <row r="53" spans="2:9">
      <c r="B53" s="1899" t="s">
        <v>2987</v>
      </c>
      <c r="C53" s="1899"/>
      <c r="D53" s="1899"/>
      <c r="E53" s="1899"/>
      <c r="F53" s="1899"/>
      <c r="G53" s="1899"/>
      <c r="H53" s="1899"/>
      <c r="I53" s="910">
        <f>I51+I39+I30</f>
        <v>0</v>
      </c>
    </row>
    <row r="55" spans="2:9">
      <c r="B55" s="1900" t="str">
        <f>FICHA!C233</f>
        <v>Adecuada capacidad para la recolección y transporte</v>
      </c>
      <c r="C55" s="1900"/>
      <c r="D55" s="1900"/>
      <c r="E55" s="1900"/>
      <c r="F55" s="1900"/>
      <c r="G55" s="1900"/>
      <c r="H55" s="1900"/>
      <c r="I55" s="1900"/>
    </row>
    <row r="56" spans="2:9" ht="27.75" customHeight="1">
      <c r="B56" s="578" t="s">
        <v>608</v>
      </c>
      <c r="C56" s="578" t="s">
        <v>796</v>
      </c>
      <c r="D56" s="578" t="s">
        <v>20</v>
      </c>
      <c r="E56" s="578" t="s">
        <v>23</v>
      </c>
      <c r="F56" s="578" t="s">
        <v>2258</v>
      </c>
      <c r="G56" s="578" t="s">
        <v>2148</v>
      </c>
      <c r="H56" s="900" t="s">
        <v>3242</v>
      </c>
      <c r="I56" s="900" t="s">
        <v>3259</v>
      </c>
    </row>
    <row r="57" spans="2:9" ht="13.5" customHeight="1">
      <c r="B57" s="401" t="s">
        <v>2918</v>
      </c>
      <c r="C57" s="578"/>
      <c r="D57" s="578"/>
      <c r="E57" s="578"/>
      <c r="F57" s="578"/>
      <c r="G57" s="578"/>
      <c r="H57" s="900"/>
      <c r="I57" s="578"/>
    </row>
    <row r="58" spans="2:9">
      <c r="B58" s="917" t="s">
        <v>2260</v>
      </c>
      <c r="C58" s="907"/>
      <c r="D58" s="910"/>
      <c r="E58" s="93"/>
      <c r="F58" s="93"/>
      <c r="G58" s="93"/>
      <c r="H58" s="918"/>
      <c r="I58" s="93"/>
    </row>
    <row r="59" spans="2:9">
      <c r="B59" s="919" t="str">
        <f>'Planteamiento Técnico'!B153</f>
        <v>Camión Compactador 4 m3 - con alza contenedor</v>
      </c>
      <c r="C59" s="907" t="s">
        <v>538</v>
      </c>
      <c r="D59" s="907" t="s">
        <v>11</v>
      </c>
      <c r="E59" s="920">
        <f>'Planteamiento Técnico'!J153</f>
        <v>0</v>
      </c>
      <c r="F59" s="920">
        <v>1</v>
      </c>
      <c r="G59" s="920">
        <f t="shared" ref="G59:G64" si="4">E59*F59</f>
        <v>0</v>
      </c>
      <c r="H59" s="921"/>
      <c r="I59" s="11">
        <f>G59*H59</f>
        <v>0</v>
      </c>
    </row>
    <row r="60" spans="2:9">
      <c r="B60" s="919" t="str">
        <f>'Planteamiento Técnico'!B154</f>
        <v>Camión Compactador 4 m3 - sin alza contenedor</v>
      </c>
      <c r="C60" s="907" t="s">
        <v>538</v>
      </c>
      <c r="D60" s="907" t="s">
        <v>11</v>
      </c>
      <c r="E60" s="920">
        <f>'Planteamiento Técnico'!J154</f>
        <v>0</v>
      </c>
      <c r="F60" s="920">
        <v>1</v>
      </c>
      <c r="G60" s="920">
        <f t="shared" si="4"/>
        <v>0</v>
      </c>
      <c r="H60" s="921"/>
      <c r="I60" s="11">
        <f t="shared" ref="I60:I81" si="5">G60*H60</f>
        <v>0</v>
      </c>
    </row>
    <row r="61" spans="2:9">
      <c r="B61" s="919" t="str">
        <f>'Planteamiento Técnico'!B155</f>
        <v>Camión Compactador 6 m3 - con alza contenedor</v>
      </c>
      <c r="C61" s="907" t="s">
        <v>538</v>
      </c>
      <c r="D61" s="907" t="s">
        <v>11</v>
      </c>
      <c r="E61" s="920">
        <f>'Planteamiento Técnico'!J155</f>
        <v>0</v>
      </c>
      <c r="F61" s="920">
        <v>1</v>
      </c>
      <c r="G61" s="920">
        <f t="shared" si="4"/>
        <v>0</v>
      </c>
      <c r="H61" s="921"/>
      <c r="I61" s="11">
        <f t="shared" si="5"/>
        <v>0</v>
      </c>
    </row>
    <row r="62" spans="2:9">
      <c r="B62" s="919" t="str">
        <f>'Planteamiento Técnico'!B156</f>
        <v>Camión Compactador 6 m3 sin alza contenedor</v>
      </c>
      <c r="C62" s="907" t="s">
        <v>538</v>
      </c>
      <c r="D62" s="907" t="s">
        <v>11</v>
      </c>
      <c r="E62" s="920">
        <f>'Planteamiento Técnico'!J156</f>
        <v>0</v>
      </c>
      <c r="F62" s="920">
        <v>1</v>
      </c>
      <c r="G62" s="920">
        <f t="shared" si="4"/>
        <v>0</v>
      </c>
      <c r="H62" s="921"/>
      <c r="I62" s="11">
        <f t="shared" si="5"/>
        <v>0</v>
      </c>
    </row>
    <row r="63" spans="2:9">
      <c r="B63" s="919" t="str">
        <f>'Planteamiento Técnico'!B157</f>
        <v>Camión Baranda 4 m3</v>
      </c>
      <c r="C63" s="907" t="s">
        <v>538</v>
      </c>
      <c r="D63" s="907" t="s">
        <v>11</v>
      </c>
      <c r="E63" s="920">
        <f>'Planteamiento Técnico'!J157</f>
        <v>0</v>
      </c>
      <c r="F63" s="920">
        <v>1</v>
      </c>
      <c r="G63" s="920">
        <f t="shared" si="4"/>
        <v>0</v>
      </c>
      <c r="H63" s="921"/>
      <c r="I63" s="11">
        <f t="shared" si="5"/>
        <v>0</v>
      </c>
    </row>
    <row r="64" spans="2:9">
      <c r="B64" s="919" t="str">
        <f>'Planteamiento Técnico'!B158</f>
        <v>Camión Baranda 8 m3</v>
      </c>
      <c r="C64" s="907" t="s">
        <v>538</v>
      </c>
      <c r="D64" s="907" t="s">
        <v>11</v>
      </c>
      <c r="E64" s="920">
        <f>'Planteamiento Técnico'!J158</f>
        <v>0</v>
      </c>
      <c r="F64" s="920">
        <v>1</v>
      </c>
      <c r="G64" s="920">
        <f t="shared" si="4"/>
        <v>0</v>
      </c>
      <c r="H64" s="921"/>
      <c r="I64" s="11">
        <f t="shared" si="5"/>
        <v>0</v>
      </c>
    </row>
    <row r="65" spans="2:9">
      <c r="B65" s="1899" t="s">
        <v>10</v>
      </c>
      <c r="C65" s="1899"/>
      <c r="D65" s="1899"/>
      <c r="E65" s="922">
        <f>SUM(E59:E64)</f>
        <v>0</v>
      </c>
      <c r="F65" s="923"/>
      <c r="G65" s="924"/>
      <c r="H65" s="925"/>
      <c r="I65" s="93">
        <f>SUM(I59:I64)</f>
        <v>0</v>
      </c>
    </row>
    <row r="66" spans="2:9">
      <c r="B66" s="917" t="s">
        <v>2260</v>
      </c>
      <c r="C66" s="907"/>
      <c r="D66" s="910"/>
      <c r="E66" s="93"/>
      <c r="F66" s="93"/>
      <c r="G66" s="93"/>
      <c r="H66" s="918"/>
      <c r="I66" s="93"/>
    </row>
    <row r="67" spans="2:9">
      <c r="B67" s="919" t="str">
        <f>'Planteamiento Técnico'!B256</f>
        <v>Camión Compactador 6 m3 - con alza contenedor</v>
      </c>
      <c r="C67" s="907" t="s">
        <v>538</v>
      </c>
      <c r="D67" s="907" t="s">
        <v>11</v>
      </c>
      <c r="E67" s="920">
        <f>'Planteamiento Técnico'!J256</f>
        <v>0</v>
      </c>
      <c r="F67" s="920">
        <v>1</v>
      </c>
      <c r="G67" s="920">
        <f t="shared" ref="G67:G81" si="6">E67*F67</f>
        <v>0</v>
      </c>
      <c r="H67" s="921"/>
      <c r="I67" s="11">
        <f t="shared" si="5"/>
        <v>0</v>
      </c>
    </row>
    <row r="68" spans="2:9">
      <c r="B68" s="919" t="str">
        <f>'Planteamiento Técnico'!B257</f>
        <v>Camión Compactador 6 m3 sin alza contenedor</v>
      </c>
      <c r="C68" s="907" t="s">
        <v>538</v>
      </c>
      <c r="D68" s="907" t="s">
        <v>11</v>
      </c>
      <c r="E68" s="920">
        <f>'Planteamiento Técnico'!J257</f>
        <v>0</v>
      </c>
      <c r="F68" s="920">
        <v>1</v>
      </c>
      <c r="G68" s="920">
        <f t="shared" si="6"/>
        <v>0</v>
      </c>
      <c r="H68" s="921"/>
      <c r="I68" s="11">
        <f t="shared" si="5"/>
        <v>0</v>
      </c>
    </row>
    <row r="69" spans="2:9">
      <c r="B69" s="919" t="str">
        <f>'Planteamiento Técnico'!B258</f>
        <v>Camión Compactador 8 m3 - con alza contenedor</v>
      </c>
      <c r="C69" s="907" t="s">
        <v>538</v>
      </c>
      <c r="D69" s="907" t="s">
        <v>11</v>
      </c>
      <c r="E69" s="920">
        <f>'Planteamiento Técnico'!J258</f>
        <v>0</v>
      </c>
      <c r="F69" s="920">
        <v>1</v>
      </c>
      <c r="G69" s="920">
        <f t="shared" si="6"/>
        <v>0</v>
      </c>
      <c r="H69" s="921"/>
      <c r="I69" s="11">
        <f t="shared" si="5"/>
        <v>0</v>
      </c>
    </row>
    <row r="70" spans="2:9">
      <c r="B70" s="919" t="str">
        <f>'Planteamiento Técnico'!B259</f>
        <v xml:space="preserve">Camión Compactador 10 m3 sin alza contenedor </v>
      </c>
      <c r="C70" s="907" t="s">
        <v>538</v>
      </c>
      <c r="D70" s="907" t="s">
        <v>11</v>
      </c>
      <c r="E70" s="920">
        <f>'Planteamiento Técnico'!J259</f>
        <v>0</v>
      </c>
      <c r="F70" s="920">
        <v>1</v>
      </c>
      <c r="G70" s="920">
        <f t="shared" si="6"/>
        <v>0</v>
      </c>
      <c r="H70" s="921"/>
      <c r="I70" s="11">
        <f t="shared" si="5"/>
        <v>0</v>
      </c>
    </row>
    <row r="71" spans="2:9">
      <c r="B71" s="919" t="str">
        <f>'Planteamiento Técnico'!B260</f>
        <v>Camión Compactador 10 m3 - con alza contenedor</v>
      </c>
      <c r="C71" s="907" t="s">
        <v>538</v>
      </c>
      <c r="D71" s="907" t="s">
        <v>11</v>
      </c>
      <c r="E71" s="920">
        <f>'Planteamiento Técnico'!J260</f>
        <v>0</v>
      </c>
      <c r="F71" s="920">
        <v>1</v>
      </c>
      <c r="G71" s="920">
        <f t="shared" si="6"/>
        <v>0</v>
      </c>
      <c r="H71" s="921"/>
      <c r="I71" s="11">
        <f t="shared" si="5"/>
        <v>0</v>
      </c>
    </row>
    <row r="72" spans="2:9">
      <c r="B72" s="919" t="str">
        <f>'Planteamiento Técnico'!B261</f>
        <v xml:space="preserve">Camión Compactador 10 m3 sin alza contenedor </v>
      </c>
      <c r="C72" s="907" t="s">
        <v>538</v>
      </c>
      <c r="D72" s="907" t="s">
        <v>11</v>
      </c>
      <c r="E72" s="920">
        <f>'Planteamiento Técnico'!J261</f>
        <v>0</v>
      </c>
      <c r="F72" s="920">
        <v>1</v>
      </c>
      <c r="G72" s="920">
        <f t="shared" si="6"/>
        <v>0</v>
      </c>
      <c r="H72" s="921"/>
      <c r="I72" s="11">
        <f t="shared" si="5"/>
        <v>0</v>
      </c>
    </row>
    <row r="73" spans="2:9">
      <c r="B73" s="919" t="str">
        <f>'Planteamiento Técnico'!B262</f>
        <v>Camión Compactador 12 m3 - con alza contenedor</v>
      </c>
      <c r="C73" s="907" t="s">
        <v>538</v>
      </c>
      <c r="D73" s="907" t="s">
        <v>11</v>
      </c>
      <c r="E73" s="920">
        <f>'Planteamiento Técnico'!J262</f>
        <v>0</v>
      </c>
      <c r="F73" s="920">
        <v>1</v>
      </c>
      <c r="G73" s="920">
        <f t="shared" si="6"/>
        <v>0</v>
      </c>
      <c r="H73" s="921"/>
      <c r="I73" s="11">
        <f t="shared" si="5"/>
        <v>0</v>
      </c>
    </row>
    <row r="74" spans="2:9">
      <c r="B74" s="919" t="str">
        <f>'Planteamiento Técnico'!B263</f>
        <v>Camión Compactador 12 m3 sin alza contenedor</v>
      </c>
      <c r="C74" s="907" t="s">
        <v>538</v>
      </c>
      <c r="D74" s="907" t="s">
        <v>11</v>
      </c>
      <c r="E74" s="920">
        <f>'Planteamiento Técnico'!J263</f>
        <v>0</v>
      </c>
      <c r="F74" s="920">
        <v>1</v>
      </c>
      <c r="G74" s="920">
        <f t="shared" si="6"/>
        <v>0</v>
      </c>
      <c r="H74" s="921"/>
      <c r="I74" s="11">
        <f t="shared" si="5"/>
        <v>0</v>
      </c>
    </row>
    <row r="75" spans="2:9">
      <c r="B75" s="919" t="str">
        <f>'Planteamiento Técnico'!B264</f>
        <v>Camión Compactador 15 m3 - con alza contenedor</v>
      </c>
      <c r="C75" s="907" t="s">
        <v>538</v>
      </c>
      <c r="D75" s="907" t="s">
        <v>11</v>
      </c>
      <c r="E75" s="920">
        <f>'Planteamiento Técnico'!J264</f>
        <v>0</v>
      </c>
      <c r="F75" s="920">
        <v>1</v>
      </c>
      <c r="G75" s="920">
        <f t="shared" si="6"/>
        <v>0</v>
      </c>
      <c r="H75" s="921"/>
      <c r="I75" s="11">
        <f t="shared" si="5"/>
        <v>0</v>
      </c>
    </row>
    <row r="76" spans="2:9">
      <c r="B76" s="919" t="str">
        <f>'Planteamiento Técnico'!B265</f>
        <v>Camión Compactador 15 m3 sin alza contenedor</v>
      </c>
      <c r="C76" s="907" t="s">
        <v>538</v>
      </c>
      <c r="D76" s="907" t="s">
        <v>11</v>
      </c>
      <c r="E76" s="920">
        <f>'Planteamiento Técnico'!J265</f>
        <v>0</v>
      </c>
      <c r="F76" s="920">
        <v>1</v>
      </c>
      <c r="G76" s="920">
        <f t="shared" si="6"/>
        <v>0</v>
      </c>
      <c r="H76" s="921"/>
      <c r="I76" s="11">
        <f t="shared" si="5"/>
        <v>0</v>
      </c>
    </row>
    <row r="77" spans="2:9">
      <c r="B77" s="1899" t="s">
        <v>10</v>
      </c>
      <c r="C77" s="1899"/>
      <c r="D77" s="1899"/>
      <c r="E77" s="922">
        <f>SUM(E67:E76)</f>
        <v>0</v>
      </c>
      <c r="F77" s="923"/>
      <c r="G77" s="924"/>
      <c r="H77" s="925"/>
      <c r="I77" s="924">
        <f>SUM(I67:I76)</f>
        <v>0</v>
      </c>
    </row>
    <row r="78" spans="2:9" ht="12" customHeight="1">
      <c r="B78" s="917" t="s">
        <v>2261</v>
      </c>
      <c r="C78" s="907"/>
      <c r="D78" s="907"/>
      <c r="E78" s="11"/>
      <c r="F78" s="920"/>
      <c r="G78" s="11"/>
      <c r="H78" s="918"/>
      <c r="I78" s="11"/>
    </row>
    <row r="79" spans="2:9">
      <c r="B79" s="919" t="str">
        <f>'Planteamiento Técnico'!B162</f>
        <v>Vehículo tipo Trimóvil</v>
      </c>
      <c r="C79" s="907" t="s">
        <v>538</v>
      </c>
      <c r="D79" s="907" t="s">
        <v>11</v>
      </c>
      <c r="E79" s="920">
        <f>'Planteamiento Técnico'!J162</f>
        <v>0</v>
      </c>
      <c r="F79" s="920">
        <v>1</v>
      </c>
      <c r="G79" s="920">
        <f t="shared" si="6"/>
        <v>0</v>
      </c>
      <c r="H79" s="921"/>
      <c r="I79" s="11">
        <f t="shared" si="5"/>
        <v>0</v>
      </c>
    </row>
    <row r="80" spans="2:9">
      <c r="B80" s="919" t="str">
        <f>'Planteamiento Técnico'!B163</f>
        <v>Vehículo tipo Trimóvil</v>
      </c>
      <c r="C80" s="907" t="s">
        <v>538</v>
      </c>
      <c r="D80" s="907" t="s">
        <v>11</v>
      </c>
      <c r="E80" s="920">
        <f>'Planteamiento Técnico'!J163</f>
        <v>0</v>
      </c>
      <c r="F80" s="920">
        <v>1</v>
      </c>
      <c r="G80" s="920">
        <f t="shared" si="6"/>
        <v>0</v>
      </c>
      <c r="H80" s="921"/>
      <c r="I80" s="11">
        <f t="shared" si="5"/>
        <v>0</v>
      </c>
    </row>
    <row r="81" spans="2:9">
      <c r="B81" s="919" t="str">
        <f>'Planteamiento Técnico'!B164</f>
        <v>Otros (especifique)</v>
      </c>
      <c r="C81" s="907" t="s">
        <v>538</v>
      </c>
      <c r="D81" s="907" t="s">
        <v>11</v>
      </c>
      <c r="E81" s="920">
        <f>'Planteamiento Técnico'!J164</f>
        <v>0</v>
      </c>
      <c r="F81" s="920">
        <v>1</v>
      </c>
      <c r="G81" s="920">
        <f t="shared" si="6"/>
        <v>0</v>
      </c>
      <c r="H81" s="921"/>
      <c r="I81" s="11">
        <f t="shared" si="5"/>
        <v>0</v>
      </c>
    </row>
    <row r="82" spans="2:9">
      <c r="B82" s="1899" t="str">
        <f>'Planteamiento Técnico'!B159</f>
        <v>TOTAL</v>
      </c>
      <c r="C82" s="1899"/>
      <c r="D82" s="1899"/>
      <c r="E82" s="922">
        <f>SUM(E79:E81)</f>
        <v>0</v>
      </c>
      <c r="F82" s="923"/>
      <c r="G82" s="924"/>
      <c r="H82" s="925"/>
      <c r="I82" s="924">
        <f>SUM(I79:I81)</f>
        <v>0</v>
      </c>
    </row>
    <row r="83" spans="2:9">
      <c r="B83" s="1901" t="s">
        <v>10</v>
      </c>
      <c r="C83" s="1902"/>
      <c r="D83" s="1902"/>
      <c r="E83" s="1902"/>
      <c r="F83" s="1902"/>
      <c r="G83" s="1902"/>
      <c r="H83" s="1903"/>
      <c r="I83" s="924">
        <f>I82+I77+I65</f>
        <v>0</v>
      </c>
    </row>
    <row r="84" spans="2:9" ht="16.5" customHeight="1">
      <c r="B84" s="401" t="s">
        <v>2922</v>
      </c>
      <c r="C84" s="578"/>
      <c r="D84" s="578"/>
      <c r="E84" s="578"/>
      <c r="F84" s="578"/>
      <c r="G84" s="578"/>
      <c r="H84" s="900"/>
      <c r="I84" s="578"/>
    </row>
    <row r="85" spans="2:9">
      <c r="B85" s="917" t="s">
        <v>2260</v>
      </c>
      <c r="C85" s="907"/>
      <c r="D85" s="910"/>
      <c r="E85" s="926"/>
      <c r="F85" s="93"/>
      <c r="G85" s="93"/>
      <c r="H85" s="918"/>
      <c r="I85" s="93"/>
    </row>
    <row r="86" spans="2:9">
      <c r="B86" s="919">
        <f>'Planteamiento Técnico'!B184</f>
        <v>0</v>
      </c>
      <c r="C86" s="907" t="s">
        <v>538</v>
      </c>
      <c r="D86" s="907" t="s">
        <v>11</v>
      </c>
      <c r="E86" s="920">
        <f>'Planteamiento Técnico'!J184</f>
        <v>0</v>
      </c>
      <c r="F86" s="920">
        <v>1</v>
      </c>
      <c r="G86" s="920">
        <f>E86*F86</f>
        <v>0</v>
      </c>
      <c r="H86" s="921"/>
      <c r="I86" s="11">
        <f>G86*H86</f>
        <v>0</v>
      </c>
    </row>
    <row r="87" spans="2:9" ht="25.5">
      <c r="B87" s="917" t="s">
        <v>2263</v>
      </c>
      <c r="C87" s="907"/>
      <c r="D87" s="910"/>
      <c r="E87" s="926"/>
      <c r="F87" s="93"/>
      <c r="G87" s="93"/>
      <c r="H87" s="918"/>
      <c r="I87" s="93"/>
    </row>
    <row r="88" spans="2:9">
      <c r="B88" s="919" t="str">
        <f>'Planteamiento Técnico'!B279</f>
        <v>Camión Baranda</v>
      </c>
      <c r="C88" s="907" t="s">
        <v>538</v>
      </c>
      <c r="D88" s="907" t="s">
        <v>11</v>
      </c>
      <c r="E88" s="920">
        <f>'Planteamiento Técnico'!J279</f>
        <v>0</v>
      </c>
      <c r="F88" s="920">
        <v>1</v>
      </c>
      <c r="G88" s="920">
        <f>E88*F88</f>
        <v>0</v>
      </c>
      <c r="H88" s="921"/>
      <c r="I88" s="11">
        <f>G88*H88</f>
        <v>0</v>
      </c>
    </row>
    <row r="89" spans="2:9">
      <c r="B89" s="1899" t="s">
        <v>10</v>
      </c>
      <c r="C89" s="1899"/>
      <c r="D89" s="1899"/>
      <c r="E89" s="926">
        <f>SUM(E86:E88)</f>
        <v>0</v>
      </c>
      <c r="F89" s="903"/>
      <c r="G89" s="903"/>
      <c r="H89" s="903"/>
      <c r="I89" s="93">
        <f>SUM(I86:I88)</f>
        <v>0</v>
      </c>
    </row>
    <row r="90" spans="2:9" ht="12" customHeight="1">
      <c r="B90" s="917" t="s">
        <v>2261</v>
      </c>
      <c r="C90" s="907"/>
      <c r="D90" s="907"/>
      <c r="E90" s="920"/>
      <c r="F90" s="920"/>
      <c r="G90" s="11"/>
      <c r="H90" s="918"/>
      <c r="I90" s="11"/>
    </row>
    <row r="91" spans="2:9" ht="12" customHeight="1">
      <c r="B91" s="913">
        <f>'Planteamiento Técnico'!B188</f>
        <v>0</v>
      </c>
      <c r="C91" s="907" t="s">
        <v>538</v>
      </c>
      <c r="D91" s="907" t="s">
        <v>11</v>
      </c>
      <c r="E91" s="920">
        <f>'Planteamiento Técnico'!J188</f>
        <v>0</v>
      </c>
      <c r="F91" s="920">
        <v>1</v>
      </c>
      <c r="G91" s="920">
        <f t="shared" ref="G91:G107" si="7">E91*F91</f>
        <v>0</v>
      </c>
      <c r="H91" s="921"/>
      <c r="I91" s="11">
        <f t="shared" ref="I91:I107" si="8">G91*H91</f>
        <v>0</v>
      </c>
    </row>
    <row r="92" spans="2:9" ht="12" customHeight="1">
      <c r="B92" s="913">
        <f>'Planteamiento Técnico'!B189</f>
        <v>0</v>
      </c>
      <c r="C92" s="907" t="s">
        <v>538</v>
      </c>
      <c r="D92" s="907" t="s">
        <v>11</v>
      </c>
      <c r="E92" s="920">
        <f>'Planteamiento Técnico'!J189</f>
        <v>0</v>
      </c>
      <c r="F92" s="920">
        <v>1</v>
      </c>
      <c r="G92" s="920">
        <f t="shared" si="7"/>
        <v>0</v>
      </c>
      <c r="H92" s="921"/>
      <c r="I92" s="11">
        <f t="shared" si="8"/>
        <v>0</v>
      </c>
    </row>
    <row r="93" spans="2:9" ht="12" customHeight="1">
      <c r="B93" s="913" t="str">
        <f>'Planteamiento Técnico'!B190</f>
        <v>Otros (especifique)</v>
      </c>
      <c r="C93" s="907" t="s">
        <v>538</v>
      </c>
      <c r="D93" s="907" t="s">
        <v>11</v>
      </c>
      <c r="E93" s="920">
        <f>'Planteamiento Técnico'!J190</f>
        <v>0</v>
      </c>
      <c r="F93" s="920">
        <v>1</v>
      </c>
      <c r="G93" s="920">
        <f t="shared" si="7"/>
        <v>0</v>
      </c>
      <c r="H93" s="921"/>
      <c r="I93" s="11">
        <f t="shared" si="8"/>
        <v>0</v>
      </c>
    </row>
    <row r="94" spans="2:9" ht="12" customHeight="1">
      <c r="B94" s="917" t="s">
        <v>2262</v>
      </c>
      <c r="C94" s="907"/>
      <c r="D94" s="907"/>
      <c r="E94" s="920"/>
      <c r="F94" s="920"/>
      <c r="G94" s="920"/>
      <c r="H94" s="918"/>
      <c r="I94" s="920"/>
    </row>
    <row r="95" spans="2:9">
      <c r="B95" s="919" t="str">
        <f>'Planteamiento Técnico'!B283</f>
        <v>Vehículo Trimóvil</v>
      </c>
      <c r="C95" s="907" t="s">
        <v>538</v>
      </c>
      <c r="D95" s="907" t="s">
        <v>11</v>
      </c>
      <c r="E95" s="920">
        <f>'Planteamiento Técnico'!J283</f>
        <v>0</v>
      </c>
      <c r="F95" s="920">
        <v>1</v>
      </c>
      <c r="G95" s="920">
        <f>E95*F95</f>
        <v>0</v>
      </c>
      <c r="H95" s="921"/>
      <c r="I95" s="11">
        <f t="shared" si="8"/>
        <v>0</v>
      </c>
    </row>
    <row r="96" spans="2:9">
      <c r="B96" s="919" t="str">
        <f>'Planteamiento Técnico'!B284</f>
        <v>Vehículo Triciclo</v>
      </c>
      <c r="C96" s="907" t="s">
        <v>538</v>
      </c>
      <c r="D96" s="907" t="s">
        <v>11</v>
      </c>
      <c r="E96" s="920">
        <f>'Planteamiento Técnico'!J284</f>
        <v>0</v>
      </c>
      <c r="F96" s="920">
        <v>1</v>
      </c>
      <c r="G96" s="920">
        <f t="shared" si="7"/>
        <v>0</v>
      </c>
      <c r="H96" s="921"/>
      <c r="I96" s="11">
        <f t="shared" si="8"/>
        <v>0</v>
      </c>
    </row>
    <row r="97" spans="2:9">
      <c r="B97" s="1899" t="s">
        <v>10</v>
      </c>
      <c r="C97" s="1899"/>
      <c r="D97" s="1899"/>
      <c r="E97" s="926">
        <f>SUM(E91:E96)</f>
        <v>0</v>
      </c>
      <c r="F97" s="903"/>
      <c r="G97" s="903"/>
      <c r="H97" s="903"/>
      <c r="I97" s="93">
        <f>SUM(I91:I96)</f>
        <v>0</v>
      </c>
    </row>
    <row r="98" spans="2:9">
      <c r="B98" s="1899" t="s">
        <v>3247</v>
      </c>
      <c r="C98" s="1899"/>
      <c r="D98" s="1899"/>
      <c r="E98" s="1899"/>
      <c r="F98" s="1899"/>
      <c r="G98" s="1899"/>
      <c r="H98" s="1899"/>
      <c r="I98" s="924">
        <f>I97+I89</f>
        <v>0</v>
      </c>
    </row>
    <row r="99" spans="2:9">
      <c r="B99" s="917" t="s">
        <v>798</v>
      </c>
      <c r="C99" s="907"/>
      <c r="D99" s="907"/>
      <c r="E99" s="920"/>
      <c r="F99" s="920"/>
      <c r="G99" s="920"/>
      <c r="H99" s="918"/>
      <c r="I99" s="920"/>
    </row>
    <row r="100" spans="2:9">
      <c r="B100" s="919" t="str">
        <f>'Planteamiento Técnico'!B211</f>
        <v>Escobas de paja</v>
      </c>
      <c r="C100" s="907" t="s">
        <v>407</v>
      </c>
      <c r="D100" s="907" t="s">
        <v>11</v>
      </c>
      <c r="E100" s="920">
        <f>'Planteamiento Técnico'!E211</f>
        <v>12</v>
      </c>
      <c r="F100" s="920">
        <f>'Planteamiento Técnico'!F211+'Planteamiento Técnico'!F305</f>
        <v>0</v>
      </c>
      <c r="G100" s="920">
        <f t="shared" si="7"/>
        <v>0</v>
      </c>
      <c r="H100" s="921"/>
      <c r="I100" s="11">
        <f t="shared" si="8"/>
        <v>0</v>
      </c>
    </row>
    <row r="101" spans="2:9">
      <c r="B101" s="919" t="str">
        <f>'Planteamiento Técnico'!B212</f>
        <v>Manta de nylon</v>
      </c>
      <c r="C101" s="907" t="s">
        <v>407</v>
      </c>
      <c r="D101" s="907" t="s">
        <v>11</v>
      </c>
      <c r="E101" s="920">
        <f>'Planteamiento Técnico'!E212</f>
        <v>1</v>
      </c>
      <c r="F101" s="920">
        <f>'Planteamiento Técnico'!F212+'Planteamiento Técnico'!F306</f>
        <v>0</v>
      </c>
      <c r="G101" s="920">
        <f t="shared" si="7"/>
        <v>0</v>
      </c>
      <c r="H101" s="921"/>
      <c r="I101" s="11">
        <f t="shared" si="8"/>
        <v>0</v>
      </c>
    </row>
    <row r="102" spans="2:9">
      <c r="B102" s="919" t="str">
        <f>'Planteamiento Técnico'!B213</f>
        <v>Pala cuchara</v>
      </c>
      <c r="C102" s="907" t="s">
        <v>407</v>
      </c>
      <c r="D102" s="907" t="s">
        <v>11</v>
      </c>
      <c r="E102" s="920">
        <f>'Planteamiento Técnico'!E213</f>
        <v>2</v>
      </c>
      <c r="F102" s="920">
        <f>'Planteamiento Técnico'!F213+'Planteamiento Técnico'!F307</f>
        <v>0</v>
      </c>
      <c r="G102" s="920">
        <f t="shared" si="7"/>
        <v>0</v>
      </c>
      <c r="H102" s="921"/>
      <c r="I102" s="11">
        <f t="shared" si="8"/>
        <v>0</v>
      </c>
    </row>
    <row r="103" spans="2:9">
      <c r="B103" s="919" t="str">
        <f>'Planteamiento Técnico'!B214</f>
        <v>Zapas</v>
      </c>
      <c r="C103" s="907" t="s">
        <v>407</v>
      </c>
      <c r="D103" s="907" t="s">
        <v>11</v>
      </c>
      <c r="E103" s="920">
        <f>'Planteamiento Técnico'!E214</f>
        <v>2</v>
      </c>
      <c r="F103" s="920">
        <f>'Planteamiento Técnico'!F214+'Planteamiento Técnico'!F308</f>
        <v>0</v>
      </c>
      <c r="G103" s="920">
        <f t="shared" si="7"/>
        <v>0</v>
      </c>
      <c r="H103" s="921"/>
      <c r="I103" s="11">
        <f t="shared" si="8"/>
        <v>0</v>
      </c>
    </row>
    <row r="104" spans="2:9">
      <c r="B104" s="919" t="str">
        <f>'Planteamiento Técnico'!B215</f>
        <v xml:space="preserve">Rastrillos </v>
      </c>
      <c r="C104" s="907" t="s">
        <v>407</v>
      </c>
      <c r="D104" s="907" t="s">
        <v>11</v>
      </c>
      <c r="E104" s="920">
        <f>'Planteamiento Técnico'!E215</f>
        <v>6</v>
      </c>
      <c r="F104" s="920">
        <f>'Planteamiento Técnico'!F215+'Planteamiento Técnico'!F309</f>
        <v>0</v>
      </c>
      <c r="G104" s="920">
        <f t="shared" si="7"/>
        <v>0</v>
      </c>
      <c r="H104" s="921"/>
      <c r="I104" s="11">
        <f t="shared" si="8"/>
        <v>0</v>
      </c>
    </row>
    <row r="105" spans="2:9">
      <c r="B105" s="919" t="str">
        <f>'Planteamiento Técnico'!B216</f>
        <v>Conos de Seguridad color naranja fosforescente</v>
      </c>
      <c r="C105" s="907" t="s">
        <v>407</v>
      </c>
      <c r="D105" s="907" t="s">
        <v>11</v>
      </c>
      <c r="E105" s="920">
        <f>'Planteamiento Técnico'!E216</f>
        <v>8</v>
      </c>
      <c r="F105" s="920">
        <f>'Planteamiento Técnico'!F216+'Planteamiento Técnico'!F310</f>
        <v>0</v>
      </c>
      <c r="G105" s="920">
        <f t="shared" si="7"/>
        <v>0</v>
      </c>
      <c r="H105" s="921"/>
      <c r="I105" s="11">
        <f t="shared" si="8"/>
        <v>0</v>
      </c>
    </row>
    <row r="106" spans="2:9">
      <c r="B106" s="919" t="str">
        <f>'Planteamiento Técnico'!B217</f>
        <v>Botiquín</v>
      </c>
      <c r="C106" s="907" t="s">
        <v>407</v>
      </c>
      <c r="D106" s="907" t="s">
        <v>11</v>
      </c>
      <c r="E106" s="920">
        <f>'Planteamiento Técnico'!E217</f>
        <v>3</v>
      </c>
      <c r="F106" s="920">
        <f>'Planteamiento Técnico'!F217+'Planteamiento Técnico'!F311</f>
        <v>0</v>
      </c>
      <c r="G106" s="920">
        <f t="shared" si="7"/>
        <v>0</v>
      </c>
      <c r="H106" s="921"/>
      <c r="I106" s="11">
        <f t="shared" si="8"/>
        <v>0</v>
      </c>
    </row>
    <row r="107" spans="2:9">
      <c r="B107" s="919" t="str">
        <f>'Planteamiento Técnico'!B218</f>
        <v>Extintor</v>
      </c>
      <c r="C107" s="907" t="s">
        <v>407</v>
      </c>
      <c r="D107" s="907" t="s">
        <v>11</v>
      </c>
      <c r="E107" s="920">
        <f>'Planteamiento Técnico'!E218</f>
        <v>1</v>
      </c>
      <c r="F107" s="920">
        <f>'Planteamiento Técnico'!F218+'Planteamiento Técnico'!F312</f>
        <v>0</v>
      </c>
      <c r="G107" s="920">
        <f t="shared" si="7"/>
        <v>0</v>
      </c>
      <c r="H107" s="921"/>
      <c r="I107" s="11">
        <f t="shared" si="8"/>
        <v>0</v>
      </c>
    </row>
    <row r="108" spans="2:9">
      <c r="B108" s="1899" t="s">
        <v>3247</v>
      </c>
      <c r="C108" s="1899"/>
      <c r="D108" s="1899"/>
      <c r="E108" s="1899"/>
      <c r="F108" s="1899"/>
      <c r="G108" s="1899"/>
      <c r="H108" s="1899"/>
      <c r="I108" s="93">
        <f>SUM(I100:I107)</f>
        <v>0</v>
      </c>
    </row>
    <row r="109" spans="2:9">
      <c r="B109" s="917" t="s">
        <v>799</v>
      </c>
      <c r="C109" s="907"/>
      <c r="D109" s="907"/>
      <c r="E109" s="920"/>
      <c r="F109" s="920"/>
      <c r="G109" s="920"/>
      <c r="H109" s="918"/>
      <c r="I109" s="920"/>
    </row>
    <row r="110" spans="2:9">
      <c r="B110" s="917" t="s">
        <v>224</v>
      </c>
      <c r="C110" s="907"/>
      <c r="D110" s="907"/>
      <c r="E110" s="920"/>
      <c r="F110" s="920"/>
      <c r="G110" s="920"/>
      <c r="H110" s="918"/>
      <c r="I110" s="920"/>
    </row>
    <row r="111" spans="2:9">
      <c r="B111" s="919" t="str">
        <f>'Planteamiento Técnico'!B223</f>
        <v>Camisaco con cinta reflectiva</v>
      </c>
      <c r="C111" s="907" t="s">
        <v>407</v>
      </c>
      <c r="D111" s="907" t="s">
        <v>11</v>
      </c>
      <c r="E111" s="920">
        <f>'Planteamiento Técnico'!E223</f>
        <v>2</v>
      </c>
      <c r="F111" s="920">
        <f>'Planteamiento Técnico'!F223+'Planteamiento Técnico'!F317</f>
        <v>0</v>
      </c>
      <c r="G111" s="920">
        <f t="shared" ref="G111:G123" si="9">E111*F111</f>
        <v>0</v>
      </c>
      <c r="H111" s="921"/>
      <c r="I111" s="11">
        <f t="shared" ref="I111:I123" si="10">G111*H111</f>
        <v>0</v>
      </c>
    </row>
    <row r="112" spans="2:9">
      <c r="B112" s="919" t="str">
        <f>'Planteamiento Técnico'!B224</f>
        <v>Pantalón con cinta reflectiva</v>
      </c>
      <c r="C112" s="907" t="s">
        <v>407</v>
      </c>
      <c r="D112" s="907" t="s">
        <v>11</v>
      </c>
      <c r="E112" s="920">
        <f>'Planteamiento Técnico'!E224</f>
        <v>2</v>
      </c>
      <c r="F112" s="920">
        <f>'Planteamiento Técnico'!F224+'Planteamiento Técnico'!F318</f>
        <v>0</v>
      </c>
      <c r="G112" s="920">
        <f t="shared" si="9"/>
        <v>0</v>
      </c>
      <c r="H112" s="921"/>
      <c r="I112" s="11">
        <f t="shared" si="10"/>
        <v>0</v>
      </c>
    </row>
    <row r="113" spans="2:9">
      <c r="B113" s="919" t="str">
        <f>'Planteamiento Técnico'!B225</f>
        <v>Polos</v>
      </c>
      <c r="C113" s="907" t="s">
        <v>407</v>
      </c>
      <c r="D113" s="907" t="s">
        <v>11</v>
      </c>
      <c r="E113" s="920">
        <f>'Planteamiento Técnico'!E225</f>
        <v>3</v>
      </c>
      <c r="F113" s="920">
        <f>'Planteamiento Técnico'!F225+'Planteamiento Técnico'!F319</f>
        <v>0</v>
      </c>
      <c r="G113" s="920">
        <f t="shared" si="9"/>
        <v>0</v>
      </c>
      <c r="H113" s="921"/>
      <c r="I113" s="11">
        <f t="shared" si="10"/>
        <v>0</v>
      </c>
    </row>
    <row r="114" spans="2:9">
      <c r="B114" s="919" t="str">
        <f>'Planteamiento Técnico'!B226</f>
        <v>Faja</v>
      </c>
      <c r="C114" s="907" t="s">
        <v>407</v>
      </c>
      <c r="D114" s="907" t="s">
        <v>11</v>
      </c>
      <c r="E114" s="920">
        <f>'Planteamiento Técnico'!E226</f>
        <v>4</v>
      </c>
      <c r="F114" s="920">
        <f>'Planteamiento Técnico'!F226+'Planteamiento Técnico'!F320</f>
        <v>0</v>
      </c>
      <c r="G114" s="920">
        <f t="shared" si="9"/>
        <v>0</v>
      </c>
      <c r="H114" s="921"/>
      <c r="I114" s="11">
        <f t="shared" si="10"/>
        <v>0</v>
      </c>
    </row>
    <row r="115" spans="2:9">
      <c r="B115" s="919" t="str">
        <f>'Planteamiento Técnico'!B227</f>
        <v xml:space="preserve">Gorro taslan </v>
      </c>
      <c r="C115" s="907" t="s">
        <v>407</v>
      </c>
      <c r="D115" s="907" t="s">
        <v>11</v>
      </c>
      <c r="E115" s="920">
        <f>'Planteamiento Técnico'!E227</f>
        <v>2</v>
      </c>
      <c r="F115" s="920">
        <f>'Planteamiento Técnico'!F227+'Planteamiento Técnico'!F321</f>
        <v>0</v>
      </c>
      <c r="G115" s="920">
        <f t="shared" si="9"/>
        <v>0</v>
      </c>
      <c r="H115" s="921"/>
      <c r="I115" s="11">
        <f t="shared" si="10"/>
        <v>0</v>
      </c>
    </row>
    <row r="116" spans="2:9">
      <c r="B116" s="919" t="str">
        <f>'Planteamiento Técnico'!B228</f>
        <v>Poncho impermeable</v>
      </c>
      <c r="C116" s="907" t="s">
        <v>407</v>
      </c>
      <c r="D116" s="907" t="s">
        <v>11</v>
      </c>
      <c r="E116" s="920">
        <f>'Planteamiento Técnico'!E228</f>
        <v>1</v>
      </c>
      <c r="F116" s="920">
        <f>'Planteamiento Técnico'!F228+'Planteamiento Técnico'!F322</f>
        <v>0</v>
      </c>
      <c r="G116" s="920">
        <f t="shared" si="9"/>
        <v>0</v>
      </c>
      <c r="H116" s="921"/>
      <c r="I116" s="11">
        <f t="shared" si="10"/>
        <v>0</v>
      </c>
    </row>
    <row r="117" spans="2:9">
      <c r="B117" s="919" t="str">
        <f>'Planteamiento Técnico'!B229</f>
        <v>Lentes</v>
      </c>
      <c r="C117" s="907" t="s">
        <v>407</v>
      </c>
      <c r="D117" s="907" t="s">
        <v>11</v>
      </c>
      <c r="E117" s="920">
        <f>'Planteamiento Técnico'!E229</f>
        <v>2</v>
      </c>
      <c r="F117" s="920">
        <f>'Planteamiento Técnico'!F229+'Planteamiento Técnico'!F323</f>
        <v>0</v>
      </c>
      <c r="G117" s="920">
        <f t="shared" si="9"/>
        <v>0</v>
      </c>
      <c r="H117" s="921"/>
      <c r="I117" s="11">
        <f t="shared" si="10"/>
        <v>0</v>
      </c>
    </row>
    <row r="118" spans="2:9">
      <c r="B118" s="919" t="str">
        <f>'Planteamiento Técnico'!B230</f>
        <v>Guante nylon</v>
      </c>
      <c r="C118" s="907" t="s">
        <v>407</v>
      </c>
      <c r="D118" s="907" t="s">
        <v>11</v>
      </c>
      <c r="E118" s="920">
        <f>'Planteamiento Técnico'!E230</f>
        <v>6</v>
      </c>
      <c r="F118" s="920">
        <f>'Planteamiento Técnico'!F230+'Planteamiento Técnico'!F324</f>
        <v>0</v>
      </c>
      <c r="G118" s="920">
        <f t="shared" si="9"/>
        <v>0</v>
      </c>
      <c r="H118" s="921"/>
      <c r="I118" s="11">
        <f t="shared" si="10"/>
        <v>0</v>
      </c>
    </row>
    <row r="119" spans="2:9">
      <c r="B119" s="919" t="str">
        <f>'Planteamiento Técnico'!B231</f>
        <v>Guantes de cuero reforzados</v>
      </c>
      <c r="C119" s="907" t="s">
        <v>407</v>
      </c>
      <c r="D119" s="907" t="s">
        <v>11</v>
      </c>
      <c r="E119" s="920">
        <f>'Planteamiento Técnico'!E231</f>
        <v>3</v>
      </c>
      <c r="F119" s="920">
        <f>'Planteamiento Técnico'!F231+'Planteamiento Técnico'!F325</f>
        <v>0</v>
      </c>
      <c r="G119" s="920">
        <f t="shared" si="9"/>
        <v>0</v>
      </c>
      <c r="H119" s="921"/>
      <c r="I119" s="11">
        <f t="shared" si="10"/>
        <v>0</v>
      </c>
    </row>
    <row r="120" spans="2:9">
      <c r="B120" s="919" t="str">
        <f>'Planteamiento Técnico'!B232</f>
        <v>Mascarilla de Drill</v>
      </c>
      <c r="C120" s="907" t="s">
        <v>407</v>
      </c>
      <c r="D120" s="907" t="s">
        <v>11</v>
      </c>
      <c r="E120" s="920">
        <f>'Planteamiento Técnico'!E232</f>
        <v>6</v>
      </c>
      <c r="F120" s="920">
        <f>'Planteamiento Técnico'!F232+'Planteamiento Técnico'!F326</f>
        <v>0</v>
      </c>
      <c r="G120" s="920">
        <f t="shared" si="9"/>
        <v>0</v>
      </c>
      <c r="H120" s="921"/>
      <c r="I120" s="11">
        <f t="shared" si="10"/>
        <v>0</v>
      </c>
    </row>
    <row r="121" spans="2:9">
      <c r="B121" s="919" t="str">
        <f>'Planteamiento Técnico'!B233</f>
        <v>Botín de cuero con punta de acero</v>
      </c>
      <c r="C121" s="907" t="s">
        <v>407</v>
      </c>
      <c r="D121" s="907" t="s">
        <v>262</v>
      </c>
      <c r="E121" s="920">
        <f>'Planteamiento Técnico'!E233</f>
        <v>2</v>
      </c>
      <c r="F121" s="920">
        <f>'Planteamiento Técnico'!F233+'Planteamiento Técnico'!F327</f>
        <v>0</v>
      </c>
      <c r="G121" s="920">
        <f t="shared" si="9"/>
        <v>0</v>
      </c>
      <c r="H121" s="921"/>
      <c r="I121" s="11">
        <f t="shared" si="10"/>
        <v>0</v>
      </c>
    </row>
    <row r="122" spans="2:9">
      <c r="B122" s="919" t="str">
        <f>'Planteamiento Técnico'!B234</f>
        <v>Botas de jebe con forro</v>
      </c>
      <c r="C122" s="907" t="s">
        <v>407</v>
      </c>
      <c r="D122" s="907" t="s">
        <v>262</v>
      </c>
      <c r="E122" s="920">
        <f>'Planteamiento Técnico'!E234</f>
        <v>3</v>
      </c>
      <c r="F122" s="920">
        <f>'Planteamiento Técnico'!F234+'Planteamiento Técnico'!F328</f>
        <v>0</v>
      </c>
      <c r="G122" s="920">
        <f t="shared" si="9"/>
        <v>0</v>
      </c>
      <c r="H122" s="921"/>
      <c r="I122" s="11">
        <f t="shared" si="10"/>
        <v>0</v>
      </c>
    </row>
    <row r="123" spans="2:9">
      <c r="B123" s="919" t="str">
        <f>'Planteamiento Técnico'!B235</f>
        <v>Mochilas</v>
      </c>
      <c r="C123" s="907" t="s">
        <v>407</v>
      </c>
      <c r="D123" s="907" t="s">
        <v>11</v>
      </c>
      <c r="E123" s="920">
        <f>'Planteamiento Técnico'!E235</f>
        <v>1</v>
      </c>
      <c r="F123" s="920">
        <f>'Planteamiento Técnico'!F235+'Planteamiento Técnico'!F329</f>
        <v>0</v>
      </c>
      <c r="G123" s="920">
        <f t="shared" si="9"/>
        <v>0</v>
      </c>
      <c r="H123" s="921"/>
      <c r="I123" s="11">
        <f t="shared" si="10"/>
        <v>0</v>
      </c>
    </row>
    <row r="124" spans="2:9">
      <c r="B124" s="917" t="s">
        <v>208</v>
      </c>
      <c r="C124" s="907"/>
      <c r="D124" s="907"/>
      <c r="E124" s="920"/>
      <c r="F124" s="920"/>
      <c r="G124" s="920"/>
      <c r="H124" s="918"/>
      <c r="I124" s="920"/>
    </row>
    <row r="125" spans="2:9">
      <c r="B125" s="919" t="str">
        <f>'Planteamiento Técnico'!B333</f>
        <v>Camisaco con cinta reflectiva</v>
      </c>
      <c r="C125" s="907" t="s">
        <v>407</v>
      </c>
      <c r="D125" s="907" t="s">
        <v>11</v>
      </c>
      <c r="E125" s="920">
        <f>'Planteamiento Técnico'!E239</f>
        <v>6</v>
      </c>
      <c r="F125" s="920">
        <f>'Planteamiento Técnico'!F239+'Planteamiento Técnico'!F333</f>
        <v>0</v>
      </c>
      <c r="G125" s="920">
        <f>E125*F125</f>
        <v>0</v>
      </c>
      <c r="H125" s="921"/>
      <c r="I125" s="11">
        <f>G125*H125</f>
        <v>0</v>
      </c>
    </row>
    <row r="126" spans="2:9">
      <c r="B126" s="919" t="str">
        <f>'Planteamiento Técnico'!B334</f>
        <v>Pantalón de drill con cinta reflectiva</v>
      </c>
      <c r="C126" s="907" t="s">
        <v>407</v>
      </c>
      <c r="D126" s="907" t="s">
        <v>11</v>
      </c>
      <c r="E126" s="920">
        <f>'Planteamiento Técnico'!E240</f>
        <v>2</v>
      </c>
      <c r="F126" s="920">
        <f>'Planteamiento Técnico'!F240+'Planteamiento Técnico'!F334</f>
        <v>0</v>
      </c>
      <c r="G126" s="920">
        <f>E126*F126</f>
        <v>0</v>
      </c>
      <c r="H126" s="921"/>
      <c r="I126" s="11">
        <f>G126*H126</f>
        <v>0</v>
      </c>
    </row>
    <row r="127" spans="2:9">
      <c r="B127" s="919" t="str">
        <f>'Planteamiento Técnico'!B335</f>
        <v xml:space="preserve">Polos </v>
      </c>
      <c r="C127" s="907" t="s">
        <v>407</v>
      </c>
      <c r="D127" s="907" t="s">
        <v>11</v>
      </c>
      <c r="E127" s="920">
        <f>'Planteamiento Técnico'!E241</f>
        <v>2</v>
      </c>
      <c r="F127" s="920">
        <f>'Planteamiento Técnico'!F241+'Planteamiento Técnico'!F335</f>
        <v>0</v>
      </c>
      <c r="G127" s="920">
        <f>E127*F127</f>
        <v>0</v>
      </c>
      <c r="H127" s="921"/>
      <c r="I127" s="11">
        <f>G127*H127</f>
        <v>0</v>
      </c>
    </row>
    <row r="128" spans="2:9">
      <c r="B128" s="919" t="str">
        <f>'Planteamiento Técnico'!B336</f>
        <v xml:space="preserve">Gorro taslan </v>
      </c>
      <c r="C128" s="907" t="s">
        <v>407</v>
      </c>
      <c r="D128" s="907" t="s">
        <v>11</v>
      </c>
      <c r="E128" s="920">
        <f>'Planteamiento Técnico'!E242</f>
        <v>3</v>
      </c>
      <c r="F128" s="920">
        <f>'Planteamiento Técnico'!F242+'Planteamiento Técnico'!F336</f>
        <v>0</v>
      </c>
      <c r="G128" s="920">
        <f>E128*F128</f>
        <v>0</v>
      </c>
      <c r="H128" s="921"/>
      <c r="I128" s="11">
        <f>G128*H128</f>
        <v>0</v>
      </c>
    </row>
    <row r="129" spans="2:9">
      <c r="B129" s="919" t="str">
        <f>'Planteamiento Técnico'!B337</f>
        <v xml:space="preserve">Botín de cuero </v>
      </c>
      <c r="C129" s="907" t="s">
        <v>407</v>
      </c>
      <c r="D129" s="907" t="s">
        <v>11</v>
      </c>
      <c r="E129" s="920">
        <f>'Planteamiento Técnico'!E243</f>
        <v>2</v>
      </c>
      <c r="F129" s="920">
        <f>'Planteamiento Técnico'!F243+'Planteamiento Técnico'!F337</f>
        <v>0</v>
      </c>
      <c r="G129" s="920">
        <f>E129*F129</f>
        <v>0</v>
      </c>
      <c r="H129" s="921"/>
      <c r="I129" s="11">
        <f>G129*H129</f>
        <v>0</v>
      </c>
    </row>
    <row r="130" spans="2:9">
      <c r="B130" s="1899" t="s">
        <v>3247</v>
      </c>
      <c r="C130" s="1899"/>
      <c r="D130" s="1899"/>
      <c r="E130" s="1899"/>
      <c r="F130" s="1899"/>
      <c r="G130" s="1899"/>
      <c r="H130" s="1899"/>
      <c r="I130" s="93">
        <f>SUM(I110:I129)</f>
        <v>0</v>
      </c>
    </row>
    <row r="131" spans="2:9">
      <c r="B131" s="1899" t="s">
        <v>3247</v>
      </c>
      <c r="C131" s="1899"/>
      <c r="D131" s="1899"/>
      <c r="E131" s="1899"/>
      <c r="F131" s="1899"/>
      <c r="G131" s="1899"/>
      <c r="H131" s="1899"/>
      <c r="I131" s="93">
        <f>I130+I108+I98+I83</f>
        <v>0</v>
      </c>
    </row>
    <row r="134" spans="2:9">
      <c r="B134" s="1900" t="str">
        <f>FICHA!B261</f>
        <v>Adecuada valorización de los residuos sólidos</v>
      </c>
      <c r="C134" s="1900"/>
      <c r="D134" s="1900"/>
      <c r="E134" s="1900"/>
      <c r="F134" s="1900"/>
      <c r="G134" s="1900"/>
      <c r="H134" s="1900"/>
      <c r="I134" s="1900"/>
    </row>
    <row r="135" spans="2:9" ht="28.5" customHeight="1">
      <c r="B135" s="578" t="s">
        <v>608</v>
      </c>
      <c r="C135" s="578" t="s">
        <v>796</v>
      </c>
      <c r="D135" s="578" t="s">
        <v>20</v>
      </c>
      <c r="E135" s="578" t="s">
        <v>2259</v>
      </c>
      <c r="F135" s="578" t="s">
        <v>2258</v>
      </c>
      <c r="G135" s="578" t="s">
        <v>2148</v>
      </c>
      <c r="H135" s="900" t="s">
        <v>3242</v>
      </c>
      <c r="I135" s="900" t="s">
        <v>3259</v>
      </c>
    </row>
    <row r="136" spans="2:9" ht="12.75" customHeight="1">
      <c r="B136" s="578" t="s">
        <v>2122</v>
      </c>
      <c r="C136" s="578"/>
      <c r="D136" s="578"/>
      <c r="E136" s="578"/>
      <c r="F136" s="578"/>
      <c r="G136" s="578"/>
      <c r="H136" s="900"/>
      <c r="I136" s="578"/>
    </row>
    <row r="137" spans="2:9">
      <c r="B137" s="903" t="s">
        <v>797</v>
      </c>
      <c r="C137" s="907"/>
      <c r="D137" s="911"/>
      <c r="E137" s="911"/>
      <c r="F137" s="911"/>
      <c r="G137" s="911"/>
      <c r="H137" s="912"/>
      <c r="I137" s="911"/>
    </row>
    <row r="138" spans="2:9">
      <c r="B138" s="927" t="str">
        <f>'Planteamiento Técnico'!B366</f>
        <v>Balanza electrónica no mayor a 1 tonelada</v>
      </c>
      <c r="C138" s="907" t="s">
        <v>407</v>
      </c>
      <c r="D138" s="907" t="s">
        <v>11</v>
      </c>
      <c r="E138" s="928">
        <f>'Planteamiento Técnico'!E366</f>
        <v>0</v>
      </c>
      <c r="F138" s="928">
        <v>1</v>
      </c>
      <c r="G138" s="928">
        <f>E138*F138</f>
        <v>0</v>
      </c>
      <c r="H138" s="921"/>
      <c r="I138" s="11">
        <f>G138*H138</f>
        <v>0</v>
      </c>
    </row>
    <row r="139" spans="2:9">
      <c r="B139" s="927" t="str">
        <f>'Planteamiento Técnico'!B367</f>
        <v>Extintor</v>
      </c>
      <c r="C139" s="907" t="s">
        <v>407</v>
      </c>
      <c r="D139" s="907" t="s">
        <v>11</v>
      </c>
      <c r="E139" s="928">
        <f>'Planteamiento Técnico'!E367</f>
        <v>0</v>
      </c>
      <c r="F139" s="928">
        <v>1</v>
      </c>
      <c r="G139" s="928">
        <f>E139*F139</f>
        <v>0</v>
      </c>
      <c r="H139" s="921"/>
      <c r="I139" s="11">
        <f>G139*H139</f>
        <v>0</v>
      </c>
    </row>
    <row r="140" spans="2:9">
      <c r="B140" s="927" t="str">
        <f>'Planteamiento Técnico'!B368</f>
        <v>Medidor de PH</v>
      </c>
      <c r="C140" s="907" t="s">
        <v>407</v>
      </c>
      <c r="D140" s="907" t="s">
        <v>11</v>
      </c>
      <c r="E140" s="928">
        <f>'Planteamiento Técnico'!E368</f>
        <v>0</v>
      </c>
      <c r="F140" s="928">
        <v>1</v>
      </c>
      <c r="G140" s="928">
        <f>E140*F140</f>
        <v>0</v>
      </c>
      <c r="H140" s="921"/>
      <c r="I140" s="11">
        <f>G140*H140</f>
        <v>0</v>
      </c>
    </row>
    <row r="141" spans="2:9">
      <c r="B141" s="927" t="str">
        <f>'Planteamiento Técnico'!B369</f>
        <v>Termómetro industrial</v>
      </c>
      <c r="C141" s="907" t="s">
        <v>407</v>
      </c>
      <c r="D141" s="907" t="s">
        <v>11</v>
      </c>
      <c r="E141" s="928">
        <f>'Planteamiento Técnico'!E369</f>
        <v>0</v>
      </c>
      <c r="F141" s="928">
        <v>1</v>
      </c>
      <c r="G141" s="928">
        <f>E141*F141</f>
        <v>0</v>
      </c>
      <c r="H141" s="921"/>
      <c r="I141" s="11">
        <f>G141*H141</f>
        <v>0</v>
      </c>
    </row>
    <row r="142" spans="2:9">
      <c r="B142" s="1899" t="s">
        <v>10</v>
      </c>
      <c r="C142" s="1899"/>
      <c r="D142" s="1899"/>
      <c r="E142" s="929">
        <f>SUM(E138:E141)</f>
        <v>0</v>
      </c>
      <c r="F142" s="928"/>
      <c r="G142" s="928"/>
      <c r="H142" s="918"/>
      <c r="I142" s="930">
        <f>SUM(I138:I141)</f>
        <v>0</v>
      </c>
    </row>
    <row r="143" spans="2:9">
      <c r="B143" s="931" t="s">
        <v>2124</v>
      </c>
      <c r="C143" s="907"/>
      <c r="D143" s="932"/>
      <c r="E143" s="933"/>
      <c r="F143" s="933"/>
      <c r="G143" s="933"/>
      <c r="H143" s="918"/>
      <c r="I143" s="933"/>
    </row>
    <row r="144" spans="2:9">
      <c r="B144" s="934" t="s">
        <v>2037</v>
      </c>
      <c r="C144" s="907" t="s">
        <v>538</v>
      </c>
      <c r="D144" s="907" t="s">
        <v>11</v>
      </c>
      <c r="E144" s="935">
        <f>'Planteamiento Técnico'!E377</f>
        <v>0</v>
      </c>
      <c r="F144" s="928">
        <v>1</v>
      </c>
      <c r="G144" s="928">
        <f>E144*F144</f>
        <v>0</v>
      </c>
      <c r="H144" s="921"/>
      <c r="I144" s="11">
        <f>G144*H144</f>
        <v>0</v>
      </c>
    </row>
    <row r="145" spans="2:9">
      <c r="B145" s="931" t="s">
        <v>2125</v>
      </c>
      <c r="C145" s="907"/>
      <c r="D145" s="932"/>
      <c r="E145" s="933"/>
      <c r="F145" s="933"/>
      <c r="G145" s="933"/>
      <c r="H145" s="918"/>
      <c r="I145" s="933"/>
    </row>
    <row r="146" spans="2:9">
      <c r="B146" s="934" t="s">
        <v>2037</v>
      </c>
      <c r="C146" s="907" t="s">
        <v>538</v>
      </c>
      <c r="D146" s="907" t="s">
        <v>11</v>
      </c>
      <c r="E146" s="935">
        <f>'Planteamiento Técnico'!E378</f>
        <v>0</v>
      </c>
      <c r="F146" s="928">
        <v>1</v>
      </c>
      <c r="G146" s="928">
        <f>E146*F146</f>
        <v>0</v>
      </c>
      <c r="H146" s="921"/>
      <c r="I146" s="11">
        <f>G146*H146</f>
        <v>0</v>
      </c>
    </row>
    <row r="147" spans="2:9">
      <c r="B147" s="934" t="s">
        <v>2045</v>
      </c>
      <c r="C147" s="907" t="s">
        <v>538</v>
      </c>
      <c r="D147" s="907" t="s">
        <v>11</v>
      </c>
      <c r="E147" s="935">
        <f>'Planteamiento Técnico'!E379</f>
        <v>0</v>
      </c>
      <c r="F147" s="928">
        <v>1</v>
      </c>
      <c r="G147" s="928">
        <f>E147*F147</f>
        <v>0</v>
      </c>
      <c r="H147" s="921"/>
      <c r="I147" s="11">
        <f>G147*H147</f>
        <v>0</v>
      </c>
    </row>
    <row r="148" spans="2:9">
      <c r="B148" s="1899" t="s">
        <v>10</v>
      </c>
      <c r="C148" s="1899"/>
      <c r="D148" s="1899"/>
      <c r="E148" s="929">
        <f>SUM(E144:E147)</f>
        <v>0</v>
      </c>
      <c r="F148" s="928"/>
      <c r="G148" s="928"/>
      <c r="H148" s="918"/>
      <c r="I148" s="930">
        <f>SUM(I144:I147)</f>
        <v>0</v>
      </c>
    </row>
    <row r="149" spans="2:9">
      <c r="B149" s="931" t="s">
        <v>798</v>
      </c>
      <c r="C149" s="907"/>
      <c r="D149" s="932"/>
      <c r="E149" s="933"/>
      <c r="F149" s="933"/>
      <c r="G149" s="933"/>
      <c r="H149" s="918"/>
      <c r="I149" s="933"/>
    </row>
    <row r="150" spans="2:9">
      <c r="B150" s="934" t="str">
        <f>'Planteamiento Técnico'!B383</f>
        <v>Trinche</v>
      </c>
      <c r="C150" s="907" t="s">
        <v>407</v>
      </c>
      <c r="D150" s="907" t="s">
        <v>11</v>
      </c>
      <c r="E150" s="935">
        <f>'Planteamiento Técnico'!E383</f>
        <v>3</v>
      </c>
      <c r="F150" s="935">
        <f>'Planteamiento Técnico'!F383</f>
        <v>0</v>
      </c>
      <c r="G150" s="928">
        <f>E150*F150</f>
        <v>0</v>
      </c>
      <c r="H150" s="921"/>
      <c r="I150" s="11">
        <f>G150*H150</f>
        <v>0</v>
      </c>
    </row>
    <row r="151" spans="2:9">
      <c r="B151" s="934" t="str">
        <f>'Planteamiento Técnico'!B384</f>
        <v>Carretillas</v>
      </c>
      <c r="C151" s="907" t="s">
        <v>407</v>
      </c>
      <c r="D151" s="907" t="s">
        <v>11</v>
      </c>
      <c r="E151" s="935">
        <f>'Planteamiento Técnico'!E384</f>
        <v>1</v>
      </c>
      <c r="F151" s="935">
        <f>'Planteamiento Técnico'!F384</f>
        <v>0</v>
      </c>
      <c r="G151" s="928">
        <f>E151*F151</f>
        <v>0</v>
      </c>
      <c r="H151" s="921"/>
      <c r="I151" s="11">
        <f>G151*H151</f>
        <v>0</v>
      </c>
    </row>
    <row r="152" spans="2:9">
      <c r="B152" s="934" t="str">
        <f>'Planteamiento Técnico'!B385</f>
        <v>Lampas</v>
      </c>
      <c r="C152" s="907" t="s">
        <v>407</v>
      </c>
      <c r="D152" s="907" t="s">
        <v>11</v>
      </c>
      <c r="E152" s="935">
        <f>'Planteamiento Técnico'!E385</f>
        <v>1</v>
      </c>
      <c r="F152" s="935">
        <f>'Planteamiento Técnico'!F385</f>
        <v>0</v>
      </c>
      <c r="G152" s="928">
        <f>E152*F152</f>
        <v>0</v>
      </c>
      <c r="H152" s="921"/>
      <c r="I152" s="11">
        <f>G152*H152</f>
        <v>0</v>
      </c>
    </row>
    <row r="153" spans="2:9">
      <c r="B153" s="934" t="str">
        <f>'Planteamiento Técnico'!B386</f>
        <v>Zarandas</v>
      </c>
      <c r="C153" s="907" t="s">
        <v>407</v>
      </c>
      <c r="D153" s="907" t="s">
        <v>11</v>
      </c>
      <c r="E153" s="935">
        <f>'Planteamiento Técnico'!E386</f>
        <v>3</v>
      </c>
      <c r="F153" s="935">
        <f>'Planteamiento Técnico'!F386</f>
        <v>0</v>
      </c>
      <c r="G153" s="928">
        <f>E153*F153</f>
        <v>0</v>
      </c>
      <c r="H153" s="921"/>
      <c r="I153" s="11">
        <f>G153*H153</f>
        <v>0</v>
      </c>
    </row>
    <row r="154" spans="2:9">
      <c r="B154" s="934" t="str">
        <f>'Planteamiento Técnico'!B387</f>
        <v>Costalillos de yute de 75 lts</v>
      </c>
      <c r="C154" s="907" t="s">
        <v>407</v>
      </c>
      <c r="D154" s="907" t="s">
        <v>11</v>
      </c>
      <c r="E154" s="935">
        <f>'Planteamiento Técnico'!E387</f>
        <v>0</v>
      </c>
      <c r="F154" s="935">
        <f>'Planteamiento Técnico'!F387</f>
        <v>0</v>
      </c>
      <c r="G154" s="928">
        <f>E154*F154</f>
        <v>0</v>
      </c>
      <c r="H154" s="921"/>
      <c r="I154" s="11">
        <f>G154*H154</f>
        <v>0</v>
      </c>
    </row>
    <row r="155" spans="2:9">
      <c r="B155" s="1899" t="s">
        <v>10</v>
      </c>
      <c r="C155" s="1899"/>
      <c r="D155" s="1899"/>
      <c r="E155" s="929">
        <f>SUM(E150:E154)</f>
        <v>8</v>
      </c>
      <c r="F155" s="928"/>
      <c r="G155" s="928"/>
      <c r="H155" s="918"/>
      <c r="I155" s="930">
        <f>SUM(I150:I154)</f>
        <v>0</v>
      </c>
    </row>
    <row r="156" spans="2:9">
      <c r="B156" s="903" t="s">
        <v>799</v>
      </c>
      <c r="C156" s="907"/>
      <c r="D156" s="932"/>
      <c r="E156" s="933"/>
      <c r="F156" s="933"/>
      <c r="G156" s="933"/>
      <c r="H156" s="918"/>
      <c r="I156" s="933"/>
    </row>
    <row r="157" spans="2:9">
      <c r="B157" s="913" t="s">
        <v>216</v>
      </c>
      <c r="C157" s="907" t="s">
        <v>407</v>
      </c>
      <c r="D157" s="907" t="s">
        <v>11</v>
      </c>
      <c r="E157" s="935">
        <f>'Planteamiento Técnico'!E391</f>
        <v>2</v>
      </c>
      <c r="F157" s="935">
        <f>'Planteamiento Técnico'!F391</f>
        <v>0</v>
      </c>
      <c r="G157" s="928">
        <f t="shared" ref="G157:G169" si="11">E157*F157</f>
        <v>0</v>
      </c>
      <c r="H157" s="921"/>
      <c r="I157" s="11">
        <f t="shared" ref="I157:I169" si="12">G157*H157</f>
        <v>0</v>
      </c>
    </row>
    <row r="158" spans="2:9">
      <c r="B158" s="913" t="s">
        <v>228</v>
      </c>
      <c r="C158" s="907" t="s">
        <v>407</v>
      </c>
      <c r="D158" s="907" t="s">
        <v>11</v>
      </c>
      <c r="E158" s="935">
        <f>'Planteamiento Técnico'!E392</f>
        <v>2</v>
      </c>
      <c r="F158" s="935">
        <f>'Planteamiento Técnico'!F392</f>
        <v>0</v>
      </c>
      <c r="G158" s="928">
        <f t="shared" si="11"/>
        <v>0</v>
      </c>
      <c r="H158" s="921"/>
      <c r="I158" s="11">
        <f t="shared" si="12"/>
        <v>0</v>
      </c>
    </row>
    <row r="159" spans="2:9">
      <c r="B159" s="913" t="s">
        <v>218</v>
      </c>
      <c r="C159" s="907" t="s">
        <v>407</v>
      </c>
      <c r="D159" s="907" t="s">
        <v>11</v>
      </c>
      <c r="E159" s="935">
        <f>'Planteamiento Técnico'!E393</f>
        <v>3</v>
      </c>
      <c r="F159" s="935">
        <f>'Planteamiento Técnico'!F393</f>
        <v>0</v>
      </c>
      <c r="G159" s="928">
        <f t="shared" si="11"/>
        <v>0</v>
      </c>
      <c r="H159" s="921"/>
      <c r="I159" s="11">
        <f t="shared" si="12"/>
        <v>0</v>
      </c>
    </row>
    <row r="160" spans="2:9">
      <c r="B160" s="913" t="s">
        <v>244</v>
      </c>
      <c r="C160" s="907" t="s">
        <v>407</v>
      </c>
      <c r="D160" s="907" t="s">
        <v>11</v>
      </c>
      <c r="E160" s="935">
        <f>'Planteamiento Técnico'!E394</f>
        <v>2</v>
      </c>
      <c r="F160" s="935">
        <f>'Planteamiento Técnico'!F394</f>
        <v>0</v>
      </c>
      <c r="G160" s="928">
        <f t="shared" si="11"/>
        <v>0</v>
      </c>
      <c r="H160" s="921"/>
      <c r="I160" s="11">
        <f t="shared" si="12"/>
        <v>0</v>
      </c>
    </row>
    <row r="161" spans="2:9">
      <c r="B161" s="913" t="s">
        <v>2118</v>
      </c>
      <c r="C161" s="907" t="s">
        <v>407</v>
      </c>
      <c r="D161" s="907" t="s">
        <v>11</v>
      </c>
      <c r="E161" s="935">
        <f>'Planteamiento Técnico'!E395</f>
        <v>1</v>
      </c>
      <c r="F161" s="935">
        <f>'Planteamiento Técnico'!F395</f>
        <v>0</v>
      </c>
      <c r="G161" s="928">
        <f t="shared" si="11"/>
        <v>0</v>
      </c>
      <c r="H161" s="921"/>
      <c r="I161" s="11">
        <f t="shared" si="12"/>
        <v>0</v>
      </c>
    </row>
    <row r="162" spans="2:9">
      <c r="B162" s="913" t="s">
        <v>268</v>
      </c>
      <c r="C162" s="907" t="s">
        <v>407</v>
      </c>
      <c r="D162" s="907" t="s">
        <v>11</v>
      </c>
      <c r="E162" s="935">
        <f>'Planteamiento Técnico'!E396</f>
        <v>1</v>
      </c>
      <c r="F162" s="935">
        <f>'Planteamiento Técnico'!F396</f>
        <v>0</v>
      </c>
      <c r="G162" s="928">
        <f t="shared" si="11"/>
        <v>0</v>
      </c>
      <c r="H162" s="921"/>
      <c r="I162" s="11">
        <f t="shared" si="12"/>
        <v>0</v>
      </c>
    </row>
    <row r="163" spans="2:9">
      <c r="B163" s="913" t="s">
        <v>245</v>
      </c>
      <c r="C163" s="907" t="s">
        <v>407</v>
      </c>
      <c r="D163" s="907" t="s">
        <v>11</v>
      </c>
      <c r="E163" s="935">
        <f>'Planteamiento Técnico'!E397</f>
        <v>2</v>
      </c>
      <c r="F163" s="935">
        <f>'Planteamiento Técnico'!F397</f>
        <v>0</v>
      </c>
      <c r="G163" s="928">
        <f t="shared" si="11"/>
        <v>0</v>
      </c>
      <c r="H163" s="921"/>
      <c r="I163" s="11">
        <f t="shared" si="12"/>
        <v>0</v>
      </c>
    </row>
    <row r="164" spans="2:9">
      <c r="B164" s="913" t="s">
        <v>2091</v>
      </c>
      <c r="C164" s="907" t="s">
        <v>407</v>
      </c>
      <c r="D164" s="907" t="s">
        <v>11</v>
      </c>
      <c r="E164" s="935">
        <f>'Planteamiento Técnico'!E398</f>
        <v>6</v>
      </c>
      <c r="F164" s="935">
        <f>'Planteamiento Técnico'!F398</f>
        <v>0</v>
      </c>
      <c r="G164" s="928">
        <f t="shared" si="11"/>
        <v>0</v>
      </c>
      <c r="H164" s="921"/>
      <c r="I164" s="11">
        <f t="shared" si="12"/>
        <v>0</v>
      </c>
    </row>
    <row r="165" spans="2:9">
      <c r="B165" s="913" t="s">
        <v>246</v>
      </c>
      <c r="C165" s="907" t="s">
        <v>407</v>
      </c>
      <c r="D165" s="907" t="s">
        <v>11</v>
      </c>
      <c r="E165" s="935">
        <f>'Planteamiento Técnico'!E399</f>
        <v>3</v>
      </c>
      <c r="F165" s="935">
        <f>'Planteamiento Técnico'!F399</f>
        <v>0</v>
      </c>
      <c r="G165" s="928">
        <f t="shared" si="11"/>
        <v>0</v>
      </c>
      <c r="H165" s="921"/>
      <c r="I165" s="11">
        <f t="shared" si="12"/>
        <v>0</v>
      </c>
    </row>
    <row r="166" spans="2:9">
      <c r="B166" s="913" t="s">
        <v>2120</v>
      </c>
      <c r="C166" s="907" t="s">
        <v>407</v>
      </c>
      <c r="D166" s="907" t="s">
        <v>11</v>
      </c>
      <c r="E166" s="935">
        <f>'Planteamiento Técnico'!E400</f>
        <v>6</v>
      </c>
      <c r="F166" s="935">
        <f>'Planteamiento Técnico'!F400</f>
        <v>0</v>
      </c>
      <c r="G166" s="928">
        <f t="shared" si="11"/>
        <v>0</v>
      </c>
      <c r="H166" s="921"/>
      <c r="I166" s="11">
        <f t="shared" si="12"/>
        <v>0</v>
      </c>
    </row>
    <row r="167" spans="2:9">
      <c r="B167" s="913" t="s">
        <v>689</v>
      </c>
      <c r="C167" s="907" t="s">
        <v>407</v>
      </c>
      <c r="D167" s="907" t="s">
        <v>262</v>
      </c>
      <c r="E167" s="935">
        <f>'Planteamiento Técnico'!E401</f>
        <v>6</v>
      </c>
      <c r="F167" s="935">
        <f>'Planteamiento Técnico'!F401</f>
        <v>0</v>
      </c>
      <c r="G167" s="928">
        <f t="shared" si="11"/>
        <v>0</v>
      </c>
      <c r="H167" s="921"/>
      <c r="I167" s="11">
        <f t="shared" si="12"/>
        <v>0</v>
      </c>
    </row>
    <row r="168" spans="2:9">
      <c r="B168" s="913" t="s">
        <v>2049</v>
      </c>
      <c r="C168" s="907" t="s">
        <v>407</v>
      </c>
      <c r="D168" s="907" t="s">
        <v>11</v>
      </c>
      <c r="E168" s="935">
        <f>'Planteamiento Técnico'!E402</f>
        <v>2</v>
      </c>
      <c r="F168" s="935">
        <f>'Planteamiento Técnico'!F402</f>
        <v>0</v>
      </c>
      <c r="G168" s="928">
        <f t="shared" si="11"/>
        <v>0</v>
      </c>
      <c r="H168" s="921"/>
      <c r="I168" s="11">
        <f t="shared" si="12"/>
        <v>0</v>
      </c>
    </row>
    <row r="169" spans="2:9" ht="12" customHeight="1">
      <c r="B169" s="913" t="s">
        <v>2050</v>
      </c>
      <c r="C169" s="907" t="s">
        <v>407</v>
      </c>
      <c r="D169" s="907" t="s">
        <v>11</v>
      </c>
      <c r="E169" s="935">
        <f>'Planteamiento Técnico'!E403</f>
        <v>2</v>
      </c>
      <c r="F169" s="935">
        <f>'Planteamiento Técnico'!F403</f>
        <v>0</v>
      </c>
      <c r="G169" s="928">
        <f t="shared" si="11"/>
        <v>0</v>
      </c>
      <c r="H169" s="921"/>
      <c r="I169" s="11">
        <f t="shared" si="12"/>
        <v>0</v>
      </c>
    </row>
    <row r="170" spans="2:9">
      <c r="B170" s="1899" t="s">
        <v>10</v>
      </c>
      <c r="C170" s="1899"/>
      <c r="D170" s="1899"/>
      <c r="E170" s="929">
        <f>SUM(E157:E169)</f>
        <v>38</v>
      </c>
      <c r="F170" s="928"/>
      <c r="G170" s="928"/>
      <c r="H170" s="918"/>
      <c r="I170" s="930">
        <f>SUM(I157:I169)</f>
        <v>0</v>
      </c>
    </row>
    <row r="171" spans="2:9">
      <c r="B171" s="1899" t="s">
        <v>125</v>
      </c>
      <c r="C171" s="1899"/>
      <c r="D171" s="1899"/>
      <c r="E171" s="1899"/>
      <c r="F171" s="1899"/>
      <c r="G171" s="1899"/>
      <c r="H171" s="1899"/>
      <c r="I171" s="93">
        <f>I170+I155+I148+I142</f>
        <v>0</v>
      </c>
    </row>
    <row r="172" spans="2:9" ht="12.75" customHeight="1">
      <c r="B172" s="578" t="s">
        <v>2123</v>
      </c>
      <c r="C172" s="578"/>
      <c r="D172" s="578"/>
      <c r="E172" s="578"/>
      <c r="F172" s="578"/>
      <c r="G172" s="578"/>
      <c r="H172" s="900"/>
      <c r="I172" s="578"/>
    </row>
    <row r="173" spans="2:9">
      <c r="B173" s="931" t="s">
        <v>797</v>
      </c>
      <c r="C173" s="907"/>
      <c r="D173" s="907"/>
      <c r="E173" s="928"/>
      <c r="F173" s="928"/>
      <c r="G173" s="928"/>
      <c r="H173" s="918"/>
      <c r="I173" s="928"/>
    </row>
    <row r="174" spans="2:9">
      <c r="B174" s="911" t="s">
        <v>2041</v>
      </c>
      <c r="C174" s="907"/>
      <c r="D174" s="907"/>
      <c r="E174" s="928"/>
      <c r="F174" s="928"/>
      <c r="G174" s="928"/>
      <c r="H174" s="918"/>
      <c r="I174" s="928"/>
    </row>
    <row r="175" spans="2:9">
      <c r="B175" s="913" t="s">
        <v>2090</v>
      </c>
      <c r="C175" s="907" t="s">
        <v>407</v>
      </c>
      <c r="D175" s="907" t="s">
        <v>11</v>
      </c>
      <c r="E175" s="936">
        <f>'Planteamiento Técnico'!J366</f>
        <v>0</v>
      </c>
      <c r="F175" s="928">
        <v>1</v>
      </c>
      <c r="G175" s="928">
        <f>E175*F175</f>
        <v>0</v>
      </c>
      <c r="H175" s="921"/>
      <c r="I175" s="11">
        <f>G175*H175</f>
        <v>0</v>
      </c>
    </row>
    <row r="176" spans="2:9">
      <c r="B176" s="913" t="s">
        <v>2048</v>
      </c>
      <c r="C176" s="907" t="s">
        <v>407</v>
      </c>
      <c r="D176" s="907" t="s">
        <v>11</v>
      </c>
      <c r="E176" s="936">
        <f>'Planteamiento Técnico'!J367</f>
        <v>0</v>
      </c>
      <c r="F176" s="928">
        <v>1</v>
      </c>
      <c r="G176" s="928">
        <f>E176*F176</f>
        <v>0</v>
      </c>
      <c r="H176" s="921"/>
      <c r="I176" s="11">
        <f>G176*H176</f>
        <v>0</v>
      </c>
    </row>
    <row r="177" spans="2:9">
      <c r="B177" s="913" t="s">
        <v>2272</v>
      </c>
      <c r="C177" s="907" t="s">
        <v>407</v>
      </c>
      <c r="D177" s="907" t="s">
        <v>11</v>
      </c>
      <c r="E177" s="936">
        <f>'Planteamiento Técnico'!J368</f>
        <v>0</v>
      </c>
      <c r="F177" s="928">
        <v>1</v>
      </c>
      <c r="G177" s="928">
        <f>E177*F177</f>
        <v>0</v>
      </c>
      <c r="H177" s="921"/>
      <c r="I177" s="11">
        <f>G177*H177</f>
        <v>0</v>
      </c>
    </row>
    <row r="178" spans="2:9">
      <c r="B178" s="914" t="s">
        <v>2130</v>
      </c>
      <c r="C178" s="907" t="s">
        <v>407</v>
      </c>
      <c r="D178" s="907" t="s">
        <v>11</v>
      </c>
      <c r="E178" s="936">
        <f>'Planteamiento Técnico'!J369</f>
        <v>0</v>
      </c>
      <c r="F178" s="928">
        <v>1</v>
      </c>
      <c r="G178" s="928">
        <f>E178*F178</f>
        <v>0</v>
      </c>
      <c r="H178" s="921"/>
      <c r="I178" s="11">
        <f>G178*H178</f>
        <v>0</v>
      </c>
    </row>
    <row r="179" spans="2:9">
      <c r="B179" s="914" t="s">
        <v>2273</v>
      </c>
      <c r="C179" s="907" t="s">
        <v>407</v>
      </c>
      <c r="D179" s="907" t="s">
        <v>11</v>
      </c>
      <c r="E179" s="936">
        <f>'Planteamiento Técnico'!J370</f>
        <v>0</v>
      </c>
      <c r="F179" s="928">
        <v>1</v>
      </c>
      <c r="G179" s="928">
        <f>E179*F179</f>
        <v>0</v>
      </c>
      <c r="H179" s="921"/>
      <c r="I179" s="11">
        <f>G179*H179</f>
        <v>0</v>
      </c>
    </row>
    <row r="180" spans="2:9">
      <c r="B180" s="911" t="s">
        <v>2274</v>
      </c>
      <c r="C180" s="907"/>
      <c r="D180" s="907"/>
      <c r="E180" s="928"/>
      <c r="F180" s="928"/>
      <c r="G180" s="928"/>
      <c r="H180" s="918"/>
      <c r="I180" s="928"/>
    </row>
    <row r="181" spans="2:9">
      <c r="B181" s="913" t="str">
        <f>'Planteamiento Técnico'!I377</f>
        <v>Balanza electrónica no mayor a 1 tonelada</v>
      </c>
      <c r="C181" s="907" t="s">
        <v>407</v>
      </c>
      <c r="D181" s="907" t="s">
        <v>11</v>
      </c>
      <c r="E181" s="928">
        <f>'Planteamiento Técnico'!J377</f>
        <v>0</v>
      </c>
      <c r="F181" s="928">
        <v>1</v>
      </c>
      <c r="G181" s="928">
        <f>E181*F181</f>
        <v>0</v>
      </c>
      <c r="H181" s="921"/>
      <c r="I181" s="11">
        <f>G181*H181</f>
        <v>0</v>
      </c>
    </row>
    <row r="182" spans="2:9">
      <c r="B182" s="913" t="str">
        <f>'Planteamiento Técnico'!I378</f>
        <v>Extintor</v>
      </c>
      <c r="C182" s="907" t="s">
        <v>407</v>
      </c>
      <c r="D182" s="907" t="s">
        <v>11</v>
      </c>
      <c r="E182" s="928">
        <f>'Planteamiento Técnico'!J378</f>
        <v>0</v>
      </c>
      <c r="F182" s="928">
        <v>1</v>
      </c>
      <c r="G182" s="928">
        <f>E182*F182</f>
        <v>0</v>
      </c>
      <c r="H182" s="918"/>
      <c r="I182" s="11">
        <f>G182*H182</f>
        <v>0</v>
      </c>
    </row>
    <row r="183" spans="2:9">
      <c r="B183" s="913" t="str">
        <f>'Planteamiento Técnico'!I379</f>
        <v xml:space="preserve">Faja transportadora </v>
      </c>
      <c r="C183" s="907" t="s">
        <v>407</v>
      </c>
      <c r="D183" s="907" t="s">
        <v>11</v>
      </c>
      <c r="E183" s="928">
        <f>'Planteamiento Técnico'!J379</f>
        <v>0</v>
      </c>
      <c r="F183" s="928">
        <v>1</v>
      </c>
      <c r="G183" s="928">
        <f>E183*F183</f>
        <v>0</v>
      </c>
      <c r="H183" s="921"/>
      <c r="I183" s="11">
        <f>G183*H183</f>
        <v>0</v>
      </c>
    </row>
    <row r="184" spans="2:9">
      <c r="B184" s="913" t="str">
        <f>'Planteamiento Técnico'!I380</f>
        <v>Prensa hidráulica</v>
      </c>
      <c r="C184" s="907" t="s">
        <v>407</v>
      </c>
      <c r="D184" s="907" t="s">
        <v>11</v>
      </c>
      <c r="E184" s="928">
        <f>'Planteamiento Técnico'!J380</f>
        <v>0</v>
      </c>
      <c r="F184" s="928">
        <v>1</v>
      </c>
      <c r="G184" s="928">
        <f>E184*F184</f>
        <v>0</v>
      </c>
      <c r="H184" s="921"/>
      <c r="I184" s="11">
        <f>G184*H184</f>
        <v>0</v>
      </c>
    </row>
    <row r="185" spans="2:9">
      <c r="B185" s="911" t="s">
        <v>2128</v>
      </c>
      <c r="C185" s="907"/>
      <c r="D185" s="907"/>
      <c r="E185" s="928"/>
      <c r="F185" s="928"/>
      <c r="G185" s="928"/>
      <c r="H185" s="918"/>
      <c r="I185" s="928"/>
    </row>
    <row r="186" spans="2:9">
      <c r="B186" s="913" t="str">
        <f>'Planteamiento Técnico'!I385</f>
        <v>Balanza electrónica no mayor a 1 tonelada</v>
      </c>
      <c r="C186" s="907" t="s">
        <v>407</v>
      </c>
      <c r="D186" s="907" t="s">
        <v>11</v>
      </c>
      <c r="E186" s="928">
        <f>'Planteamiento Técnico'!J385</f>
        <v>0</v>
      </c>
      <c r="F186" s="928">
        <v>1</v>
      </c>
      <c r="G186" s="928">
        <f>E186*F186</f>
        <v>0</v>
      </c>
      <c r="H186" s="921"/>
      <c r="I186" s="11">
        <f>G186*H186</f>
        <v>0</v>
      </c>
    </row>
    <row r="187" spans="2:9">
      <c r="B187" s="913" t="str">
        <f>'Planteamiento Técnico'!I386</f>
        <v>Extintor</v>
      </c>
      <c r="C187" s="907" t="s">
        <v>407</v>
      </c>
      <c r="D187" s="907" t="s">
        <v>11</v>
      </c>
      <c r="E187" s="928">
        <f>'Planteamiento Técnico'!J386</f>
        <v>0</v>
      </c>
      <c r="F187" s="928">
        <v>1</v>
      </c>
      <c r="G187" s="928">
        <f>E187*F187</f>
        <v>0</v>
      </c>
      <c r="H187" s="918"/>
      <c r="I187" s="11">
        <f>G187*H187</f>
        <v>0</v>
      </c>
    </row>
    <row r="188" spans="2:9">
      <c r="B188" s="913" t="str">
        <f>'Planteamiento Técnico'!I387</f>
        <v>Criba tambor</v>
      </c>
      <c r="C188" s="907" t="s">
        <v>407</v>
      </c>
      <c r="D188" s="907" t="s">
        <v>11</v>
      </c>
      <c r="E188" s="928">
        <f>'Planteamiento Técnico'!J387</f>
        <v>0</v>
      </c>
      <c r="F188" s="928">
        <v>1</v>
      </c>
      <c r="G188" s="928">
        <f>E188*F188</f>
        <v>0</v>
      </c>
      <c r="H188" s="921"/>
      <c r="I188" s="11">
        <f>G188*H188</f>
        <v>0</v>
      </c>
    </row>
    <row r="189" spans="2:9">
      <c r="B189" s="913" t="str">
        <f>'Planteamiento Técnico'!I388</f>
        <v>Prensa hidráulica</v>
      </c>
      <c r="C189" s="907" t="s">
        <v>407</v>
      </c>
      <c r="D189" s="907" t="s">
        <v>11</v>
      </c>
      <c r="E189" s="928">
        <f>'Planteamiento Técnico'!J388</f>
        <v>0</v>
      </c>
      <c r="F189" s="928">
        <v>1</v>
      </c>
      <c r="G189" s="928">
        <f>E189*F189</f>
        <v>0</v>
      </c>
      <c r="H189" s="921"/>
      <c r="I189" s="11">
        <f>G189*H189</f>
        <v>0</v>
      </c>
    </row>
    <row r="190" spans="2:9">
      <c r="B190" s="1899" t="s">
        <v>10</v>
      </c>
      <c r="C190" s="1899"/>
      <c r="D190" s="1899"/>
      <c r="E190" s="929">
        <f>SUM(E173:E189)</f>
        <v>0</v>
      </c>
      <c r="F190" s="929"/>
      <c r="G190" s="929"/>
      <c r="H190" s="937"/>
      <c r="I190" s="930">
        <f>SUM(I173:I189)</f>
        <v>0</v>
      </c>
    </row>
    <row r="191" spans="2:9">
      <c r="B191" s="931" t="s">
        <v>2127</v>
      </c>
      <c r="C191" s="907"/>
      <c r="D191" s="907"/>
      <c r="E191" s="928"/>
      <c r="F191" s="928"/>
      <c r="G191" s="928"/>
      <c r="H191" s="918"/>
      <c r="I191" s="928"/>
    </row>
    <row r="192" spans="2:9" ht="25.5">
      <c r="B192" s="927" t="str">
        <f>'Planteamiento Técnico'!I392</f>
        <v>Monta carga  (Solo para SEMIMECANIZADA O MECANIZADA)</v>
      </c>
      <c r="C192" s="907" t="s">
        <v>538</v>
      </c>
      <c r="D192" s="907" t="s">
        <v>11</v>
      </c>
      <c r="E192" s="928">
        <f>'Planteamiento Técnico'!J392</f>
        <v>0</v>
      </c>
      <c r="F192" s="928">
        <v>1</v>
      </c>
      <c r="G192" s="928">
        <f>E192*F192</f>
        <v>0</v>
      </c>
      <c r="H192" s="921"/>
      <c r="I192" s="11">
        <f>G192*H192</f>
        <v>0</v>
      </c>
    </row>
    <row r="193" spans="2:9">
      <c r="B193" s="1899" t="s">
        <v>10</v>
      </c>
      <c r="C193" s="1899"/>
      <c r="D193" s="1899"/>
      <c r="E193" s="929">
        <f>SUM(E173:E192)</f>
        <v>0</v>
      </c>
      <c r="F193" s="929"/>
      <c r="G193" s="929">
        <f>SUM(G173:G192)</f>
        <v>0</v>
      </c>
      <c r="H193" s="937"/>
      <c r="I193" s="929">
        <f>SUM(I192)</f>
        <v>0</v>
      </c>
    </row>
    <row r="194" spans="2:9">
      <c r="B194" s="931" t="s">
        <v>798</v>
      </c>
      <c r="C194" s="907"/>
      <c r="D194" s="932"/>
      <c r="E194" s="933"/>
      <c r="F194" s="933"/>
      <c r="G194" s="933"/>
      <c r="H194" s="918"/>
      <c r="I194" s="933"/>
    </row>
    <row r="195" spans="2:9">
      <c r="B195" s="934" t="str">
        <f>'Planteamiento Técnico'!I395</f>
        <v>Escobas</v>
      </c>
      <c r="C195" s="907" t="s">
        <v>407</v>
      </c>
      <c r="D195" s="907" t="s">
        <v>11</v>
      </c>
      <c r="E195" s="935">
        <f>'Planteamiento Técnico'!L395</f>
        <v>12</v>
      </c>
      <c r="F195" s="935">
        <f>'Planteamiento Técnico'!M395</f>
        <v>0</v>
      </c>
      <c r="G195" s="935">
        <f>E195*F195</f>
        <v>0</v>
      </c>
      <c r="H195" s="921"/>
      <c r="I195" s="11">
        <f>G195*H195</f>
        <v>0</v>
      </c>
    </row>
    <row r="196" spans="2:9">
      <c r="B196" s="934" t="str">
        <f>'Planteamiento Técnico'!I396</f>
        <v>Recogedor</v>
      </c>
      <c r="C196" s="907" t="s">
        <v>407</v>
      </c>
      <c r="D196" s="907" t="s">
        <v>11</v>
      </c>
      <c r="E196" s="935">
        <f>'Planteamiento Técnico'!L396</f>
        <v>2</v>
      </c>
      <c r="F196" s="935">
        <f>'Planteamiento Técnico'!M396</f>
        <v>0</v>
      </c>
      <c r="G196" s="935">
        <f>E196*F196</f>
        <v>0</v>
      </c>
      <c r="H196" s="921"/>
      <c r="I196" s="11">
        <f>G196*H196</f>
        <v>0</v>
      </c>
    </row>
    <row r="197" spans="2:9" ht="25.5">
      <c r="B197" s="934" t="str">
        <f>'Planteamiento Técnico'!I397</f>
        <v>Kit de herramientas (martillo, desarmador, comba, alicate)</v>
      </c>
      <c r="C197" s="907" t="s">
        <v>407</v>
      </c>
      <c r="D197" s="907" t="s">
        <v>11</v>
      </c>
      <c r="E197" s="935">
        <f>'Planteamiento Técnico'!L397</f>
        <v>1</v>
      </c>
      <c r="F197" s="935">
        <f>'Planteamiento Técnico'!M397</f>
        <v>0</v>
      </c>
      <c r="G197" s="935">
        <f>E197*F197</f>
        <v>0</v>
      </c>
      <c r="H197" s="921"/>
      <c r="I197" s="11">
        <f>G197*H197</f>
        <v>0</v>
      </c>
    </row>
    <row r="198" spans="2:9">
      <c r="B198" s="934" t="str">
        <f>'Planteamiento Técnico'!I398</f>
        <v>Zacas de 1000 lts</v>
      </c>
      <c r="C198" s="907" t="s">
        <v>407</v>
      </c>
      <c r="D198" s="907" t="s">
        <v>11</v>
      </c>
      <c r="E198" s="935">
        <f>'Planteamiento Técnico'!L398</f>
        <v>0</v>
      </c>
      <c r="F198" s="935">
        <f>'Planteamiento Técnico'!M398</f>
        <v>0</v>
      </c>
      <c r="G198" s="935">
        <f>E198*F198</f>
        <v>0</v>
      </c>
      <c r="H198" s="918"/>
      <c r="I198" s="11">
        <f>G198*H198</f>
        <v>0</v>
      </c>
    </row>
    <row r="199" spans="2:9">
      <c r="B199" s="1899" t="s">
        <v>10</v>
      </c>
      <c r="C199" s="1899"/>
      <c r="D199" s="1899"/>
      <c r="E199" s="929">
        <f>SUM(E195:E198)</f>
        <v>15</v>
      </c>
      <c r="F199" s="929"/>
      <c r="G199" s="929"/>
      <c r="H199" s="937"/>
      <c r="I199" s="930">
        <f>SUM(I195:I198)</f>
        <v>0</v>
      </c>
    </row>
    <row r="200" spans="2:9">
      <c r="B200" s="903" t="s">
        <v>799</v>
      </c>
      <c r="C200" s="907"/>
      <c r="D200" s="932"/>
      <c r="E200" s="933"/>
      <c r="F200" s="933"/>
      <c r="G200" s="933"/>
      <c r="H200" s="918"/>
      <c r="I200" s="933"/>
    </row>
    <row r="201" spans="2:9">
      <c r="B201" s="913" t="str">
        <f>'Planteamiento Técnico'!I403</f>
        <v xml:space="preserve">Camisaco </v>
      </c>
      <c r="C201" s="907" t="s">
        <v>407</v>
      </c>
      <c r="D201" s="907" t="s">
        <v>11</v>
      </c>
      <c r="E201" s="935">
        <f>'Planteamiento Técnico'!L403</f>
        <v>2</v>
      </c>
      <c r="F201" s="935">
        <f>'Planteamiento Técnico'!M403</f>
        <v>0</v>
      </c>
      <c r="G201" s="935">
        <f>E201*F201</f>
        <v>0</v>
      </c>
      <c r="H201" s="921"/>
      <c r="I201" s="11">
        <f>G201*H201</f>
        <v>0</v>
      </c>
    </row>
    <row r="202" spans="2:9">
      <c r="B202" s="913" t="str">
        <f>'Planteamiento Técnico'!I404</f>
        <v xml:space="preserve">Pantalón </v>
      </c>
      <c r="C202" s="907" t="s">
        <v>407</v>
      </c>
      <c r="D202" s="907" t="s">
        <v>11</v>
      </c>
      <c r="E202" s="935">
        <f>'Planteamiento Técnico'!L404</f>
        <v>2</v>
      </c>
      <c r="F202" s="935">
        <f>'Planteamiento Técnico'!M404</f>
        <v>0</v>
      </c>
      <c r="G202" s="935">
        <f t="shared" ref="G202:G213" si="13">E202*F202</f>
        <v>0</v>
      </c>
      <c r="H202" s="921"/>
      <c r="I202" s="11">
        <f t="shared" ref="I202:I213" si="14">G202*H202</f>
        <v>0</v>
      </c>
    </row>
    <row r="203" spans="2:9">
      <c r="B203" s="913" t="str">
        <f>'Planteamiento Técnico'!I405</f>
        <v xml:space="preserve">Polos </v>
      </c>
      <c r="C203" s="907" t="s">
        <v>407</v>
      </c>
      <c r="D203" s="907" t="s">
        <v>11</v>
      </c>
      <c r="E203" s="935">
        <f>'Planteamiento Técnico'!L405</f>
        <v>3</v>
      </c>
      <c r="F203" s="935">
        <f>'Planteamiento Técnico'!M405</f>
        <v>0</v>
      </c>
      <c r="G203" s="935">
        <f t="shared" si="13"/>
        <v>0</v>
      </c>
      <c r="H203" s="921"/>
      <c r="I203" s="11">
        <f t="shared" si="14"/>
        <v>0</v>
      </c>
    </row>
    <row r="204" spans="2:9">
      <c r="B204" s="913" t="str">
        <f>'Planteamiento Técnico'!I406</f>
        <v>Gorro taslan</v>
      </c>
      <c r="C204" s="907" t="s">
        <v>407</v>
      </c>
      <c r="D204" s="907" t="s">
        <v>11</v>
      </c>
      <c r="E204" s="935">
        <f>'Planteamiento Técnico'!L406</f>
        <v>2</v>
      </c>
      <c r="F204" s="935">
        <f>'Planteamiento Técnico'!M406</f>
        <v>0</v>
      </c>
      <c r="G204" s="935">
        <f t="shared" si="13"/>
        <v>0</v>
      </c>
      <c r="H204" s="921"/>
      <c r="I204" s="11">
        <f t="shared" si="14"/>
        <v>0</v>
      </c>
    </row>
    <row r="205" spans="2:9">
      <c r="B205" s="913" t="str">
        <f>'Planteamiento Técnico'!I407</f>
        <v>Casco de seguridad</v>
      </c>
      <c r="C205" s="907" t="s">
        <v>407</v>
      </c>
      <c r="D205" s="907" t="s">
        <v>11</v>
      </c>
      <c r="E205" s="935">
        <f>'Planteamiento Técnico'!L407</f>
        <v>1</v>
      </c>
      <c r="F205" s="935">
        <f>'Planteamiento Técnico'!M407</f>
        <v>0</v>
      </c>
      <c r="G205" s="935">
        <f t="shared" si="13"/>
        <v>0</v>
      </c>
      <c r="H205" s="921"/>
      <c r="I205" s="11">
        <f t="shared" si="14"/>
        <v>0</v>
      </c>
    </row>
    <row r="206" spans="2:9">
      <c r="B206" s="913" t="str">
        <f>'Planteamiento Técnico'!I408</f>
        <v>Poncho impermeable</v>
      </c>
      <c r="C206" s="907" t="s">
        <v>407</v>
      </c>
      <c r="D206" s="907" t="s">
        <v>11</v>
      </c>
      <c r="E206" s="935">
        <f>'Planteamiento Técnico'!L408</f>
        <v>1</v>
      </c>
      <c r="F206" s="935">
        <f>'Planteamiento Técnico'!M408</f>
        <v>0</v>
      </c>
      <c r="G206" s="935">
        <f t="shared" si="13"/>
        <v>0</v>
      </c>
      <c r="H206" s="921"/>
      <c r="I206" s="11">
        <f t="shared" si="14"/>
        <v>0</v>
      </c>
    </row>
    <row r="207" spans="2:9">
      <c r="B207" s="913" t="str">
        <f>'Planteamiento Técnico'!I409</f>
        <v xml:space="preserve">Lentes </v>
      </c>
      <c r="C207" s="907" t="s">
        <v>407</v>
      </c>
      <c r="D207" s="907" t="s">
        <v>11</v>
      </c>
      <c r="E207" s="935">
        <f>'Planteamiento Técnico'!L409</f>
        <v>2</v>
      </c>
      <c r="F207" s="935">
        <f>'Planteamiento Técnico'!M409</f>
        <v>0</v>
      </c>
      <c r="G207" s="935">
        <f t="shared" si="13"/>
        <v>0</v>
      </c>
      <c r="H207" s="921"/>
      <c r="I207" s="11">
        <f t="shared" si="14"/>
        <v>0</v>
      </c>
    </row>
    <row r="208" spans="2:9">
      <c r="B208" s="913" t="str">
        <f>'Planteamiento Técnico'!I410</f>
        <v>Guantes de cuero pulido</v>
      </c>
      <c r="C208" s="907" t="s">
        <v>407</v>
      </c>
      <c r="D208" s="907" t="s">
        <v>11</v>
      </c>
      <c r="E208" s="935">
        <f>'Planteamiento Técnico'!L410</f>
        <v>6</v>
      </c>
      <c r="F208" s="935">
        <f>'Planteamiento Técnico'!M410</f>
        <v>0</v>
      </c>
      <c r="G208" s="935">
        <f t="shared" si="13"/>
        <v>0</v>
      </c>
      <c r="H208" s="921"/>
      <c r="I208" s="11">
        <f t="shared" si="14"/>
        <v>0</v>
      </c>
    </row>
    <row r="209" spans="2:9">
      <c r="B209" s="913" t="str">
        <f>'Planteamiento Técnico'!I411</f>
        <v>Mascarillas con filtros</v>
      </c>
      <c r="C209" s="907" t="s">
        <v>407</v>
      </c>
      <c r="D209" s="907" t="s">
        <v>11</v>
      </c>
      <c r="E209" s="935">
        <f>'Planteamiento Técnico'!L411</f>
        <v>3</v>
      </c>
      <c r="F209" s="935">
        <f>'Planteamiento Técnico'!M411</f>
        <v>0</v>
      </c>
      <c r="G209" s="935">
        <f t="shared" si="13"/>
        <v>0</v>
      </c>
      <c r="H209" s="921"/>
      <c r="I209" s="11">
        <f t="shared" si="14"/>
        <v>0</v>
      </c>
    </row>
    <row r="210" spans="2:9">
      <c r="B210" s="913" t="str">
        <f>'Planteamiento Técnico'!I412</f>
        <v>Filtros para mascarilla</v>
      </c>
      <c r="C210" s="907" t="s">
        <v>407</v>
      </c>
      <c r="D210" s="907" t="s">
        <v>11</v>
      </c>
      <c r="E210" s="935">
        <f>'Planteamiento Técnico'!L412</f>
        <v>6</v>
      </c>
      <c r="F210" s="935">
        <f>'Planteamiento Técnico'!M412</f>
        <v>0</v>
      </c>
      <c r="G210" s="935">
        <f t="shared" si="13"/>
        <v>0</v>
      </c>
      <c r="H210" s="921"/>
      <c r="I210" s="11">
        <f t="shared" si="14"/>
        <v>0</v>
      </c>
    </row>
    <row r="211" spans="2:9" ht="12" customHeight="1">
      <c r="B211" s="913" t="str">
        <f>'Planteamiento Técnico'!I413</f>
        <v>Botín de cuero con punta de acero</v>
      </c>
      <c r="C211" s="907" t="s">
        <v>407</v>
      </c>
      <c r="D211" s="907" t="s">
        <v>262</v>
      </c>
      <c r="E211" s="935">
        <f>'Planteamiento Técnico'!L413</f>
        <v>6</v>
      </c>
      <c r="F211" s="935">
        <f>'Planteamiento Técnico'!M413</f>
        <v>0</v>
      </c>
      <c r="G211" s="935">
        <f t="shared" si="13"/>
        <v>0</v>
      </c>
      <c r="H211" s="921"/>
      <c r="I211" s="11">
        <f t="shared" si="14"/>
        <v>0</v>
      </c>
    </row>
    <row r="212" spans="2:9">
      <c r="B212" s="913" t="str">
        <f>'Planteamiento Técnico'!I414</f>
        <v>Fajas</v>
      </c>
      <c r="C212" s="907" t="s">
        <v>407</v>
      </c>
      <c r="D212" s="907" t="s">
        <v>11</v>
      </c>
      <c r="E212" s="935">
        <f>'Planteamiento Técnico'!L414</f>
        <v>2</v>
      </c>
      <c r="F212" s="935">
        <f>'Planteamiento Técnico'!M414</f>
        <v>0</v>
      </c>
      <c r="G212" s="935">
        <f t="shared" si="13"/>
        <v>0</v>
      </c>
      <c r="H212" s="921"/>
      <c r="I212" s="11">
        <f t="shared" si="14"/>
        <v>0</v>
      </c>
    </row>
    <row r="213" spans="2:9">
      <c r="B213" s="913" t="str">
        <f>'Planteamiento Técnico'!I415</f>
        <v>Chalecos</v>
      </c>
      <c r="C213" s="907" t="s">
        <v>407</v>
      </c>
      <c r="D213" s="907" t="s">
        <v>11</v>
      </c>
      <c r="E213" s="935">
        <f>'Planteamiento Técnico'!L415</f>
        <v>2</v>
      </c>
      <c r="F213" s="935">
        <f>'Planteamiento Técnico'!M415</f>
        <v>0</v>
      </c>
      <c r="G213" s="935">
        <f t="shared" si="13"/>
        <v>0</v>
      </c>
      <c r="H213" s="921"/>
      <c r="I213" s="11">
        <f t="shared" si="14"/>
        <v>0</v>
      </c>
    </row>
    <row r="214" spans="2:9">
      <c r="B214" s="1899" t="s">
        <v>10</v>
      </c>
      <c r="C214" s="1899"/>
      <c r="D214" s="1899"/>
      <c r="E214" s="929">
        <f>SUM(E201:E213)</f>
        <v>38</v>
      </c>
      <c r="F214" s="928"/>
      <c r="G214" s="928"/>
      <c r="H214" s="918"/>
      <c r="I214" s="938">
        <f>SUM(I201:I213)</f>
        <v>0</v>
      </c>
    </row>
    <row r="215" spans="2:9">
      <c r="B215" s="1899" t="s">
        <v>125</v>
      </c>
      <c r="C215" s="1899"/>
      <c r="D215" s="1899"/>
      <c r="E215" s="1899"/>
      <c r="F215" s="1899"/>
      <c r="G215" s="1899"/>
      <c r="H215" s="1899"/>
      <c r="I215" s="939">
        <f>I214+I199+I193+I190+I171</f>
        <v>0</v>
      </c>
    </row>
    <row r="218" spans="2:9">
      <c r="B218" s="1900" t="str">
        <f>FICHA!B271</f>
        <v>Adecuada disposición final de los residuos sólidos</v>
      </c>
      <c r="C218" s="1900"/>
      <c r="D218" s="1900"/>
      <c r="E218" s="1900"/>
      <c r="F218" s="1900"/>
      <c r="G218" s="1900"/>
      <c r="H218" s="1900"/>
      <c r="I218" s="1900"/>
    </row>
    <row r="219" spans="2:9" ht="30" customHeight="1">
      <c r="B219" s="578" t="s">
        <v>608</v>
      </c>
      <c r="C219" s="578" t="s">
        <v>796</v>
      </c>
      <c r="D219" s="578" t="s">
        <v>20</v>
      </c>
      <c r="E219" s="578" t="s">
        <v>23</v>
      </c>
      <c r="F219" s="578" t="s">
        <v>2258</v>
      </c>
      <c r="G219" s="578" t="s">
        <v>2148</v>
      </c>
      <c r="H219" s="900" t="s">
        <v>3242</v>
      </c>
      <c r="I219" s="900" t="s">
        <v>3259</v>
      </c>
    </row>
    <row r="220" spans="2:9">
      <c r="B220" s="931" t="s">
        <v>2289</v>
      </c>
      <c r="C220" s="907"/>
      <c r="D220" s="907"/>
      <c r="E220" s="928"/>
      <c r="F220" s="928"/>
      <c r="G220" s="928"/>
      <c r="H220" s="918"/>
      <c r="I220" s="928"/>
    </row>
    <row r="221" spans="2:9">
      <c r="B221" s="927" t="str">
        <f>'Planteamiento Técnico'!B439</f>
        <v>Extintor</v>
      </c>
      <c r="C221" s="907" t="s">
        <v>407</v>
      </c>
      <c r="D221" s="907" t="s">
        <v>11</v>
      </c>
      <c r="E221" s="928">
        <f>'Planteamiento Técnico'!C439</f>
        <v>0</v>
      </c>
      <c r="F221" s="928">
        <v>1</v>
      </c>
      <c r="G221" s="935">
        <f>E221*F221</f>
        <v>0</v>
      </c>
      <c r="H221" s="921"/>
      <c r="I221" s="11">
        <f>G221*H221</f>
        <v>0</v>
      </c>
    </row>
    <row r="222" spans="2:9">
      <c r="B222" s="927" t="str">
        <f>'Planteamiento Técnico'!B440</f>
        <v>Bomba de lixiviados</v>
      </c>
      <c r="C222" s="907" t="s">
        <v>407</v>
      </c>
      <c r="D222" s="907" t="s">
        <v>11</v>
      </c>
      <c r="E222" s="928">
        <f>'Planteamiento Técnico'!C440</f>
        <v>0</v>
      </c>
      <c r="F222" s="928">
        <v>1</v>
      </c>
      <c r="G222" s="935">
        <f>E222*F222</f>
        <v>0</v>
      </c>
      <c r="H222" s="921"/>
      <c r="I222" s="11">
        <f>G222*H222</f>
        <v>0</v>
      </c>
    </row>
    <row r="223" spans="2:9">
      <c r="B223" s="927" t="str">
        <f>'Planteamiento Técnico'!B441</f>
        <v>Generador eléctrico</v>
      </c>
      <c r="C223" s="907" t="s">
        <v>407</v>
      </c>
      <c r="D223" s="907" t="s">
        <v>11</v>
      </c>
      <c r="E223" s="928">
        <f>'Planteamiento Técnico'!C441</f>
        <v>0</v>
      </c>
      <c r="F223" s="928">
        <v>1</v>
      </c>
      <c r="G223" s="935">
        <f>E223*F223</f>
        <v>0</v>
      </c>
      <c r="H223" s="921"/>
      <c r="I223" s="11">
        <f>G223*H223</f>
        <v>0</v>
      </c>
    </row>
    <row r="224" spans="2:9">
      <c r="B224" s="1899" t="s">
        <v>10</v>
      </c>
      <c r="C224" s="1899"/>
      <c r="D224" s="1899"/>
      <c r="E224" s="929">
        <f>SUM(E221:E223)</f>
        <v>0</v>
      </c>
      <c r="F224" s="928"/>
      <c r="G224" s="929">
        <f>SUM(G221:G223)</f>
        <v>0</v>
      </c>
      <c r="H224" s="918"/>
      <c r="I224" s="930">
        <f>SUM(I221:I223)</f>
        <v>0</v>
      </c>
    </row>
    <row r="225" spans="2:9">
      <c r="B225" s="931" t="s">
        <v>2290</v>
      </c>
      <c r="C225" s="907"/>
      <c r="D225" s="907"/>
      <c r="E225" s="928"/>
      <c r="F225" s="928"/>
      <c r="G225" s="928"/>
      <c r="H225" s="918"/>
      <c r="I225" s="928"/>
    </row>
    <row r="226" spans="2:9">
      <c r="B226" s="927" t="str">
        <f>'Planteamiento Técnico'!B492</f>
        <v>Extintor</v>
      </c>
      <c r="C226" s="907" t="s">
        <v>407</v>
      </c>
      <c r="D226" s="907" t="s">
        <v>11</v>
      </c>
      <c r="E226" s="928">
        <f>'Planteamiento Técnico'!C492</f>
        <v>0</v>
      </c>
      <c r="F226" s="928">
        <v>1</v>
      </c>
      <c r="G226" s="935">
        <f>E226*F226</f>
        <v>0</v>
      </c>
      <c r="H226" s="921"/>
      <c r="I226" s="11">
        <f>G226*H226</f>
        <v>0</v>
      </c>
    </row>
    <row r="227" spans="2:9">
      <c r="B227" s="927" t="str">
        <f>'Planteamiento Técnico'!B493</f>
        <v>Bomba de lixiviados</v>
      </c>
      <c r="C227" s="907" t="s">
        <v>407</v>
      </c>
      <c r="D227" s="907" t="s">
        <v>11</v>
      </c>
      <c r="E227" s="928">
        <f>'Planteamiento Técnico'!C493</f>
        <v>0</v>
      </c>
      <c r="F227" s="928">
        <v>1</v>
      </c>
      <c r="G227" s="935">
        <f>E227*F227</f>
        <v>0</v>
      </c>
      <c r="H227" s="921"/>
      <c r="I227" s="11">
        <f>G227*H227</f>
        <v>0</v>
      </c>
    </row>
    <row r="228" spans="2:9">
      <c r="B228" s="927" t="str">
        <f>'Planteamiento Técnico'!B494</f>
        <v>Generador eléctrico</v>
      </c>
      <c r="C228" s="907" t="s">
        <v>407</v>
      </c>
      <c r="D228" s="907" t="s">
        <v>11</v>
      </c>
      <c r="E228" s="928">
        <f>'Planteamiento Técnico'!C494</f>
        <v>0</v>
      </c>
      <c r="F228" s="928">
        <v>1</v>
      </c>
      <c r="G228" s="935">
        <f>E228*F228</f>
        <v>0</v>
      </c>
      <c r="H228" s="921"/>
      <c r="I228" s="11">
        <f>G228*H228</f>
        <v>0</v>
      </c>
    </row>
    <row r="229" spans="2:9">
      <c r="B229" s="927" t="str">
        <f>'Planteamiento Técnico'!B495</f>
        <v>Balanza (Solo para generación &gt; 20 - 50 t/día )</v>
      </c>
      <c r="C229" s="907" t="s">
        <v>407</v>
      </c>
      <c r="D229" s="907" t="s">
        <v>11</v>
      </c>
      <c r="E229" s="928">
        <f>'Planteamiento Técnico'!C495</f>
        <v>0</v>
      </c>
      <c r="F229" s="928">
        <v>1</v>
      </c>
      <c r="G229" s="935">
        <f>E229*F229</f>
        <v>0</v>
      </c>
      <c r="H229" s="921"/>
      <c r="I229" s="11">
        <f>G229*H229</f>
        <v>0</v>
      </c>
    </row>
    <row r="230" spans="2:9">
      <c r="B230" s="1899" t="s">
        <v>10</v>
      </c>
      <c r="C230" s="1899"/>
      <c r="D230" s="1899"/>
      <c r="E230" s="929">
        <f>SUM(E226:E229)</f>
        <v>0</v>
      </c>
      <c r="F230" s="928"/>
      <c r="G230" s="929">
        <f>SUM(G226:G229)</f>
        <v>0</v>
      </c>
      <c r="H230" s="918"/>
      <c r="I230" s="930">
        <f>SUM(I226:I229)</f>
        <v>0</v>
      </c>
    </row>
    <row r="231" spans="2:9">
      <c r="B231" s="931" t="s">
        <v>2291</v>
      </c>
      <c r="C231" s="907"/>
      <c r="D231" s="907"/>
      <c r="E231" s="928"/>
      <c r="F231" s="928"/>
      <c r="G231" s="928"/>
      <c r="H231" s="918"/>
      <c r="I231" s="928"/>
    </row>
    <row r="232" spans="2:9">
      <c r="B232" s="927" t="str">
        <f>'Planteamiento Técnico'!B547</f>
        <v>Extintor</v>
      </c>
      <c r="C232" s="907" t="s">
        <v>407</v>
      </c>
      <c r="D232" s="907" t="s">
        <v>11</v>
      </c>
      <c r="E232" s="928">
        <f>'Planteamiento Técnico'!E547</f>
        <v>0</v>
      </c>
      <c r="F232" s="928">
        <v>1</v>
      </c>
      <c r="G232" s="935">
        <f>E232*F232</f>
        <v>0</v>
      </c>
      <c r="H232" s="921"/>
      <c r="I232" s="11">
        <f>G232*H232</f>
        <v>0</v>
      </c>
    </row>
    <row r="233" spans="2:9">
      <c r="B233" s="927" t="str">
        <f>'Planteamiento Técnico'!B548</f>
        <v>Bomba de lixiviados</v>
      </c>
      <c r="C233" s="907" t="s">
        <v>407</v>
      </c>
      <c r="D233" s="907" t="s">
        <v>11</v>
      </c>
      <c r="E233" s="928">
        <f>'Planteamiento Técnico'!E548</f>
        <v>0</v>
      </c>
      <c r="F233" s="928">
        <v>1</v>
      </c>
      <c r="G233" s="935">
        <f>E233*F233</f>
        <v>0</v>
      </c>
      <c r="H233" s="921"/>
      <c r="I233" s="11">
        <f>G233*H233</f>
        <v>0</v>
      </c>
    </row>
    <row r="234" spans="2:9">
      <c r="B234" s="927" t="str">
        <f>'Planteamiento Técnico'!B549</f>
        <v>Generador eléctrico</v>
      </c>
      <c r="C234" s="907" t="s">
        <v>407</v>
      </c>
      <c r="D234" s="907" t="s">
        <v>11</v>
      </c>
      <c r="E234" s="928">
        <f>'Planteamiento Técnico'!E549</f>
        <v>0</v>
      </c>
      <c r="F234" s="928">
        <v>1</v>
      </c>
      <c r="G234" s="935">
        <f>E234*F234</f>
        <v>0</v>
      </c>
      <c r="H234" s="921"/>
      <c r="I234" s="11">
        <f>G234*H234</f>
        <v>0</v>
      </c>
    </row>
    <row r="235" spans="2:9">
      <c r="B235" s="927" t="str">
        <f>'Planteamiento Técnico'!B550</f>
        <v>Balanza</v>
      </c>
      <c r="C235" s="907" t="s">
        <v>407</v>
      </c>
      <c r="D235" s="907" t="s">
        <v>11</v>
      </c>
      <c r="E235" s="928">
        <f>'Planteamiento Técnico'!E550</f>
        <v>0</v>
      </c>
      <c r="F235" s="928">
        <v>1</v>
      </c>
      <c r="G235" s="935">
        <f>E235*F235</f>
        <v>0</v>
      </c>
      <c r="H235" s="921"/>
      <c r="I235" s="11">
        <f>G235*H235</f>
        <v>0</v>
      </c>
    </row>
    <row r="236" spans="2:9">
      <c r="B236" s="1899" t="s">
        <v>10</v>
      </c>
      <c r="C236" s="1899"/>
      <c r="D236" s="1899"/>
      <c r="E236" s="929">
        <f>SUM(E232:E235)</f>
        <v>0</v>
      </c>
      <c r="F236" s="928"/>
      <c r="G236" s="928"/>
      <c r="H236" s="918"/>
      <c r="I236" s="930">
        <f>SUM(I232:I235)</f>
        <v>0</v>
      </c>
    </row>
    <row r="237" spans="2:9">
      <c r="B237" s="1905" t="s">
        <v>2301</v>
      </c>
      <c r="C237" s="1905"/>
      <c r="D237" s="1905"/>
      <c r="E237" s="940">
        <f>E236+E230+E224</f>
        <v>0</v>
      </c>
      <c r="F237" s="941"/>
      <c r="G237" s="941"/>
      <c r="H237" s="941"/>
      <c r="I237" s="942">
        <f>I236+I230+I224</f>
        <v>0</v>
      </c>
    </row>
    <row r="238" spans="2:9">
      <c r="B238" s="931" t="s">
        <v>2292</v>
      </c>
      <c r="C238" s="907"/>
      <c r="D238" s="907"/>
      <c r="E238" s="928"/>
      <c r="F238" s="928"/>
      <c r="G238" s="928"/>
      <c r="H238" s="918"/>
      <c r="I238" s="928"/>
    </row>
    <row r="239" spans="2:9">
      <c r="B239" s="943" t="str">
        <f>'Planteamiento Técnico'!B445</f>
        <v>Minicargador (Solo para generación de &gt; 2 - 6 t/día)</v>
      </c>
      <c r="C239" s="907" t="s">
        <v>538</v>
      </c>
      <c r="D239" s="907" t="s">
        <v>11</v>
      </c>
      <c r="E239" s="928">
        <f>'Planteamiento Técnico'!C445</f>
        <v>0</v>
      </c>
      <c r="F239" s="928">
        <v>1</v>
      </c>
      <c r="G239" s="935">
        <f>E239*F239</f>
        <v>0</v>
      </c>
      <c r="H239" s="921"/>
      <c r="I239" s="11">
        <f>G239*H239</f>
        <v>0</v>
      </c>
    </row>
    <row r="240" spans="2:9">
      <c r="B240" s="1899" t="s">
        <v>10</v>
      </c>
      <c r="C240" s="1899"/>
      <c r="D240" s="1899"/>
      <c r="E240" s="929">
        <f>E239</f>
        <v>0</v>
      </c>
      <c r="F240" s="928"/>
      <c r="G240" s="928"/>
      <c r="H240" s="918"/>
      <c r="I240" s="930">
        <f>I239</f>
        <v>0</v>
      </c>
    </row>
    <row r="241" spans="2:9">
      <c r="B241" s="931" t="s">
        <v>2293</v>
      </c>
      <c r="C241" s="907"/>
      <c r="D241" s="907"/>
      <c r="E241" s="928"/>
      <c r="F241" s="928"/>
      <c r="G241" s="928"/>
      <c r="H241" s="918"/>
      <c r="I241" s="928"/>
    </row>
    <row r="242" spans="2:9">
      <c r="B242" s="943" t="str">
        <f>'Planteamiento Técnico'!B499</f>
        <v>Minicargador</v>
      </c>
      <c r="C242" s="907" t="s">
        <v>538</v>
      </c>
      <c r="D242" s="907" t="s">
        <v>11</v>
      </c>
      <c r="E242" s="928">
        <f>'Planteamiento Técnico'!C499</f>
        <v>0</v>
      </c>
      <c r="F242" s="928">
        <v>1</v>
      </c>
      <c r="G242" s="935">
        <f>E242*F242</f>
        <v>0</v>
      </c>
      <c r="H242" s="921"/>
      <c r="I242" s="11">
        <f>G242*H242</f>
        <v>0</v>
      </c>
    </row>
    <row r="243" spans="2:9">
      <c r="B243" s="1899" t="s">
        <v>10</v>
      </c>
      <c r="C243" s="1899"/>
      <c r="D243" s="1899"/>
      <c r="E243" s="929">
        <f>E242</f>
        <v>0</v>
      </c>
      <c r="F243" s="928"/>
      <c r="G243" s="928"/>
      <c r="H243" s="918"/>
      <c r="I243" s="930">
        <f>I242</f>
        <v>0</v>
      </c>
    </row>
    <row r="244" spans="2:9">
      <c r="B244" s="931" t="s">
        <v>2294</v>
      </c>
      <c r="C244" s="907"/>
      <c r="D244" s="907"/>
      <c r="E244" s="928"/>
      <c r="F244" s="928"/>
      <c r="G244" s="928"/>
      <c r="H244" s="918"/>
      <c r="I244" s="928"/>
    </row>
    <row r="245" spans="2:9">
      <c r="B245" s="927" t="str">
        <f>'Planteamiento Técnico'!B554</f>
        <v>Minicargador</v>
      </c>
      <c r="C245" s="907" t="s">
        <v>539</v>
      </c>
      <c r="D245" s="907" t="s">
        <v>11</v>
      </c>
      <c r="E245" s="928">
        <f>'Planteamiento Técnico'!E554</f>
        <v>0</v>
      </c>
      <c r="F245" s="928">
        <v>1</v>
      </c>
      <c r="G245" s="935">
        <f>E245*F245</f>
        <v>0</v>
      </c>
      <c r="H245" s="921"/>
      <c r="I245" s="11">
        <f>G245*H245</f>
        <v>0</v>
      </c>
    </row>
    <row r="246" spans="2:9">
      <c r="B246" s="927">
        <f>'Planteamiento Técnico'!B555</f>
        <v>0</v>
      </c>
      <c r="C246" s="907" t="s">
        <v>539</v>
      </c>
      <c r="D246" s="907" t="s">
        <v>11</v>
      </c>
      <c r="E246" s="928">
        <f>'Planteamiento Técnico'!E555</f>
        <v>0</v>
      </c>
      <c r="F246" s="928">
        <v>1</v>
      </c>
      <c r="G246" s="935">
        <f>E246*F246</f>
        <v>0</v>
      </c>
      <c r="H246" s="921"/>
      <c r="I246" s="11">
        <f>G246*H246</f>
        <v>0</v>
      </c>
    </row>
    <row r="247" spans="2:9">
      <c r="B247" s="927" t="str">
        <f>'Planteamiento Técnico'!B556</f>
        <v>Volquete de 12 m3.  (Generación  &gt;  200 t/día )</v>
      </c>
      <c r="C247" s="907" t="s">
        <v>539</v>
      </c>
      <c r="D247" s="907" t="s">
        <v>11</v>
      </c>
      <c r="E247" s="928">
        <f>'Planteamiento Técnico'!E556</f>
        <v>0</v>
      </c>
      <c r="F247" s="928">
        <v>1</v>
      </c>
      <c r="G247" s="935">
        <f>E247*F247</f>
        <v>0</v>
      </c>
      <c r="H247" s="921"/>
      <c r="I247" s="11">
        <f>G247*H247</f>
        <v>0</v>
      </c>
    </row>
    <row r="248" spans="2:9">
      <c r="B248" s="1899" t="s">
        <v>10</v>
      </c>
      <c r="C248" s="1899"/>
      <c r="D248" s="1899"/>
      <c r="E248" s="929">
        <f>SUM(E245:E247)</f>
        <v>0</v>
      </c>
      <c r="F248" s="928"/>
      <c r="G248" s="929"/>
      <c r="H248" s="918"/>
      <c r="I248" s="930">
        <f>SUM(I245:I247)</f>
        <v>0</v>
      </c>
    </row>
    <row r="249" spans="2:9">
      <c r="B249" s="1897" t="s">
        <v>2302</v>
      </c>
      <c r="C249" s="1898"/>
      <c r="D249" s="1898"/>
      <c r="E249" s="944">
        <f>E248+E243+E240</f>
        <v>0</v>
      </c>
      <c r="F249" s="945"/>
      <c r="G249" s="945"/>
      <c r="H249" s="946"/>
      <c r="I249" s="942">
        <f>I248+I243+I240</f>
        <v>0</v>
      </c>
    </row>
    <row r="250" spans="2:9">
      <c r="B250" s="931" t="s">
        <v>2295</v>
      </c>
      <c r="C250" s="907"/>
      <c r="D250" s="932"/>
      <c r="E250" s="933"/>
      <c r="F250" s="933"/>
      <c r="G250" s="933"/>
      <c r="H250" s="918"/>
      <c r="I250" s="933"/>
    </row>
    <row r="251" spans="2:9">
      <c r="B251" s="927" t="str">
        <f>'Planteamiento Técnico'!B449</f>
        <v>Picos</v>
      </c>
      <c r="C251" s="907" t="s">
        <v>407</v>
      </c>
      <c r="D251" s="907" t="s">
        <v>11</v>
      </c>
      <c r="E251" s="947">
        <f>'Planteamiento Técnico'!E449</f>
        <v>4</v>
      </c>
      <c r="F251" s="947">
        <f>'Planteamiento Técnico'!F449</f>
        <v>0</v>
      </c>
      <c r="G251" s="935">
        <f t="shared" ref="G251:G256" si="15">E251*F251</f>
        <v>0</v>
      </c>
      <c r="H251" s="921"/>
      <c r="I251" s="11">
        <f t="shared" ref="I251:I256" si="16">G251*H251</f>
        <v>0</v>
      </c>
    </row>
    <row r="252" spans="2:9">
      <c r="B252" s="927" t="str">
        <f>'Planteamiento Técnico'!B450</f>
        <v>Lampas</v>
      </c>
      <c r="C252" s="907" t="s">
        <v>407</v>
      </c>
      <c r="D252" s="907" t="s">
        <v>11</v>
      </c>
      <c r="E252" s="947">
        <f>'Planteamiento Técnico'!E450</f>
        <v>3</v>
      </c>
      <c r="F252" s="947">
        <f>'Planteamiento Técnico'!F450</f>
        <v>0</v>
      </c>
      <c r="G252" s="935">
        <f t="shared" si="15"/>
        <v>0</v>
      </c>
      <c r="H252" s="921"/>
      <c r="I252" s="11">
        <f t="shared" si="16"/>
        <v>0</v>
      </c>
    </row>
    <row r="253" spans="2:9">
      <c r="B253" s="927" t="str">
        <f>'Planteamiento Técnico'!B451</f>
        <v xml:space="preserve">Carretilla de construcción </v>
      </c>
      <c r="C253" s="907" t="s">
        <v>407</v>
      </c>
      <c r="D253" s="907" t="s">
        <v>11</v>
      </c>
      <c r="E253" s="947">
        <f>'Planteamiento Técnico'!E451</f>
        <v>1</v>
      </c>
      <c r="F253" s="947">
        <f>'Planteamiento Técnico'!F451</f>
        <v>0</v>
      </c>
      <c r="G253" s="935">
        <f t="shared" si="15"/>
        <v>0</v>
      </c>
      <c r="H253" s="921"/>
      <c r="I253" s="11">
        <f t="shared" si="16"/>
        <v>0</v>
      </c>
    </row>
    <row r="254" spans="2:9">
      <c r="B254" s="927" t="str">
        <f>'Planteamiento Técnico'!B452</f>
        <v>Rastrillo metálico</v>
      </c>
      <c r="C254" s="907" t="s">
        <v>407</v>
      </c>
      <c r="D254" s="907" t="s">
        <v>11</v>
      </c>
      <c r="E254" s="947">
        <f>'Planteamiento Técnico'!E452</f>
        <v>1</v>
      </c>
      <c r="F254" s="947">
        <f>'Planteamiento Técnico'!F452</f>
        <v>0</v>
      </c>
      <c r="G254" s="935">
        <f t="shared" si="15"/>
        <v>0</v>
      </c>
      <c r="H254" s="921"/>
      <c r="I254" s="11">
        <f t="shared" si="16"/>
        <v>0</v>
      </c>
    </row>
    <row r="255" spans="2:9">
      <c r="B255" s="927" t="str">
        <f>'Planteamiento Técnico'!B453</f>
        <v>Trinche</v>
      </c>
      <c r="C255" s="907" t="s">
        <v>407</v>
      </c>
      <c r="D255" s="907" t="s">
        <v>11</v>
      </c>
      <c r="E255" s="947">
        <f>'Planteamiento Técnico'!E453</f>
        <v>3</v>
      </c>
      <c r="F255" s="947">
        <f>'Planteamiento Técnico'!F453</f>
        <v>0</v>
      </c>
      <c r="G255" s="935">
        <f t="shared" si="15"/>
        <v>0</v>
      </c>
      <c r="H255" s="921"/>
      <c r="I255" s="11">
        <f t="shared" si="16"/>
        <v>0</v>
      </c>
    </row>
    <row r="256" spans="2:9" ht="25.5">
      <c r="B256" s="927" t="str">
        <f>'Planteamiento Técnico'!B454</f>
        <v>Rodillo de compactación manual (Solo para generaciones de 0 - 2 t/día)</v>
      </c>
      <c r="C256" s="907" t="s">
        <v>407</v>
      </c>
      <c r="D256" s="907" t="s">
        <v>11</v>
      </c>
      <c r="E256" s="947">
        <f>'Planteamiento Técnico'!E454</f>
        <v>0</v>
      </c>
      <c r="F256" s="947">
        <f>'Planteamiento Técnico'!F454</f>
        <v>0</v>
      </c>
      <c r="G256" s="935">
        <f t="shared" si="15"/>
        <v>0</v>
      </c>
      <c r="H256" s="921"/>
      <c r="I256" s="11">
        <f t="shared" si="16"/>
        <v>0</v>
      </c>
    </row>
    <row r="257" spans="2:9">
      <c r="B257" s="1899" t="s">
        <v>10</v>
      </c>
      <c r="C257" s="1899"/>
      <c r="D257" s="1899"/>
      <c r="E257" s="929">
        <f>SUM(E251:E256)</f>
        <v>12</v>
      </c>
      <c r="F257" s="928"/>
      <c r="G257" s="929"/>
      <c r="H257" s="918"/>
      <c r="I257" s="930">
        <f>SUM(I251:I256)</f>
        <v>0</v>
      </c>
    </row>
    <row r="258" spans="2:9">
      <c r="B258" s="931" t="s">
        <v>2296</v>
      </c>
      <c r="C258" s="907"/>
      <c r="D258" s="907"/>
      <c r="E258" s="935"/>
      <c r="F258" s="935"/>
      <c r="G258" s="935"/>
      <c r="H258" s="918"/>
      <c r="I258" s="935"/>
    </row>
    <row r="259" spans="2:9">
      <c r="B259" s="934" t="str">
        <f>'Planteamiento Técnico'!B503</f>
        <v>Picos</v>
      </c>
      <c r="C259" s="907" t="s">
        <v>407</v>
      </c>
      <c r="D259" s="907" t="s">
        <v>11</v>
      </c>
      <c r="E259" s="935">
        <f>'Planteamiento Técnico'!E503</f>
        <v>4</v>
      </c>
      <c r="F259" s="935">
        <f>'Planteamiento Técnico'!F503</f>
        <v>0</v>
      </c>
      <c r="G259" s="935">
        <f>E259*F259</f>
        <v>0</v>
      </c>
      <c r="H259" s="921"/>
      <c r="I259" s="11">
        <f>G259*H259</f>
        <v>0</v>
      </c>
    </row>
    <row r="260" spans="2:9">
      <c r="B260" s="934" t="str">
        <f>'Planteamiento Técnico'!B504</f>
        <v>Lampas</v>
      </c>
      <c r="C260" s="907" t="s">
        <v>407</v>
      </c>
      <c r="D260" s="907" t="s">
        <v>11</v>
      </c>
      <c r="E260" s="935">
        <f>'Planteamiento Técnico'!E504</f>
        <v>0</v>
      </c>
      <c r="F260" s="935">
        <f>'Planteamiento Técnico'!F504</f>
        <v>0</v>
      </c>
      <c r="G260" s="935">
        <f>E260*F260</f>
        <v>0</v>
      </c>
      <c r="H260" s="921"/>
      <c r="I260" s="11">
        <f>G260*H260</f>
        <v>0</v>
      </c>
    </row>
    <row r="261" spans="2:9">
      <c r="B261" s="934" t="str">
        <f>'Planteamiento Técnico'!B505</f>
        <v xml:space="preserve">Carretilla de construcción </v>
      </c>
      <c r="C261" s="907" t="s">
        <v>407</v>
      </c>
      <c r="D261" s="907" t="s">
        <v>11</v>
      </c>
      <c r="E261" s="935">
        <f>'Planteamiento Técnico'!E505</f>
        <v>0</v>
      </c>
      <c r="F261" s="935">
        <f>'Planteamiento Técnico'!F505</f>
        <v>0</v>
      </c>
      <c r="G261" s="935">
        <f>E261*F261</f>
        <v>0</v>
      </c>
      <c r="H261" s="921"/>
      <c r="I261" s="11">
        <f>G261*H261</f>
        <v>0</v>
      </c>
    </row>
    <row r="262" spans="2:9">
      <c r="B262" s="934" t="str">
        <f>'Planteamiento Técnico'!B506</f>
        <v>Rastrillo metálico</v>
      </c>
      <c r="C262" s="907" t="s">
        <v>407</v>
      </c>
      <c r="D262" s="907" t="s">
        <v>11</v>
      </c>
      <c r="E262" s="935">
        <f>'Planteamiento Técnico'!E506</f>
        <v>0</v>
      </c>
      <c r="F262" s="935">
        <f>'Planteamiento Técnico'!F506</f>
        <v>0</v>
      </c>
      <c r="G262" s="935">
        <f>E262*F262</f>
        <v>0</v>
      </c>
      <c r="H262" s="921"/>
      <c r="I262" s="11">
        <f>G262*H262</f>
        <v>0</v>
      </c>
    </row>
    <row r="263" spans="2:9">
      <c r="B263" s="934" t="str">
        <f>'Planteamiento Técnico'!B507</f>
        <v>Trinche</v>
      </c>
      <c r="C263" s="907" t="s">
        <v>407</v>
      </c>
      <c r="D263" s="907" t="s">
        <v>11</v>
      </c>
      <c r="E263" s="935">
        <f>'Planteamiento Técnico'!E507</f>
        <v>0</v>
      </c>
      <c r="F263" s="935">
        <f>'Planteamiento Técnico'!F507</f>
        <v>0</v>
      </c>
      <c r="G263" s="935">
        <f>E263*F263</f>
        <v>0</v>
      </c>
      <c r="H263" s="921"/>
      <c r="I263" s="11">
        <f>G263*H263</f>
        <v>0</v>
      </c>
    </row>
    <row r="264" spans="2:9">
      <c r="B264" s="1899" t="s">
        <v>10</v>
      </c>
      <c r="C264" s="1899"/>
      <c r="D264" s="1899"/>
      <c r="E264" s="929">
        <f>SUM(E259:E263)</f>
        <v>4</v>
      </c>
      <c r="F264" s="928"/>
      <c r="G264" s="928"/>
      <c r="H264" s="918"/>
      <c r="I264" s="930">
        <f>SUM(I259:I263)</f>
        <v>0</v>
      </c>
    </row>
    <row r="265" spans="2:9">
      <c r="B265" s="903" t="s">
        <v>2297</v>
      </c>
      <c r="C265" s="907"/>
      <c r="D265" s="907"/>
      <c r="E265" s="935"/>
      <c r="F265" s="935"/>
      <c r="G265" s="935"/>
      <c r="H265" s="918"/>
      <c r="I265" s="935"/>
    </row>
    <row r="266" spans="2:9">
      <c r="B266" s="934" t="str">
        <f>'Planteamiento Técnico'!B560</f>
        <v>Picos</v>
      </c>
      <c r="C266" s="907" t="s">
        <v>407</v>
      </c>
      <c r="D266" s="907" t="s">
        <v>11</v>
      </c>
      <c r="E266" s="935">
        <f>'Planteamiento Técnico'!E560</f>
        <v>12</v>
      </c>
      <c r="F266" s="935">
        <f>'Planteamiento Técnico'!F560</f>
        <v>0</v>
      </c>
      <c r="G266" s="935">
        <f>E266*F266</f>
        <v>0</v>
      </c>
      <c r="H266" s="921"/>
      <c r="I266" s="11">
        <f>G266*H266</f>
        <v>0</v>
      </c>
    </row>
    <row r="267" spans="2:9">
      <c r="B267" s="934" t="str">
        <f>'Planteamiento Técnico'!B561</f>
        <v>Lampas</v>
      </c>
      <c r="C267" s="907" t="s">
        <v>407</v>
      </c>
      <c r="D267" s="907" t="s">
        <v>11</v>
      </c>
      <c r="E267" s="935">
        <f>'Planteamiento Técnico'!E561</f>
        <v>0</v>
      </c>
      <c r="F267" s="935">
        <f>'Planteamiento Técnico'!F561</f>
        <v>0</v>
      </c>
      <c r="G267" s="935">
        <f>E267*F267</f>
        <v>0</v>
      </c>
      <c r="H267" s="921"/>
      <c r="I267" s="11">
        <f>G267*H267</f>
        <v>0</v>
      </c>
    </row>
    <row r="268" spans="2:9">
      <c r="B268" s="934" t="str">
        <f>'Planteamiento Técnico'!B562</f>
        <v xml:space="preserve">Carretilla de construcción </v>
      </c>
      <c r="C268" s="907" t="s">
        <v>407</v>
      </c>
      <c r="D268" s="907" t="s">
        <v>11</v>
      </c>
      <c r="E268" s="935">
        <f>'Planteamiento Técnico'!E562</f>
        <v>0</v>
      </c>
      <c r="F268" s="935">
        <f>'Planteamiento Técnico'!F562</f>
        <v>0</v>
      </c>
      <c r="G268" s="935">
        <f>E268*F268</f>
        <v>0</v>
      </c>
      <c r="H268" s="921"/>
      <c r="I268" s="11">
        <f>G268*H268</f>
        <v>0</v>
      </c>
    </row>
    <row r="269" spans="2:9">
      <c r="B269" s="934" t="str">
        <f>'Planteamiento Técnico'!B563</f>
        <v>Rastrillo metálico</v>
      </c>
      <c r="C269" s="907" t="s">
        <v>407</v>
      </c>
      <c r="D269" s="907" t="s">
        <v>11</v>
      </c>
      <c r="E269" s="935">
        <f>'Planteamiento Técnico'!E563</f>
        <v>0</v>
      </c>
      <c r="F269" s="935">
        <f>'Planteamiento Técnico'!F563</f>
        <v>0</v>
      </c>
      <c r="G269" s="935">
        <f>E269*F269</f>
        <v>0</v>
      </c>
      <c r="H269" s="921"/>
      <c r="I269" s="11">
        <f>G269*H269</f>
        <v>0</v>
      </c>
    </row>
    <row r="270" spans="2:9">
      <c r="B270" s="934" t="str">
        <f>'Planteamiento Técnico'!B564</f>
        <v>Trinche</v>
      </c>
      <c r="C270" s="907" t="s">
        <v>407</v>
      </c>
      <c r="D270" s="907" t="s">
        <v>11</v>
      </c>
      <c r="E270" s="935">
        <f>'Planteamiento Técnico'!E564</f>
        <v>0</v>
      </c>
      <c r="F270" s="935">
        <f>'Planteamiento Técnico'!F564</f>
        <v>0</v>
      </c>
      <c r="G270" s="935">
        <f>E270*F270</f>
        <v>0</v>
      </c>
      <c r="H270" s="921"/>
      <c r="I270" s="11">
        <f>G270*H270</f>
        <v>0</v>
      </c>
    </row>
    <row r="271" spans="2:9">
      <c r="B271" s="1899" t="s">
        <v>10</v>
      </c>
      <c r="C271" s="1899"/>
      <c r="D271" s="1899"/>
      <c r="E271" s="929">
        <f>SUM(E266:E270)</f>
        <v>12</v>
      </c>
      <c r="F271" s="928"/>
      <c r="G271" s="928"/>
      <c r="H271" s="918"/>
      <c r="I271" s="930">
        <f>SUM(I266:I270)</f>
        <v>0</v>
      </c>
    </row>
    <row r="272" spans="2:9">
      <c r="B272" s="1897" t="s">
        <v>2303</v>
      </c>
      <c r="C272" s="1898"/>
      <c r="D272" s="1898"/>
      <c r="E272" s="944"/>
      <c r="F272" s="948">
        <f>F266+F259+F251</f>
        <v>0</v>
      </c>
      <c r="G272" s="945"/>
      <c r="H272" s="946"/>
      <c r="I272" s="942">
        <f>I271+I264+I257</f>
        <v>0</v>
      </c>
    </row>
    <row r="273" spans="2:9">
      <c r="B273" s="903" t="s">
        <v>2298</v>
      </c>
      <c r="C273" s="907"/>
      <c r="D273" s="932"/>
      <c r="E273" s="933"/>
      <c r="F273" s="933"/>
      <c r="G273" s="933"/>
      <c r="H273" s="918"/>
      <c r="I273" s="933"/>
    </row>
    <row r="274" spans="2:9">
      <c r="B274" s="913" t="s">
        <v>216</v>
      </c>
      <c r="C274" s="907" t="s">
        <v>407</v>
      </c>
      <c r="D274" s="907" t="s">
        <v>11</v>
      </c>
      <c r="E274" s="935">
        <f>'Planteamiento Técnico'!E467</f>
        <v>2</v>
      </c>
      <c r="F274" s="935">
        <f>'Planteamiento Técnico'!F467</f>
        <v>0</v>
      </c>
      <c r="G274" s="935">
        <f t="shared" ref="G274:G284" si="17">E274*F274</f>
        <v>0</v>
      </c>
      <c r="H274" s="921"/>
      <c r="I274" s="11">
        <f t="shared" ref="I274:I284" si="18">G274*H274</f>
        <v>0</v>
      </c>
    </row>
    <row r="275" spans="2:9">
      <c r="B275" s="913" t="s">
        <v>217</v>
      </c>
      <c r="C275" s="907" t="s">
        <v>407</v>
      </c>
      <c r="D275" s="907" t="s">
        <v>11</v>
      </c>
      <c r="E275" s="935">
        <f>'Planteamiento Técnico'!E468</f>
        <v>2</v>
      </c>
      <c r="F275" s="935">
        <f>'Planteamiento Técnico'!F468</f>
        <v>0</v>
      </c>
      <c r="G275" s="935">
        <f t="shared" si="17"/>
        <v>0</v>
      </c>
      <c r="H275" s="921"/>
      <c r="I275" s="11">
        <f t="shared" si="18"/>
        <v>0</v>
      </c>
    </row>
    <row r="276" spans="2:9">
      <c r="B276" s="913" t="s">
        <v>218</v>
      </c>
      <c r="C276" s="907" t="s">
        <v>407</v>
      </c>
      <c r="D276" s="907" t="s">
        <v>11</v>
      </c>
      <c r="E276" s="935">
        <f>'Planteamiento Técnico'!E469</f>
        <v>3</v>
      </c>
      <c r="F276" s="935">
        <f>'Planteamiento Técnico'!F469</f>
        <v>0</v>
      </c>
      <c r="G276" s="935">
        <f t="shared" si="17"/>
        <v>0</v>
      </c>
      <c r="H276" s="921"/>
      <c r="I276" s="11">
        <f t="shared" si="18"/>
        <v>0</v>
      </c>
    </row>
    <row r="277" spans="2:9">
      <c r="B277" s="913" t="s">
        <v>2118</v>
      </c>
      <c r="C277" s="907" t="s">
        <v>407</v>
      </c>
      <c r="D277" s="907" t="s">
        <v>11</v>
      </c>
      <c r="E277" s="935">
        <f>'Planteamiento Técnico'!E470</f>
        <v>1</v>
      </c>
      <c r="F277" s="935">
        <f>'Planteamiento Técnico'!F470</f>
        <v>0</v>
      </c>
      <c r="G277" s="935">
        <f t="shared" si="17"/>
        <v>0</v>
      </c>
      <c r="H277" s="921"/>
      <c r="I277" s="11">
        <f t="shared" si="18"/>
        <v>0</v>
      </c>
    </row>
    <row r="278" spans="2:9">
      <c r="B278" s="913" t="s">
        <v>244</v>
      </c>
      <c r="C278" s="907" t="s">
        <v>407</v>
      </c>
      <c r="D278" s="907" t="s">
        <v>11</v>
      </c>
      <c r="E278" s="935">
        <f>'Planteamiento Técnico'!E471</f>
        <v>2</v>
      </c>
      <c r="F278" s="935">
        <f>'Planteamiento Técnico'!F471</f>
        <v>0</v>
      </c>
      <c r="G278" s="935">
        <f t="shared" si="17"/>
        <v>0</v>
      </c>
      <c r="H278" s="921"/>
      <c r="I278" s="11">
        <f t="shared" si="18"/>
        <v>0</v>
      </c>
    </row>
    <row r="279" spans="2:9">
      <c r="B279" s="913" t="s">
        <v>268</v>
      </c>
      <c r="C279" s="907" t="s">
        <v>407</v>
      </c>
      <c r="D279" s="907" t="s">
        <v>11</v>
      </c>
      <c r="E279" s="935">
        <f>'Planteamiento Técnico'!E472</f>
        <v>1</v>
      </c>
      <c r="F279" s="935">
        <f>'Planteamiento Técnico'!F472</f>
        <v>0</v>
      </c>
      <c r="G279" s="935">
        <f t="shared" si="17"/>
        <v>0</v>
      </c>
      <c r="H279" s="921"/>
      <c r="I279" s="11">
        <f t="shared" si="18"/>
        <v>0</v>
      </c>
    </row>
    <row r="280" spans="2:9">
      <c r="B280" s="913" t="s">
        <v>245</v>
      </c>
      <c r="C280" s="907" t="s">
        <v>407</v>
      </c>
      <c r="D280" s="907" t="s">
        <v>11</v>
      </c>
      <c r="E280" s="935">
        <f>'Planteamiento Técnico'!E473</f>
        <v>2</v>
      </c>
      <c r="F280" s="935">
        <f>'Planteamiento Técnico'!F473</f>
        <v>0</v>
      </c>
      <c r="G280" s="935">
        <f t="shared" si="17"/>
        <v>0</v>
      </c>
      <c r="H280" s="921"/>
      <c r="I280" s="11">
        <f t="shared" si="18"/>
        <v>0</v>
      </c>
    </row>
    <row r="281" spans="2:9">
      <c r="B281" s="913" t="s">
        <v>232</v>
      </c>
      <c r="C281" s="907" t="s">
        <v>407</v>
      </c>
      <c r="D281" s="907" t="s">
        <v>11</v>
      </c>
      <c r="E281" s="935">
        <f>'Planteamiento Técnico'!E474</f>
        <v>6</v>
      </c>
      <c r="F281" s="935">
        <f>'Planteamiento Técnico'!F474</f>
        <v>0</v>
      </c>
      <c r="G281" s="935">
        <f t="shared" si="17"/>
        <v>0</v>
      </c>
      <c r="H281" s="921"/>
      <c r="I281" s="11">
        <f t="shared" si="18"/>
        <v>0</v>
      </c>
    </row>
    <row r="282" spans="2:9">
      <c r="B282" s="913" t="s">
        <v>257</v>
      </c>
      <c r="C282" s="907" t="s">
        <v>407</v>
      </c>
      <c r="D282" s="907" t="s">
        <v>11</v>
      </c>
      <c r="E282" s="935">
        <f>'Planteamiento Técnico'!E475</f>
        <v>3</v>
      </c>
      <c r="F282" s="935">
        <f>'Planteamiento Técnico'!F475</f>
        <v>0</v>
      </c>
      <c r="G282" s="935">
        <f t="shared" si="17"/>
        <v>0</v>
      </c>
      <c r="H282" s="921"/>
      <c r="I282" s="11">
        <f t="shared" si="18"/>
        <v>0</v>
      </c>
    </row>
    <row r="283" spans="2:9">
      <c r="B283" s="913" t="s">
        <v>2120</v>
      </c>
      <c r="C283" s="907" t="s">
        <v>407</v>
      </c>
      <c r="D283" s="907" t="s">
        <v>11</v>
      </c>
      <c r="E283" s="935">
        <f>'Planteamiento Técnico'!E476</f>
        <v>12</v>
      </c>
      <c r="F283" s="935">
        <f>'Planteamiento Técnico'!F476</f>
        <v>0</v>
      </c>
      <c r="G283" s="935">
        <f t="shared" si="17"/>
        <v>0</v>
      </c>
      <c r="H283" s="921"/>
      <c r="I283" s="11">
        <f t="shared" si="18"/>
        <v>0</v>
      </c>
    </row>
    <row r="284" spans="2:9" ht="12" customHeight="1">
      <c r="B284" s="913" t="s">
        <v>2092</v>
      </c>
      <c r="C284" s="907" t="s">
        <v>407</v>
      </c>
      <c r="D284" s="907" t="s">
        <v>11</v>
      </c>
      <c r="E284" s="935">
        <f>'Planteamiento Técnico'!E477</f>
        <v>2</v>
      </c>
      <c r="F284" s="935">
        <f>'Planteamiento Técnico'!F477</f>
        <v>0</v>
      </c>
      <c r="G284" s="935">
        <f t="shared" si="17"/>
        <v>0</v>
      </c>
      <c r="H284" s="921"/>
      <c r="I284" s="11">
        <f t="shared" si="18"/>
        <v>0</v>
      </c>
    </row>
    <row r="285" spans="2:9">
      <c r="B285" s="1899" t="s">
        <v>10</v>
      </c>
      <c r="C285" s="1899"/>
      <c r="D285" s="1899"/>
      <c r="E285" s="929">
        <f>SUM(E274:E284)</f>
        <v>36</v>
      </c>
      <c r="F285" s="928"/>
      <c r="G285" s="928"/>
      <c r="H285" s="918"/>
      <c r="I285" s="930">
        <f>SUM(I274:I284)</f>
        <v>0</v>
      </c>
    </row>
    <row r="286" spans="2:9">
      <c r="B286" s="903" t="s">
        <v>2299</v>
      </c>
      <c r="C286" s="907"/>
      <c r="D286" s="932"/>
      <c r="E286" s="933"/>
      <c r="F286" s="933"/>
      <c r="G286" s="933"/>
      <c r="H286" s="918"/>
      <c r="I286" s="933"/>
    </row>
    <row r="287" spans="2:9">
      <c r="B287" s="906" t="str">
        <f>'Planteamiento Técnico'!B521</f>
        <v>Camisaco</v>
      </c>
      <c r="C287" s="907" t="s">
        <v>407</v>
      </c>
      <c r="D287" s="907" t="s">
        <v>11</v>
      </c>
      <c r="E287" s="947">
        <f>'Planteamiento Técnico'!E521</f>
        <v>2</v>
      </c>
      <c r="F287" s="947">
        <f>'Planteamiento Técnico'!F521</f>
        <v>0</v>
      </c>
      <c r="G287" s="935">
        <f t="shared" ref="G287:G297" si="19">E287*F287</f>
        <v>0</v>
      </c>
      <c r="H287" s="921"/>
      <c r="I287" s="11">
        <f t="shared" ref="I287:I297" si="20">G287*H287</f>
        <v>0</v>
      </c>
    </row>
    <row r="288" spans="2:9">
      <c r="B288" s="906" t="str">
        <f>'Planteamiento Técnico'!B522</f>
        <v xml:space="preserve">Pantalón de drill </v>
      </c>
      <c r="C288" s="907" t="s">
        <v>407</v>
      </c>
      <c r="D288" s="907" t="s">
        <v>11</v>
      </c>
      <c r="E288" s="947">
        <f>'Planteamiento Técnico'!E522</f>
        <v>2</v>
      </c>
      <c r="F288" s="947">
        <f>'Planteamiento Técnico'!F522</f>
        <v>0</v>
      </c>
      <c r="G288" s="935">
        <f t="shared" si="19"/>
        <v>0</v>
      </c>
      <c r="H288" s="921"/>
      <c r="I288" s="11">
        <f t="shared" si="20"/>
        <v>0</v>
      </c>
    </row>
    <row r="289" spans="2:9">
      <c r="B289" s="906" t="str">
        <f>'Planteamiento Técnico'!B523</f>
        <v xml:space="preserve">Polos </v>
      </c>
      <c r="C289" s="907" t="s">
        <v>407</v>
      </c>
      <c r="D289" s="907" t="s">
        <v>11</v>
      </c>
      <c r="E289" s="947">
        <f>'Planteamiento Técnico'!E523</f>
        <v>3</v>
      </c>
      <c r="F289" s="947">
        <f>'Planteamiento Técnico'!F523</f>
        <v>0</v>
      </c>
      <c r="G289" s="935">
        <f t="shared" si="19"/>
        <v>0</v>
      </c>
      <c r="H289" s="921"/>
      <c r="I289" s="11">
        <f>G289*H289</f>
        <v>0</v>
      </c>
    </row>
    <row r="290" spans="2:9">
      <c r="B290" s="906" t="str">
        <f>'Planteamiento Técnico'!B524</f>
        <v>Casco de seguridad</v>
      </c>
      <c r="C290" s="907" t="s">
        <v>407</v>
      </c>
      <c r="D290" s="907" t="s">
        <v>11</v>
      </c>
      <c r="E290" s="947">
        <f>'Planteamiento Técnico'!E524</f>
        <v>1</v>
      </c>
      <c r="F290" s="947">
        <f>'Planteamiento Técnico'!F524</f>
        <v>0</v>
      </c>
      <c r="G290" s="935">
        <f t="shared" si="19"/>
        <v>0</v>
      </c>
      <c r="H290" s="921"/>
      <c r="I290" s="11">
        <f t="shared" si="20"/>
        <v>0</v>
      </c>
    </row>
    <row r="291" spans="2:9">
      <c r="B291" s="906" t="str">
        <f>'Planteamiento Técnico'!B525</f>
        <v>Gorro taslan</v>
      </c>
      <c r="C291" s="907" t="s">
        <v>407</v>
      </c>
      <c r="D291" s="907" t="s">
        <v>11</v>
      </c>
      <c r="E291" s="947">
        <f>'Planteamiento Técnico'!E525</f>
        <v>2</v>
      </c>
      <c r="F291" s="947">
        <f>'Planteamiento Técnico'!F525</f>
        <v>0</v>
      </c>
      <c r="G291" s="935">
        <f t="shared" si="19"/>
        <v>0</v>
      </c>
      <c r="H291" s="921"/>
      <c r="I291" s="11">
        <f t="shared" si="20"/>
        <v>0</v>
      </c>
    </row>
    <row r="292" spans="2:9">
      <c r="B292" s="906" t="str">
        <f>'Planteamiento Técnico'!B526</f>
        <v>Poncho impermeable</v>
      </c>
      <c r="C292" s="907" t="s">
        <v>407</v>
      </c>
      <c r="D292" s="907" t="s">
        <v>11</v>
      </c>
      <c r="E292" s="947">
        <f>'Planteamiento Técnico'!E526</f>
        <v>1</v>
      </c>
      <c r="F292" s="947">
        <f>'Planteamiento Técnico'!F526</f>
        <v>0</v>
      </c>
      <c r="G292" s="935">
        <f t="shared" si="19"/>
        <v>0</v>
      </c>
      <c r="H292" s="921"/>
      <c r="I292" s="11">
        <f t="shared" si="20"/>
        <v>0</v>
      </c>
    </row>
    <row r="293" spans="2:9">
      <c r="B293" s="906" t="str">
        <f>'Planteamiento Técnico'!B527</f>
        <v xml:space="preserve">Lentes </v>
      </c>
      <c r="C293" s="907" t="s">
        <v>407</v>
      </c>
      <c r="D293" s="907" t="s">
        <v>11</v>
      </c>
      <c r="E293" s="947">
        <f>'Planteamiento Técnico'!E527</f>
        <v>2</v>
      </c>
      <c r="F293" s="947">
        <f>'Planteamiento Técnico'!F527</f>
        <v>0</v>
      </c>
      <c r="G293" s="935">
        <f t="shared" si="19"/>
        <v>0</v>
      </c>
      <c r="H293" s="921"/>
      <c r="I293" s="11">
        <f t="shared" si="20"/>
        <v>0</v>
      </c>
    </row>
    <row r="294" spans="2:9">
      <c r="B294" s="906" t="str">
        <f>'Planteamiento Técnico'!B528</f>
        <v>Guantes de cuero reforzados</v>
      </c>
      <c r="C294" s="907" t="s">
        <v>407</v>
      </c>
      <c r="D294" s="907" t="s">
        <v>11</v>
      </c>
      <c r="E294" s="947">
        <f>'Planteamiento Técnico'!E528</f>
        <v>6</v>
      </c>
      <c r="F294" s="947">
        <f>'Planteamiento Técnico'!F528</f>
        <v>0</v>
      </c>
      <c r="G294" s="935">
        <f t="shared" si="19"/>
        <v>0</v>
      </c>
      <c r="H294" s="921"/>
      <c r="I294" s="11">
        <f t="shared" si="20"/>
        <v>0</v>
      </c>
    </row>
    <row r="295" spans="2:9">
      <c r="B295" s="906" t="str">
        <f>'Planteamiento Técnico'!B529</f>
        <v>Mascarilla de doble filtro contra polvo y gases</v>
      </c>
      <c r="C295" s="907" t="s">
        <v>407</v>
      </c>
      <c r="D295" s="907" t="s">
        <v>11</v>
      </c>
      <c r="E295" s="947">
        <f>'Planteamiento Técnico'!E529</f>
        <v>3</v>
      </c>
      <c r="F295" s="947">
        <f>'Planteamiento Técnico'!F529</f>
        <v>0</v>
      </c>
      <c r="G295" s="935">
        <f t="shared" si="19"/>
        <v>0</v>
      </c>
      <c r="H295" s="921"/>
      <c r="I295" s="11">
        <f t="shared" si="20"/>
        <v>0</v>
      </c>
    </row>
    <row r="296" spans="2:9">
      <c r="B296" s="906" t="str">
        <f>'Planteamiento Técnico'!B530</f>
        <v>Filtros para mascarilla</v>
      </c>
      <c r="C296" s="907" t="s">
        <v>407</v>
      </c>
      <c r="D296" s="907" t="s">
        <v>11</v>
      </c>
      <c r="E296" s="947">
        <f>'Planteamiento Técnico'!E530</f>
        <v>12</v>
      </c>
      <c r="F296" s="947">
        <f>'Planteamiento Técnico'!F530</f>
        <v>0</v>
      </c>
      <c r="G296" s="935">
        <f t="shared" si="19"/>
        <v>0</v>
      </c>
      <c r="H296" s="921"/>
      <c r="I296" s="11">
        <f t="shared" si="20"/>
        <v>0</v>
      </c>
    </row>
    <row r="297" spans="2:9">
      <c r="B297" s="906" t="str">
        <f>'Planteamiento Técnico'!B531</f>
        <v>Botín de cuero punta acero</v>
      </c>
      <c r="C297" s="907" t="s">
        <v>407</v>
      </c>
      <c r="D297" s="907" t="s">
        <v>11</v>
      </c>
      <c r="E297" s="947">
        <f>'Planteamiento Técnico'!E531</f>
        <v>2</v>
      </c>
      <c r="F297" s="947">
        <f>'Planteamiento Técnico'!F531</f>
        <v>0</v>
      </c>
      <c r="G297" s="935">
        <f t="shared" si="19"/>
        <v>0</v>
      </c>
      <c r="H297" s="921"/>
      <c r="I297" s="11">
        <f t="shared" si="20"/>
        <v>0</v>
      </c>
    </row>
    <row r="298" spans="2:9">
      <c r="B298" s="1899" t="s">
        <v>10</v>
      </c>
      <c r="C298" s="1899"/>
      <c r="D298" s="1899"/>
      <c r="E298" s="929">
        <f>SUM(E287:E297)</f>
        <v>36</v>
      </c>
      <c r="F298" s="928"/>
      <c r="G298" s="928"/>
      <c r="H298" s="918"/>
      <c r="I298" s="930">
        <f>SUM(I287:I297)</f>
        <v>0</v>
      </c>
    </row>
    <row r="299" spans="2:9">
      <c r="B299" s="903" t="s">
        <v>2300</v>
      </c>
      <c r="C299" s="907"/>
      <c r="D299" s="932"/>
      <c r="E299" s="933"/>
      <c r="F299" s="933"/>
      <c r="G299" s="933"/>
      <c r="H299" s="918"/>
      <c r="I299" s="933"/>
    </row>
    <row r="300" spans="2:9">
      <c r="B300" s="913" t="str">
        <f>'Planteamiento Técnico'!B578</f>
        <v>Camisaco</v>
      </c>
      <c r="C300" s="907" t="s">
        <v>407</v>
      </c>
      <c r="D300" s="907" t="s">
        <v>11</v>
      </c>
      <c r="E300" s="935">
        <f>'Planteamiento Técnico'!E578</f>
        <v>2</v>
      </c>
      <c r="F300" s="935">
        <f>'Planteamiento Técnico'!F578</f>
        <v>0</v>
      </c>
      <c r="G300" s="935">
        <f>E300*F300</f>
        <v>0</v>
      </c>
      <c r="H300" s="921"/>
      <c r="I300" s="11">
        <f t="shared" ref="I300:I310" si="21">G300*H300</f>
        <v>0</v>
      </c>
    </row>
    <row r="301" spans="2:9">
      <c r="B301" s="913" t="str">
        <f>'Planteamiento Técnico'!B579</f>
        <v xml:space="preserve">Pantalón de drill </v>
      </c>
      <c r="C301" s="907" t="s">
        <v>407</v>
      </c>
      <c r="D301" s="907" t="s">
        <v>11</v>
      </c>
      <c r="E301" s="935">
        <f>'Planteamiento Técnico'!E579</f>
        <v>2</v>
      </c>
      <c r="F301" s="935">
        <f>'Planteamiento Técnico'!F579</f>
        <v>0</v>
      </c>
      <c r="G301" s="935">
        <f t="shared" ref="G301:G310" si="22">E301*F301</f>
        <v>0</v>
      </c>
      <c r="H301" s="921"/>
      <c r="I301" s="11">
        <f t="shared" si="21"/>
        <v>0</v>
      </c>
    </row>
    <row r="302" spans="2:9">
      <c r="B302" s="913" t="str">
        <f>'Planteamiento Técnico'!B580</f>
        <v xml:space="preserve">Polos </v>
      </c>
      <c r="C302" s="907" t="s">
        <v>407</v>
      </c>
      <c r="D302" s="907" t="s">
        <v>11</v>
      </c>
      <c r="E302" s="935">
        <f>'Planteamiento Técnico'!E580</f>
        <v>3</v>
      </c>
      <c r="F302" s="935">
        <f>'Planteamiento Técnico'!F580</f>
        <v>0</v>
      </c>
      <c r="G302" s="935">
        <f t="shared" si="22"/>
        <v>0</v>
      </c>
      <c r="H302" s="921"/>
      <c r="I302" s="11">
        <f t="shared" si="21"/>
        <v>0</v>
      </c>
    </row>
    <row r="303" spans="2:9">
      <c r="B303" s="913" t="str">
        <f>'Planteamiento Técnico'!B581</f>
        <v>Casco de seguridad</v>
      </c>
      <c r="C303" s="907" t="s">
        <v>407</v>
      </c>
      <c r="D303" s="907" t="s">
        <v>11</v>
      </c>
      <c r="E303" s="935">
        <f>'Planteamiento Técnico'!E581</f>
        <v>1</v>
      </c>
      <c r="F303" s="935">
        <f>'Planteamiento Técnico'!F581</f>
        <v>0</v>
      </c>
      <c r="G303" s="935">
        <f t="shared" si="22"/>
        <v>0</v>
      </c>
      <c r="H303" s="921"/>
      <c r="I303" s="11">
        <f t="shared" si="21"/>
        <v>0</v>
      </c>
    </row>
    <row r="304" spans="2:9">
      <c r="B304" s="913" t="str">
        <f>'Planteamiento Técnico'!B582</f>
        <v>Gorro taslan</v>
      </c>
      <c r="C304" s="907" t="s">
        <v>407</v>
      </c>
      <c r="D304" s="907" t="s">
        <v>11</v>
      </c>
      <c r="E304" s="935">
        <f>'Planteamiento Técnico'!E582</f>
        <v>2</v>
      </c>
      <c r="F304" s="935">
        <f>'Planteamiento Técnico'!F582</f>
        <v>0</v>
      </c>
      <c r="G304" s="935">
        <f t="shared" si="22"/>
        <v>0</v>
      </c>
      <c r="H304" s="921"/>
      <c r="I304" s="11">
        <f t="shared" si="21"/>
        <v>0</v>
      </c>
    </row>
    <row r="305" spans="2:9">
      <c r="B305" s="913" t="str">
        <f>'Planteamiento Técnico'!B583</f>
        <v>Poncho impermeable</v>
      </c>
      <c r="C305" s="907" t="s">
        <v>407</v>
      </c>
      <c r="D305" s="907" t="s">
        <v>11</v>
      </c>
      <c r="E305" s="935">
        <f>'Planteamiento Técnico'!E583</f>
        <v>1</v>
      </c>
      <c r="F305" s="935">
        <f>'Planteamiento Técnico'!F583</f>
        <v>0</v>
      </c>
      <c r="G305" s="935">
        <f t="shared" si="22"/>
        <v>0</v>
      </c>
      <c r="H305" s="921"/>
      <c r="I305" s="11">
        <f t="shared" si="21"/>
        <v>0</v>
      </c>
    </row>
    <row r="306" spans="2:9">
      <c r="B306" s="913" t="str">
        <f>'Planteamiento Técnico'!B584</f>
        <v xml:space="preserve">Lentes </v>
      </c>
      <c r="C306" s="907" t="s">
        <v>407</v>
      </c>
      <c r="D306" s="907" t="s">
        <v>11</v>
      </c>
      <c r="E306" s="935">
        <f>'Planteamiento Técnico'!E584</f>
        <v>2</v>
      </c>
      <c r="F306" s="935">
        <f>'Planteamiento Técnico'!F584</f>
        <v>0</v>
      </c>
      <c r="G306" s="935">
        <f t="shared" si="22"/>
        <v>0</v>
      </c>
      <c r="H306" s="921"/>
      <c r="I306" s="11">
        <f t="shared" si="21"/>
        <v>0</v>
      </c>
    </row>
    <row r="307" spans="2:9">
      <c r="B307" s="913" t="str">
        <f>'Planteamiento Técnico'!B585</f>
        <v>Guantes de cuero reforzados</v>
      </c>
      <c r="C307" s="907" t="s">
        <v>407</v>
      </c>
      <c r="D307" s="907" t="s">
        <v>11</v>
      </c>
      <c r="E307" s="935">
        <f>'Planteamiento Técnico'!E585</f>
        <v>6</v>
      </c>
      <c r="F307" s="935">
        <f>'Planteamiento Técnico'!F585</f>
        <v>0</v>
      </c>
      <c r="G307" s="935">
        <f t="shared" si="22"/>
        <v>0</v>
      </c>
      <c r="H307" s="921"/>
      <c r="I307" s="11">
        <f t="shared" si="21"/>
        <v>0</v>
      </c>
    </row>
    <row r="308" spans="2:9">
      <c r="B308" s="913" t="str">
        <f>'Planteamiento Técnico'!B586</f>
        <v>Mascarilla de doble filtro contra polvo y gases</v>
      </c>
      <c r="C308" s="907" t="s">
        <v>407</v>
      </c>
      <c r="D308" s="907" t="s">
        <v>11</v>
      </c>
      <c r="E308" s="935">
        <f>'Planteamiento Técnico'!E586</f>
        <v>3</v>
      </c>
      <c r="F308" s="935">
        <f>'Planteamiento Técnico'!F586</f>
        <v>0</v>
      </c>
      <c r="G308" s="935">
        <f t="shared" si="22"/>
        <v>0</v>
      </c>
      <c r="H308" s="921"/>
      <c r="I308" s="11">
        <f t="shared" si="21"/>
        <v>0</v>
      </c>
    </row>
    <row r="309" spans="2:9">
      <c r="B309" s="913" t="str">
        <f>'Planteamiento Técnico'!B587</f>
        <v>Filtros para mascarilla</v>
      </c>
      <c r="C309" s="907" t="s">
        <v>407</v>
      </c>
      <c r="D309" s="907" t="s">
        <v>11</v>
      </c>
      <c r="E309" s="935">
        <f>'Planteamiento Técnico'!E587</f>
        <v>12</v>
      </c>
      <c r="F309" s="935">
        <f>'Planteamiento Técnico'!F587</f>
        <v>0</v>
      </c>
      <c r="G309" s="935">
        <f t="shared" si="22"/>
        <v>0</v>
      </c>
      <c r="H309" s="921"/>
      <c r="I309" s="11">
        <f t="shared" si="21"/>
        <v>0</v>
      </c>
    </row>
    <row r="310" spans="2:9" ht="12" customHeight="1">
      <c r="B310" s="913" t="str">
        <f>'Planteamiento Técnico'!B588</f>
        <v>Botín de cuero punta acero</v>
      </c>
      <c r="C310" s="907" t="s">
        <v>407</v>
      </c>
      <c r="D310" s="907" t="s">
        <v>11</v>
      </c>
      <c r="E310" s="935">
        <f>'Planteamiento Técnico'!E588</f>
        <v>2</v>
      </c>
      <c r="F310" s="935">
        <f>'Planteamiento Técnico'!F588</f>
        <v>0</v>
      </c>
      <c r="G310" s="935">
        <f t="shared" si="22"/>
        <v>0</v>
      </c>
      <c r="H310" s="921"/>
      <c r="I310" s="11">
        <f t="shared" si="21"/>
        <v>0</v>
      </c>
    </row>
    <row r="311" spans="2:9">
      <c r="B311" s="1899" t="s">
        <v>10</v>
      </c>
      <c r="C311" s="1899"/>
      <c r="D311" s="1899"/>
      <c r="E311" s="929">
        <f>SUM(E300:E310)</f>
        <v>36</v>
      </c>
      <c r="F311" s="928"/>
      <c r="G311" s="928"/>
      <c r="H311" s="918"/>
      <c r="I311" s="930">
        <f>SUM(I300:I310)</f>
        <v>0</v>
      </c>
    </row>
    <row r="312" spans="2:9">
      <c r="B312" s="1897" t="s">
        <v>2304</v>
      </c>
      <c r="C312" s="1898"/>
      <c r="D312" s="1898"/>
      <c r="E312" s="945"/>
      <c r="F312" s="949">
        <f>F300+F287+F274</f>
        <v>0</v>
      </c>
      <c r="G312" s="945"/>
      <c r="H312" s="946"/>
      <c r="I312" s="942">
        <f>I311+I298+I285</f>
        <v>0</v>
      </c>
    </row>
    <row r="313" spans="2:9">
      <c r="B313" s="931" t="s">
        <v>801</v>
      </c>
      <c r="C313" s="907"/>
      <c r="D313" s="932"/>
      <c r="E313" s="933"/>
      <c r="F313" s="933"/>
      <c r="G313" s="933"/>
      <c r="H313" s="918"/>
      <c r="I313" s="933"/>
    </row>
    <row r="314" spans="2:9">
      <c r="B314" s="934" t="str">
        <f>'Planteamiento Técnico'!B511</f>
        <v xml:space="preserve">Escritorios </v>
      </c>
      <c r="C314" s="907" t="s">
        <v>29</v>
      </c>
      <c r="D314" s="907" t="s">
        <v>11</v>
      </c>
      <c r="E314" s="935">
        <f>'Planteamiento Técnico'!E511</f>
        <v>3</v>
      </c>
      <c r="F314" s="950">
        <f>'Planteamiento Técnico'!F511</f>
        <v>0</v>
      </c>
      <c r="G314" s="935">
        <f t="shared" ref="G314:G319" si="23">E314*F314</f>
        <v>0</v>
      </c>
      <c r="H314" s="921"/>
      <c r="I314" s="11">
        <f t="shared" ref="I314:I319" si="24">G314*H314</f>
        <v>0</v>
      </c>
    </row>
    <row r="315" spans="2:9">
      <c r="B315" s="934" t="str">
        <f>'Planteamiento Técnico'!B512</f>
        <v>Archivador de madera</v>
      </c>
      <c r="C315" s="907" t="s">
        <v>29</v>
      </c>
      <c r="D315" s="907" t="s">
        <v>11</v>
      </c>
      <c r="E315" s="935">
        <f>'Planteamiento Técnico'!E512</f>
        <v>3</v>
      </c>
      <c r="F315" s="950">
        <f>'Planteamiento Técnico'!F512</f>
        <v>0</v>
      </c>
      <c r="G315" s="935">
        <f t="shared" si="23"/>
        <v>0</v>
      </c>
      <c r="H315" s="921"/>
      <c r="I315" s="11">
        <f t="shared" si="24"/>
        <v>0</v>
      </c>
    </row>
    <row r="316" spans="2:9">
      <c r="B316" s="934" t="str">
        <f>'Planteamiento Técnico'!B513</f>
        <v>Pizarra acrílica</v>
      </c>
      <c r="C316" s="907" t="s">
        <v>29</v>
      </c>
      <c r="D316" s="907" t="s">
        <v>11</v>
      </c>
      <c r="E316" s="935">
        <f>'Planteamiento Técnico'!E513</f>
        <v>2</v>
      </c>
      <c r="F316" s="950">
        <f>'Planteamiento Técnico'!F513</f>
        <v>0</v>
      </c>
      <c r="G316" s="935">
        <f t="shared" si="23"/>
        <v>0</v>
      </c>
      <c r="H316" s="921"/>
      <c r="I316" s="11">
        <f t="shared" si="24"/>
        <v>0</v>
      </c>
    </row>
    <row r="317" spans="2:9">
      <c r="B317" s="934" t="str">
        <f>'Planteamiento Técnico'!B514</f>
        <v>Mesa para comedor</v>
      </c>
      <c r="C317" s="907" t="s">
        <v>29</v>
      </c>
      <c r="D317" s="907" t="s">
        <v>11</v>
      </c>
      <c r="E317" s="935">
        <f>'Planteamiento Técnico'!E514</f>
        <v>2</v>
      </c>
      <c r="F317" s="950">
        <f>'Planteamiento Técnico'!F514</f>
        <v>0</v>
      </c>
      <c r="G317" s="935">
        <f t="shared" si="23"/>
        <v>0</v>
      </c>
      <c r="H317" s="921"/>
      <c r="I317" s="11">
        <f t="shared" si="24"/>
        <v>0</v>
      </c>
    </row>
    <row r="318" spans="2:9">
      <c r="B318" s="934" t="str">
        <f>'Planteamiento Técnico'!B515</f>
        <v xml:space="preserve">Sillas de madera </v>
      </c>
      <c r="C318" s="907" t="s">
        <v>29</v>
      </c>
      <c r="D318" s="907" t="s">
        <v>11</v>
      </c>
      <c r="E318" s="935">
        <f>'Planteamiento Técnico'!E515</f>
        <v>2</v>
      </c>
      <c r="F318" s="950">
        <f>'Planteamiento Técnico'!F515</f>
        <v>0</v>
      </c>
      <c r="G318" s="935">
        <f t="shared" si="23"/>
        <v>0</v>
      </c>
      <c r="H318" s="921"/>
      <c r="I318" s="11">
        <f t="shared" si="24"/>
        <v>0</v>
      </c>
    </row>
    <row r="319" spans="2:9">
      <c r="B319" s="934" t="str">
        <f>'Planteamiento Técnico'!B516</f>
        <v>Cocina</v>
      </c>
      <c r="C319" s="907" t="s">
        <v>29</v>
      </c>
      <c r="D319" s="907" t="s">
        <v>11</v>
      </c>
      <c r="E319" s="935">
        <f>'Planteamiento Técnico'!E516</f>
        <v>1</v>
      </c>
      <c r="F319" s="950">
        <f>'Planteamiento Técnico'!F516</f>
        <v>0</v>
      </c>
      <c r="G319" s="935">
        <f t="shared" si="23"/>
        <v>0</v>
      </c>
      <c r="H319" s="921"/>
      <c r="I319" s="11">
        <f t="shared" si="24"/>
        <v>0</v>
      </c>
    </row>
    <row r="320" spans="2:9">
      <c r="B320" s="1905" t="s">
        <v>10</v>
      </c>
      <c r="C320" s="1905"/>
      <c r="D320" s="1905"/>
      <c r="E320" s="951">
        <f>SUM(E314:E319)</f>
        <v>13</v>
      </c>
      <c r="F320" s="952"/>
      <c r="G320" s="952"/>
      <c r="H320" s="953"/>
      <c r="I320" s="942">
        <f>SUM(I314:I319)</f>
        <v>0</v>
      </c>
    </row>
    <row r="321" spans="2:9">
      <c r="B321" s="1899" t="s">
        <v>125</v>
      </c>
      <c r="C321" s="1899"/>
      <c r="D321" s="1899"/>
      <c r="E321" s="1899"/>
      <c r="F321" s="1899"/>
      <c r="G321" s="1899"/>
      <c r="H321" s="1899"/>
      <c r="I321" s="93">
        <f>I320+I312+I272+I249+I237</f>
        <v>0</v>
      </c>
    </row>
    <row r="322" spans="2:9">
      <c r="B322" s="954"/>
      <c r="C322" s="955"/>
      <c r="D322" s="955"/>
      <c r="E322" s="956"/>
      <c r="F322" s="956"/>
      <c r="G322" s="956"/>
      <c r="H322" s="957"/>
      <c r="I322" s="956"/>
    </row>
    <row r="324" spans="2:9">
      <c r="B324" s="1900" t="str">
        <f>FICHA!B277</f>
        <v>Eficiente gestión técnica, administrativa, económica y financiera del servicio de limpieza pública</v>
      </c>
      <c r="C324" s="1900"/>
      <c r="D324" s="1900"/>
      <c r="E324" s="1900"/>
      <c r="F324" s="1900"/>
      <c r="G324" s="1900"/>
      <c r="H324" s="1900"/>
      <c r="I324" s="1900"/>
    </row>
    <row r="325" spans="2:9" ht="25.5" customHeight="1">
      <c r="B325" s="578" t="s">
        <v>608</v>
      </c>
      <c r="C325" s="578" t="s">
        <v>796</v>
      </c>
      <c r="D325" s="578" t="s">
        <v>20</v>
      </c>
      <c r="E325" s="578" t="s">
        <v>23</v>
      </c>
      <c r="F325" s="578" t="s">
        <v>2258</v>
      </c>
      <c r="G325" s="578" t="s">
        <v>2148</v>
      </c>
      <c r="H325" s="900" t="s">
        <v>3242</v>
      </c>
      <c r="I325" s="900" t="s">
        <v>3259</v>
      </c>
    </row>
    <row r="326" spans="2:9" ht="17.25" customHeight="1">
      <c r="B326" s="913">
        <f>FICHA!AK399</f>
        <v>0</v>
      </c>
      <c r="C326" s="907" t="s">
        <v>2224</v>
      </c>
      <c r="D326" s="907" t="s">
        <v>2257</v>
      </c>
      <c r="E326" s="911">
        <f>+'Planteamiento Técnico'!D597</f>
        <v>0</v>
      </c>
      <c r="F326" s="907">
        <v>1</v>
      </c>
      <c r="G326" s="935">
        <f t="shared" ref="G326:G339" si="25">E326*F326</f>
        <v>0</v>
      </c>
      <c r="H326" s="958"/>
      <c r="I326" s="959">
        <f>E326*H326</f>
        <v>0</v>
      </c>
    </row>
    <row r="327" spans="2:9">
      <c r="B327" s="913">
        <f>FICHA!AK400</f>
        <v>0</v>
      </c>
      <c r="C327" s="907" t="s">
        <v>2224</v>
      </c>
      <c r="D327" s="907" t="s">
        <v>2257</v>
      </c>
      <c r="E327" s="911">
        <f>+'Planteamiento Técnico'!D598</f>
        <v>0</v>
      </c>
      <c r="F327" s="907">
        <v>1</v>
      </c>
      <c r="G327" s="935">
        <f t="shared" si="25"/>
        <v>0</v>
      </c>
      <c r="H327" s="958"/>
      <c r="I327" s="959">
        <f t="shared" ref="I327:I339" si="26">E327*H327</f>
        <v>0</v>
      </c>
    </row>
    <row r="328" spans="2:9">
      <c r="B328" s="913">
        <f>FICHA!AK401</f>
        <v>0</v>
      </c>
      <c r="C328" s="907" t="s">
        <v>2224</v>
      </c>
      <c r="D328" s="907" t="s">
        <v>2257</v>
      </c>
      <c r="E328" s="911">
        <f>+'Planteamiento Técnico'!D599</f>
        <v>0</v>
      </c>
      <c r="F328" s="907">
        <v>1</v>
      </c>
      <c r="G328" s="935">
        <f t="shared" si="25"/>
        <v>0</v>
      </c>
      <c r="H328" s="958"/>
      <c r="I328" s="959">
        <f t="shared" si="26"/>
        <v>0</v>
      </c>
    </row>
    <row r="329" spans="2:9">
      <c r="B329" s="913">
        <f>FICHA!AK402</f>
        <v>0</v>
      </c>
      <c r="C329" s="907" t="s">
        <v>2224</v>
      </c>
      <c r="D329" s="907" t="s">
        <v>2257</v>
      </c>
      <c r="E329" s="911">
        <f>+'Planteamiento Técnico'!D600</f>
        <v>0</v>
      </c>
      <c r="F329" s="907">
        <v>1</v>
      </c>
      <c r="G329" s="935">
        <f t="shared" si="25"/>
        <v>0</v>
      </c>
      <c r="H329" s="958"/>
      <c r="I329" s="959">
        <f t="shared" si="26"/>
        <v>0</v>
      </c>
    </row>
    <row r="330" spans="2:9">
      <c r="B330" s="913">
        <f>FICHA!AK403</f>
        <v>0</v>
      </c>
      <c r="C330" s="907" t="s">
        <v>2224</v>
      </c>
      <c r="D330" s="907" t="s">
        <v>2257</v>
      </c>
      <c r="E330" s="911">
        <f>+'Planteamiento Técnico'!D601</f>
        <v>0</v>
      </c>
      <c r="F330" s="907">
        <v>1</v>
      </c>
      <c r="G330" s="935">
        <f t="shared" si="25"/>
        <v>0</v>
      </c>
      <c r="H330" s="958"/>
      <c r="I330" s="959">
        <f t="shared" si="26"/>
        <v>0</v>
      </c>
    </row>
    <row r="331" spans="2:9">
      <c r="B331" s="913">
        <f>FICHA!AK404</f>
        <v>0</v>
      </c>
      <c r="C331" s="907" t="s">
        <v>2224</v>
      </c>
      <c r="D331" s="907" t="s">
        <v>2257</v>
      </c>
      <c r="E331" s="911">
        <f>+'Planteamiento Técnico'!D602</f>
        <v>0</v>
      </c>
      <c r="F331" s="907">
        <v>1</v>
      </c>
      <c r="G331" s="935">
        <f t="shared" si="25"/>
        <v>0</v>
      </c>
      <c r="H331" s="958"/>
      <c r="I331" s="959">
        <f t="shared" si="26"/>
        <v>0</v>
      </c>
    </row>
    <row r="332" spans="2:9">
      <c r="B332" s="913">
        <f>FICHA!AK405</f>
        <v>0</v>
      </c>
      <c r="C332" s="907" t="s">
        <v>2224</v>
      </c>
      <c r="D332" s="907" t="s">
        <v>2257</v>
      </c>
      <c r="E332" s="911">
        <f>+'Planteamiento Técnico'!D603</f>
        <v>0</v>
      </c>
      <c r="F332" s="907">
        <v>1</v>
      </c>
      <c r="G332" s="935">
        <f t="shared" si="25"/>
        <v>0</v>
      </c>
      <c r="H332" s="958"/>
      <c r="I332" s="959">
        <f t="shared" si="26"/>
        <v>0</v>
      </c>
    </row>
    <row r="333" spans="2:9">
      <c r="B333" s="960" t="s">
        <v>800</v>
      </c>
      <c r="C333" s="907" t="s">
        <v>2224</v>
      </c>
      <c r="D333" s="907" t="s">
        <v>2257</v>
      </c>
      <c r="E333" s="911">
        <f>+'Planteamiento Técnico'!D604</f>
        <v>0</v>
      </c>
      <c r="F333" s="907">
        <v>1</v>
      </c>
      <c r="G333" s="911">
        <f t="shared" si="25"/>
        <v>0</v>
      </c>
      <c r="H333" s="958"/>
      <c r="I333" s="959">
        <f t="shared" si="26"/>
        <v>0</v>
      </c>
    </row>
    <row r="334" spans="2:9">
      <c r="B334" s="913">
        <f>FICHA!AK407</f>
        <v>0</v>
      </c>
      <c r="C334" s="907" t="s">
        <v>407</v>
      </c>
      <c r="D334" s="907" t="s">
        <v>11</v>
      </c>
      <c r="E334" s="911">
        <f>+'Planteamiento Técnico'!D605</f>
        <v>0</v>
      </c>
      <c r="F334" s="907">
        <v>1</v>
      </c>
      <c r="G334" s="911">
        <f t="shared" si="25"/>
        <v>0</v>
      </c>
      <c r="H334" s="958"/>
      <c r="I334" s="959">
        <f t="shared" si="26"/>
        <v>0</v>
      </c>
    </row>
    <row r="335" spans="2:9">
      <c r="B335" s="913">
        <f>FICHA!AK408</f>
        <v>0</v>
      </c>
      <c r="C335" s="907" t="s">
        <v>2224</v>
      </c>
      <c r="D335" s="907" t="s">
        <v>2257</v>
      </c>
      <c r="E335" s="911">
        <f>+'Planteamiento Técnico'!D606</f>
        <v>0</v>
      </c>
      <c r="F335" s="907">
        <v>1</v>
      </c>
      <c r="G335" s="911">
        <f t="shared" si="25"/>
        <v>0</v>
      </c>
      <c r="H335" s="958"/>
      <c r="I335" s="959">
        <f t="shared" si="26"/>
        <v>0</v>
      </c>
    </row>
    <row r="336" spans="2:9">
      <c r="B336" s="913">
        <f>FICHA!AK409</f>
        <v>0</v>
      </c>
      <c r="C336" s="907" t="s">
        <v>538</v>
      </c>
      <c r="D336" s="907" t="s">
        <v>2257</v>
      </c>
      <c r="E336" s="911">
        <f>+'Planteamiento Técnico'!D607</f>
        <v>0</v>
      </c>
      <c r="F336" s="907">
        <v>1</v>
      </c>
      <c r="G336" s="911">
        <f t="shared" si="25"/>
        <v>0</v>
      </c>
      <c r="H336" s="958"/>
      <c r="I336" s="959">
        <f t="shared" si="26"/>
        <v>0</v>
      </c>
    </row>
    <row r="337" spans="1:9">
      <c r="B337" s="913">
        <f>FICHA!AK410</f>
        <v>0</v>
      </c>
      <c r="C337" s="907" t="s">
        <v>2224</v>
      </c>
      <c r="D337" s="907" t="s">
        <v>2257</v>
      </c>
      <c r="E337" s="911">
        <f>+'Planteamiento Técnico'!D608</f>
        <v>0</v>
      </c>
      <c r="F337" s="907">
        <v>1</v>
      </c>
      <c r="G337" s="911">
        <f t="shared" si="25"/>
        <v>0</v>
      </c>
      <c r="H337" s="958"/>
      <c r="I337" s="959">
        <f t="shared" si="26"/>
        <v>0</v>
      </c>
    </row>
    <row r="338" spans="1:9">
      <c r="B338" s="913">
        <f>FICHA!AK411</f>
        <v>0</v>
      </c>
      <c r="C338" s="907" t="s">
        <v>2224</v>
      </c>
      <c r="D338" s="907" t="s">
        <v>2257</v>
      </c>
      <c r="E338" s="911">
        <f>+'Planteamiento Técnico'!D609</f>
        <v>0</v>
      </c>
      <c r="F338" s="907">
        <v>1</v>
      </c>
      <c r="G338" s="911">
        <f t="shared" si="25"/>
        <v>0</v>
      </c>
      <c r="H338" s="958"/>
      <c r="I338" s="959">
        <f t="shared" si="26"/>
        <v>0</v>
      </c>
    </row>
    <row r="339" spans="1:9">
      <c r="B339" s="961" t="s">
        <v>800</v>
      </c>
      <c r="C339" s="907" t="s">
        <v>2224</v>
      </c>
      <c r="D339" s="907" t="s">
        <v>2257</v>
      </c>
      <c r="E339" s="962"/>
      <c r="F339" s="907">
        <v>1</v>
      </c>
      <c r="G339" s="911">
        <f t="shared" si="25"/>
        <v>0</v>
      </c>
      <c r="H339" s="958"/>
      <c r="I339" s="959">
        <f t="shared" si="26"/>
        <v>0</v>
      </c>
    </row>
    <row r="340" spans="1:9">
      <c r="B340" s="1899" t="s">
        <v>125</v>
      </c>
      <c r="C340" s="1899"/>
      <c r="D340" s="1899"/>
      <c r="E340" s="1899"/>
      <c r="F340" s="1899"/>
      <c r="G340" s="1899"/>
      <c r="H340" s="1899"/>
      <c r="I340" s="911">
        <f>SUM(I326:I339)</f>
        <v>0</v>
      </c>
    </row>
    <row r="342" spans="1:9">
      <c r="B342" s="1900" t="str">
        <f>FICHA!B287</f>
        <v>Adecuada educación y cultura ambiental de la población</v>
      </c>
      <c r="C342" s="1900"/>
      <c r="D342" s="1900"/>
      <c r="E342" s="1900"/>
      <c r="F342" s="1900"/>
      <c r="G342" s="1900"/>
      <c r="H342" s="1900"/>
      <c r="I342" s="1900"/>
    </row>
    <row r="343" spans="1:9" ht="28.5" customHeight="1">
      <c r="B343" s="578" t="s">
        <v>608</v>
      </c>
      <c r="C343" s="578" t="s">
        <v>796</v>
      </c>
      <c r="D343" s="578" t="s">
        <v>20</v>
      </c>
      <c r="E343" s="578" t="s">
        <v>23</v>
      </c>
      <c r="F343" s="578" t="s">
        <v>2258</v>
      </c>
      <c r="G343" s="578" t="s">
        <v>2148</v>
      </c>
      <c r="H343" s="900" t="s">
        <v>3242</v>
      </c>
      <c r="I343" s="900" t="s">
        <v>2250</v>
      </c>
    </row>
    <row r="344" spans="1:9" s="1" customFormat="1" ht="24" customHeight="1">
      <c r="A344" s="963"/>
      <c r="B344" s="964">
        <f>FICHA!AK413</f>
        <v>0</v>
      </c>
      <c r="C344" s="907" t="s">
        <v>2224</v>
      </c>
      <c r="D344" s="907" t="s">
        <v>2257</v>
      </c>
      <c r="E344" s="907">
        <f>+'Planteamiento Técnico'!D615</f>
        <v>0</v>
      </c>
      <c r="F344" s="907">
        <v>1</v>
      </c>
      <c r="G344" s="911">
        <f t="shared" ref="G344:G350" si="27">E344*F344</f>
        <v>0</v>
      </c>
      <c r="H344" s="958"/>
      <c r="I344" s="959">
        <f>E344*H344</f>
        <v>0</v>
      </c>
    </row>
    <row r="345" spans="1:9" s="1" customFormat="1" ht="24" customHeight="1">
      <c r="A345" s="963"/>
      <c r="B345" s="964">
        <f>FICHA!AK414</f>
        <v>0</v>
      </c>
      <c r="C345" s="907" t="s">
        <v>2224</v>
      </c>
      <c r="D345" s="907" t="s">
        <v>2257</v>
      </c>
      <c r="E345" s="907">
        <f>+'Planteamiento Técnico'!D616</f>
        <v>0</v>
      </c>
      <c r="F345" s="907">
        <v>1</v>
      </c>
      <c r="G345" s="911">
        <f t="shared" si="27"/>
        <v>0</v>
      </c>
      <c r="H345" s="958"/>
      <c r="I345" s="959">
        <f t="shared" ref="I345:I350" si="28">E345*H345</f>
        <v>0</v>
      </c>
    </row>
    <row r="346" spans="1:9" s="1" customFormat="1" ht="22.5" customHeight="1">
      <c r="A346" s="963"/>
      <c r="B346" s="960" t="s">
        <v>800</v>
      </c>
      <c r="C346" s="907" t="s">
        <v>2224</v>
      </c>
      <c r="D346" s="907" t="s">
        <v>2257</v>
      </c>
      <c r="E346" s="907">
        <f>+'Planteamiento Técnico'!D617</f>
        <v>0</v>
      </c>
      <c r="F346" s="907">
        <v>1</v>
      </c>
      <c r="G346" s="911">
        <f t="shared" si="27"/>
        <v>0</v>
      </c>
      <c r="H346" s="958"/>
      <c r="I346" s="959">
        <f t="shared" si="28"/>
        <v>0</v>
      </c>
    </row>
    <row r="347" spans="1:9" s="1" customFormat="1" ht="20.25" customHeight="1">
      <c r="A347" s="963"/>
      <c r="B347" s="964">
        <f>FICHA!AK416</f>
        <v>0</v>
      </c>
      <c r="C347" s="907" t="s">
        <v>2224</v>
      </c>
      <c r="D347" s="907" t="s">
        <v>2257</v>
      </c>
      <c r="E347" s="907">
        <f>+'Planteamiento Técnico'!D618</f>
        <v>0</v>
      </c>
      <c r="F347" s="907">
        <v>1</v>
      </c>
      <c r="G347" s="911">
        <f t="shared" si="27"/>
        <v>0</v>
      </c>
      <c r="H347" s="958"/>
      <c r="I347" s="959">
        <f t="shared" si="28"/>
        <v>0</v>
      </c>
    </row>
    <row r="348" spans="1:9" s="1" customFormat="1" ht="20.25" customHeight="1">
      <c r="A348" s="963"/>
      <c r="B348" s="964">
        <f>FICHA!AK417</f>
        <v>0</v>
      </c>
      <c r="C348" s="907" t="s">
        <v>2224</v>
      </c>
      <c r="D348" s="907" t="s">
        <v>2257</v>
      </c>
      <c r="E348" s="907">
        <f>+'Planteamiento Técnico'!D619</f>
        <v>0</v>
      </c>
      <c r="F348" s="907">
        <v>1</v>
      </c>
      <c r="G348" s="911">
        <f t="shared" si="27"/>
        <v>0</v>
      </c>
      <c r="H348" s="958"/>
      <c r="I348" s="959">
        <f t="shared" si="28"/>
        <v>0</v>
      </c>
    </row>
    <row r="349" spans="1:9" s="1" customFormat="1" ht="20.25" customHeight="1">
      <c r="A349" s="963"/>
      <c r="B349" s="964">
        <f>FICHA!AK418</f>
        <v>0</v>
      </c>
      <c r="C349" s="907" t="s">
        <v>2224</v>
      </c>
      <c r="D349" s="907" t="s">
        <v>2257</v>
      </c>
      <c r="E349" s="907">
        <f>+'Planteamiento Técnico'!D620</f>
        <v>0</v>
      </c>
      <c r="F349" s="907">
        <v>1</v>
      </c>
      <c r="G349" s="911">
        <f t="shared" si="27"/>
        <v>0</v>
      </c>
      <c r="H349" s="958"/>
      <c r="I349" s="959">
        <f t="shared" si="28"/>
        <v>0</v>
      </c>
    </row>
    <row r="350" spans="1:9" s="1" customFormat="1" ht="16.5" customHeight="1">
      <c r="A350" s="963"/>
      <c r="B350" s="961" t="s">
        <v>800</v>
      </c>
      <c r="C350" s="907" t="s">
        <v>2224</v>
      </c>
      <c r="D350" s="907" t="s">
        <v>2257</v>
      </c>
      <c r="E350" s="965"/>
      <c r="F350" s="907">
        <v>1</v>
      </c>
      <c r="G350" s="911">
        <f t="shared" si="27"/>
        <v>0</v>
      </c>
      <c r="H350" s="958"/>
      <c r="I350" s="959">
        <f t="shared" si="28"/>
        <v>0</v>
      </c>
    </row>
    <row r="351" spans="1:9" s="1" customFormat="1" ht="15" customHeight="1">
      <c r="A351" s="963"/>
      <c r="B351" s="1906" t="s">
        <v>3247</v>
      </c>
      <c r="C351" s="1906"/>
      <c r="D351" s="1906"/>
      <c r="E351" s="1906"/>
      <c r="F351" s="1906"/>
      <c r="G351" s="1906"/>
      <c r="H351" s="1906"/>
      <c r="I351" s="966">
        <f>SUM(I344:I350)</f>
        <v>0</v>
      </c>
    </row>
    <row r="352" spans="1:9" s="1" customFormat="1">
      <c r="A352" s="963"/>
      <c r="B352" s="963"/>
      <c r="C352" s="967"/>
      <c r="D352" s="967"/>
      <c r="E352" s="967"/>
      <c r="F352" s="967"/>
      <c r="G352" s="967"/>
      <c r="H352" s="968"/>
      <c r="I352" s="967"/>
    </row>
    <row r="353" spans="1:10">
      <c r="B353" s="1900" t="s">
        <v>2442</v>
      </c>
      <c r="C353" s="1900"/>
      <c r="D353" s="1900"/>
      <c r="E353" s="1900"/>
      <c r="F353" s="1900"/>
      <c r="G353" s="1900"/>
      <c r="H353" s="1900"/>
      <c r="I353" s="1900"/>
    </row>
    <row r="355" spans="1:10">
      <c r="B355" s="923" t="s">
        <v>2440</v>
      </c>
      <c r="C355" s="969" t="s">
        <v>10</v>
      </c>
    </row>
    <row r="356" spans="1:10">
      <c r="B356" s="971" t="s">
        <v>2919</v>
      </c>
      <c r="C356" s="972">
        <f>'P.Val. Orgánico'!D165+'P.Val. Orgánico'!L170</f>
        <v>0</v>
      </c>
      <c r="H356" s="252"/>
    </row>
    <row r="357" spans="1:10">
      <c r="B357" s="971" t="s">
        <v>2920</v>
      </c>
      <c r="C357" s="972">
        <f>'P. Val. Inor'!E172+'P. Val. Inor'!M484</f>
        <v>0</v>
      </c>
      <c r="H357" s="252"/>
    </row>
    <row r="358" spans="1:10">
      <c r="B358" s="971" t="s">
        <v>2921</v>
      </c>
      <c r="C358" s="972">
        <f>'P. Relleno Sanitario'!E268</f>
        <v>0</v>
      </c>
      <c r="H358" s="252"/>
    </row>
    <row r="359" spans="1:10">
      <c r="B359" s="917" t="s">
        <v>2441</v>
      </c>
      <c r="C359" s="938">
        <f>SUM(C356:C358)</f>
        <v>0</v>
      </c>
    </row>
    <row r="360" spans="1:10">
      <c r="B360" s="973"/>
      <c r="C360" s="974"/>
    </row>
    <row r="361" spans="1:10" ht="15.75" customHeight="1">
      <c r="A361" s="431"/>
      <c r="B361" s="975"/>
      <c r="C361" s="976"/>
      <c r="D361" s="977"/>
      <c r="E361" s="977"/>
      <c r="F361" s="977"/>
      <c r="G361" s="977"/>
      <c r="H361" s="978"/>
      <c r="I361" s="977"/>
      <c r="J361" s="431"/>
    </row>
    <row r="362" spans="1:10" ht="15.75" customHeight="1">
      <c r="A362" s="431"/>
      <c r="B362" s="975"/>
      <c r="C362" s="976"/>
      <c r="D362" s="977"/>
      <c r="E362" s="977"/>
      <c r="F362" s="977"/>
      <c r="G362" s="977"/>
      <c r="H362" s="978"/>
      <c r="I362" s="977"/>
      <c r="J362" s="431"/>
    </row>
    <row r="363" spans="1:10" ht="15.75" customHeight="1">
      <c r="A363" s="431"/>
      <c r="B363" s="979"/>
      <c r="C363" s="977"/>
      <c r="D363" s="977"/>
      <c r="E363" s="977"/>
      <c r="F363" s="977"/>
      <c r="G363" s="977"/>
      <c r="H363" s="978"/>
      <c r="I363" s="977"/>
      <c r="J363" s="431"/>
    </row>
  </sheetData>
  <dataConsolidate/>
  <mergeCells count="57">
    <mergeCell ref="B2:I2"/>
    <mergeCell ref="B353:I353"/>
    <mergeCell ref="B264:D264"/>
    <mergeCell ref="B320:D320"/>
    <mergeCell ref="B199:D199"/>
    <mergeCell ref="B321:H321"/>
    <mergeCell ref="B311:D311"/>
    <mergeCell ref="B324:I324"/>
    <mergeCell ref="B240:D240"/>
    <mergeCell ref="B237:D237"/>
    <mergeCell ref="B249:D249"/>
    <mergeCell ref="B351:H351"/>
    <mergeCell ref="B342:I342"/>
    <mergeCell ref="B340:H340"/>
    <mergeCell ref="B224:D224"/>
    <mergeCell ref="B230:D230"/>
    <mergeCell ref="B17:I17"/>
    <mergeCell ref="B312:D312"/>
    <mergeCell ref="B142:D142"/>
    <mergeCell ref="B148:D148"/>
    <mergeCell ref="B155:D155"/>
    <mergeCell ref="B131:H131"/>
    <mergeCell ref="B214:D214"/>
    <mergeCell ref="B298:D298"/>
    <mergeCell ref="B236:D236"/>
    <mergeCell ref="B271:D271"/>
    <mergeCell ref="B257:D257"/>
    <mergeCell ref="B285:D285"/>
    <mergeCell ref="B53:H53"/>
    <mergeCell ref="B134:I134"/>
    <mergeCell ref="B108:H108"/>
    <mergeCell ref="B82:D82"/>
    <mergeCell ref="B5:I5"/>
    <mergeCell ref="B12:D12"/>
    <mergeCell ref="B52:H52"/>
    <mergeCell ref="B130:H130"/>
    <mergeCell ref="B89:D89"/>
    <mergeCell ref="B55:I55"/>
    <mergeCell ref="B13:H13"/>
    <mergeCell ref="B30:D30"/>
    <mergeCell ref="B51:D51"/>
    <mergeCell ref="B39:D39"/>
    <mergeCell ref="B98:H98"/>
    <mergeCell ref="B77:D77"/>
    <mergeCell ref="B97:D97"/>
    <mergeCell ref="B83:H83"/>
    <mergeCell ref="B65:D65"/>
    <mergeCell ref="B24:D24"/>
    <mergeCell ref="B272:D272"/>
    <mergeCell ref="B170:D170"/>
    <mergeCell ref="B248:D248"/>
    <mergeCell ref="B215:H215"/>
    <mergeCell ref="B171:H171"/>
    <mergeCell ref="B243:D243"/>
    <mergeCell ref="B193:D193"/>
    <mergeCell ref="B218:I218"/>
    <mergeCell ref="B190:D190"/>
  </mergeCells>
  <pageMargins left="0.7" right="0.7" top="0.75" bottom="0.75" header="0.3" footer="0.3"/>
  <pageSetup paperSize="9" scale="57" orientation="portrait" r:id="rId1"/>
  <rowBreaks count="1" manualBreakCount="1">
    <brk id="97" max="9" man="1"/>
  </rowBreaks>
  <drawing r:id="rId2"/>
  <legacyDrawing r:id="rId3"/>
  <controls>
    <mc:AlternateContent xmlns:mc="http://schemas.openxmlformats.org/markup-compatibility/2006">
      <mc:Choice Requires="x14">
        <control shapeId="106497" r:id="rId4" name="CommandButton1">
          <controlPr defaultSize="0" autoLine="0" r:id="rId5">
            <anchor moveWithCells="1" sizeWithCells="1">
              <from>
                <xdr:col>0</xdr:col>
                <xdr:colOff>28575</xdr:colOff>
                <xdr:row>1</xdr:row>
                <xdr:rowOff>409575</xdr:rowOff>
              </from>
              <to>
                <xdr:col>1</xdr:col>
                <xdr:colOff>1190625</xdr:colOff>
                <xdr:row>2</xdr:row>
                <xdr:rowOff>161925</xdr:rowOff>
              </to>
            </anchor>
          </controlPr>
        </control>
      </mc:Choice>
      <mc:Fallback>
        <control shapeId="106497" r:id="rId4" name="CommandButton1"/>
      </mc:Fallback>
    </mc:AlternateContent>
    <mc:AlternateContent xmlns:mc="http://schemas.openxmlformats.org/markup-compatibility/2006">
      <mc:Choice Requires="x14">
        <control shapeId="106498" r:id="rId6" name="CommandButton2">
          <controlPr defaultSize="0" autoLine="0" r:id="rId7">
            <anchor moveWithCells="1" sizeWithCells="1">
              <from>
                <xdr:col>0</xdr:col>
                <xdr:colOff>38100</xdr:colOff>
                <xdr:row>360</xdr:row>
                <xdr:rowOff>200025</xdr:rowOff>
              </from>
              <to>
                <xdr:col>1</xdr:col>
                <xdr:colOff>1457325</xdr:colOff>
                <xdr:row>362</xdr:row>
                <xdr:rowOff>180975</xdr:rowOff>
              </to>
            </anchor>
          </controlPr>
        </control>
      </mc:Choice>
      <mc:Fallback>
        <control shapeId="106498" r:id="rId6" name="CommandButton2"/>
      </mc:Fallback>
    </mc:AlternateContent>
    <mc:AlternateContent xmlns:mc="http://schemas.openxmlformats.org/markup-compatibility/2006">
      <mc:Choice Requires="x14">
        <control shapeId="106499" r:id="rId8" name="CommandButton3">
          <controlPr defaultSize="0" autoLine="0" autoPict="0" r:id="rId9">
            <anchor moveWithCells="1" sizeWithCells="1">
              <from>
                <xdr:col>3</xdr:col>
                <xdr:colOff>133350</xdr:colOff>
                <xdr:row>361</xdr:row>
                <xdr:rowOff>28575</xdr:rowOff>
              </from>
              <to>
                <xdr:col>8</xdr:col>
                <xdr:colOff>142875</xdr:colOff>
                <xdr:row>362</xdr:row>
                <xdr:rowOff>171450</xdr:rowOff>
              </to>
            </anchor>
          </controlPr>
        </control>
      </mc:Choice>
      <mc:Fallback>
        <control shapeId="106499" r:id="rId8" name="CommandButton3"/>
      </mc:Fallback>
    </mc:AlternateContent>
    <mc:AlternateContent xmlns:mc="http://schemas.openxmlformats.org/markup-compatibility/2006">
      <mc:Choice Requires="x14">
        <control shapeId="106500" r:id="rId10" name="CommandButton4">
          <controlPr defaultSize="0" autoLine="0" r:id="rId11">
            <anchor moveWithCells="1" sizeWithCells="1">
              <from>
                <xdr:col>4</xdr:col>
                <xdr:colOff>714375</xdr:colOff>
                <xdr:row>1</xdr:row>
                <xdr:rowOff>447675</xdr:rowOff>
              </from>
              <to>
                <xdr:col>8</xdr:col>
                <xdr:colOff>733425</xdr:colOff>
                <xdr:row>2</xdr:row>
                <xdr:rowOff>142875</xdr:rowOff>
              </to>
            </anchor>
          </controlPr>
        </control>
      </mc:Choice>
      <mc:Fallback>
        <control shapeId="106500" r:id="rId10" name="CommandButton4"/>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2"/>
  <dimension ref="A1:N491"/>
  <sheetViews>
    <sheetView showZeros="0" view="pageBreakPreview" zoomScale="70" zoomScaleNormal="55" zoomScaleSheetLayoutView="70" workbookViewId="0">
      <selection activeCell="F19" sqref="F19"/>
    </sheetView>
  </sheetViews>
  <sheetFormatPr baseColWidth="10" defaultColWidth="11.42578125" defaultRowHeight="15"/>
  <cols>
    <col min="1" max="1" width="11.42578125" style="404"/>
    <col min="2" max="2" width="75.5703125" style="404" bestFit="1" customWidth="1"/>
    <col min="3" max="5" width="11.42578125" style="404"/>
    <col min="6" max="6" width="13.5703125" style="404" customWidth="1"/>
    <col min="7" max="7" width="11.42578125" style="405"/>
    <col min="8" max="9" width="11.42578125" style="404"/>
    <col min="10" max="10" width="74.140625" style="404" customWidth="1"/>
    <col min="11" max="11" width="10.42578125" style="404" customWidth="1"/>
    <col min="12" max="12" width="10.28515625" style="404" customWidth="1"/>
    <col min="13" max="13" width="10.85546875" style="404" customWidth="1"/>
    <col min="14" max="14" width="12.42578125" style="404" bestFit="1" customWidth="1"/>
    <col min="15" max="16384" width="11.42578125" style="404"/>
  </cols>
  <sheetData>
    <row r="1" spans="1:14" ht="27" customHeight="1">
      <c r="A1" s="1907" t="s">
        <v>3262</v>
      </c>
      <c r="B1" s="1907"/>
      <c r="C1" s="1907"/>
      <c r="D1" s="1907"/>
      <c r="E1" s="1907"/>
      <c r="F1" s="1907"/>
      <c r="G1" s="1907"/>
      <c r="H1" s="403"/>
      <c r="I1" s="403"/>
      <c r="J1" s="403"/>
      <c r="K1" s="403"/>
      <c r="L1" s="403"/>
      <c r="M1" s="403"/>
      <c r="N1" s="403"/>
    </row>
    <row r="2" spans="1:14" ht="31.5" customHeight="1">
      <c r="A2" s="1908"/>
      <c r="B2" s="1908"/>
      <c r="C2" s="1908"/>
      <c r="D2" s="1908"/>
      <c r="E2" s="1908"/>
      <c r="F2" s="1908"/>
      <c r="G2" s="1908"/>
      <c r="H2" s="403"/>
      <c r="I2" s="403"/>
      <c r="J2" s="403"/>
      <c r="K2" s="403"/>
      <c r="L2" s="403"/>
      <c r="M2" s="403"/>
      <c r="N2" s="403"/>
    </row>
    <row r="3" spans="1:14" ht="7.5" customHeight="1">
      <c r="A3" s="403"/>
      <c r="B3" s="403"/>
      <c r="C3" s="403"/>
      <c r="D3" s="403"/>
      <c r="E3" s="403"/>
      <c r="F3" s="403"/>
      <c r="G3" s="403"/>
      <c r="H3" s="403"/>
      <c r="I3" s="403"/>
      <c r="J3" s="403"/>
      <c r="K3" s="403"/>
      <c r="L3" s="403"/>
      <c r="M3" s="403"/>
      <c r="N3" s="403"/>
    </row>
    <row r="4" spans="1:14" ht="15" customHeight="1">
      <c r="A4" s="159"/>
      <c r="B4" s="159"/>
      <c r="C4" s="159"/>
      <c r="D4" s="159"/>
      <c r="E4" s="159"/>
      <c r="F4" s="159"/>
    </row>
    <row r="5" spans="1:14" ht="15" customHeight="1">
      <c r="A5" s="1910"/>
      <c r="B5" s="1910"/>
      <c r="C5" s="1910"/>
      <c r="D5" s="1910"/>
      <c r="E5" s="1910"/>
      <c r="F5" s="1910"/>
      <c r="I5" s="1911">
        <f>A5</f>
        <v>0</v>
      </c>
      <c r="J5" s="1911"/>
      <c r="K5" s="1911"/>
      <c r="L5" s="1911"/>
      <c r="M5" s="1911"/>
      <c r="N5" s="1911"/>
    </row>
    <row r="6" spans="1:14" ht="21" customHeight="1">
      <c r="A6" s="1910" t="s">
        <v>2035</v>
      </c>
      <c r="B6" s="1910"/>
      <c r="C6" s="1910"/>
      <c r="D6" s="1910"/>
      <c r="E6" s="1910"/>
      <c r="F6" s="1910"/>
      <c r="G6" s="96"/>
      <c r="I6" s="1911" t="s">
        <v>2036</v>
      </c>
      <c r="J6" s="1911"/>
      <c r="K6" s="1911"/>
      <c r="L6" s="1911"/>
      <c r="M6" s="1911"/>
      <c r="N6" s="1911"/>
    </row>
    <row r="7" spans="1:14" ht="27.75" customHeight="1">
      <c r="A7" s="1912" t="s">
        <v>852</v>
      </c>
      <c r="B7" s="414" t="s">
        <v>608</v>
      </c>
      <c r="C7" s="387" t="s">
        <v>853</v>
      </c>
      <c r="D7" s="415" t="s">
        <v>854</v>
      </c>
      <c r="E7" s="416" t="s">
        <v>855</v>
      </c>
      <c r="F7" s="416" t="s">
        <v>856</v>
      </c>
      <c r="G7" s="98"/>
      <c r="I7" s="418" t="s">
        <v>852</v>
      </c>
      <c r="J7" s="1160" t="s">
        <v>608</v>
      </c>
      <c r="K7" s="367" t="s">
        <v>853</v>
      </c>
      <c r="L7" s="399" t="s">
        <v>854</v>
      </c>
      <c r="M7" s="400" t="s">
        <v>855</v>
      </c>
      <c r="N7" s="400" t="s">
        <v>856</v>
      </c>
    </row>
    <row r="8" spans="1:14" ht="40.5" customHeight="1">
      <c r="A8" s="1913"/>
      <c r="B8" s="417" t="s">
        <v>3024</v>
      </c>
      <c r="C8" s="387"/>
      <c r="D8" s="387"/>
      <c r="E8" s="416"/>
      <c r="F8" s="416">
        <f>F9+F153</f>
        <v>0</v>
      </c>
      <c r="G8" s="98"/>
      <c r="I8" s="401"/>
      <c r="J8" s="401" t="s">
        <v>3024</v>
      </c>
      <c r="K8" s="367"/>
      <c r="L8" s="374"/>
      <c r="M8" s="400"/>
      <c r="N8" s="400">
        <f>SUM(N9,N81,N465)</f>
        <v>0</v>
      </c>
    </row>
    <row r="9" spans="1:14" ht="22.5">
      <c r="A9" s="134" t="s">
        <v>857</v>
      </c>
      <c r="B9" s="99" t="s">
        <v>3022</v>
      </c>
      <c r="C9" s="135"/>
      <c r="D9" s="136"/>
      <c r="E9" s="136"/>
      <c r="F9" s="136">
        <f>F10</f>
        <v>0</v>
      </c>
      <c r="G9" s="137"/>
      <c r="I9" s="134" t="s">
        <v>857</v>
      </c>
      <c r="J9" s="99" t="s">
        <v>3022</v>
      </c>
      <c r="K9" s="135"/>
      <c r="L9" s="136"/>
      <c r="M9" s="136"/>
      <c r="N9" s="136">
        <f>SUM(N10)</f>
        <v>0</v>
      </c>
    </row>
    <row r="10" spans="1:14">
      <c r="A10" s="138" t="s">
        <v>858</v>
      </c>
      <c r="B10" s="134" t="s">
        <v>1466</v>
      </c>
      <c r="C10" s="139"/>
      <c r="D10" s="419"/>
      <c r="E10" s="419"/>
      <c r="F10" s="406">
        <f>SUM(F11,F14,F19,F21,F26,F35,F37,F41,F43,F45,F70,F73,F81,F94)</f>
        <v>0</v>
      </c>
      <c r="G10" s="140"/>
      <c r="I10" s="134" t="s">
        <v>858</v>
      </c>
      <c r="J10" s="134" t="s">
        <v>1467</v>
      </c>
      <c r="K10" s="139"/>
      <c r="L10" s="419"/>
      <c r="M10" s="419"/>
      <c r="N10" s="406">
        <f>SUM(N11,N14,N19,N21,N26,N35,N37,N41,N43,N45,N70,N73)</f>
        <v>0</v>
      </c>
    </row>
    <row r="11" spans="1:14">
      <c r="A11" s="138" t="s">
        <v>860</v>
      </c>
      <c r="B11" s="134" t="s">
        <v>1238</v>
      </c>
      <c r="C11" s="139"/>
      <c r="D11" s="419"/>
      <c r="E11" s="419"/>
      <c r="F11" s="406">
        <f>SUM(F12:F13)</f>
        <v>0</v>
      </c>
      <c r="G11" s="140"/>
      <c r="I11" s="138" t="s">
        <v>860</v>
      </c>
      <c r="J11" s="134" t="s">
        <v>1238</v>
      </c>
      <c r="K11" s="139"/>
      <c r="L11" s="419"/>
      <c r="M11" s="419"/>
      <c r="N11" s="406">
        <f>SUM(N12:N13)</f>
        <v>0</v>
      </c>
    </row>
    <row r="12" spans="1:14">
      <c r="A12" s="138" t="s">
        <v>862</v>
      </c>
      <c r="B12" s="138" t="s">
        <v>1239</v>
      </c>
      <c r="C12" s="139" t="s">
        <v>22</v>
      </c>
      <c r="D12" s="419"/>
      <c r="E12" s="419"/>
      <c r="F12" s="406">
        <f>D12*E12</f>
        <v>0</v>
      </c>
      <c r="G12" s="140"/>
      <c r="I12" s="138" t="s">
        <v>862</v>
      </c>
      <c r="J12" s="138" t="s">
        <v>1239</v>
      </c>
      <c r="K12" s="139" t="s">
        <v>22</v>
      </c>
      <c r="L12" s="419"/>
      <c r="M12" s="419"/>
      <c r="N12" s="406">
        <f>L12*M12</f>
        <v>0</v>
      </c>
    </row>
    <row r="13" spans="1:14">
      <c r="A13" s="138" t="s">
        <v>1240</v>
      </c>
      <c r="B13" s="138" t="s">
        <v>2925</v>
      </c>
      <c r="C13" s="139" t="s">
        <v>22</v>
      </c>
      <c r="D13" s="419"/>
      <c r="E13" s="419"/>
      <c r="F13" s="406">
        <f>D13*E13</f>
        <v>0</v>
      </c>
      <c r="G13" s="140"/>
      <c r="I13" s="138" t="s">
        <v>1240</v>
      </c>
      <c r="J13" s="138" t="s">
        <v>2925</v>
      </c>
      <c r="K13" s="139" t="s">
        <v>22</v>
      </c>
      <c r="L13" s="419"/>
      <c r="M13" s="419"/>
      <c r="N13" s="406">
        <f>L13*M13</f>
        <v>0</v>
      </c>
    </row>
    <row r="14" spans="1:14">
      <c r="A14" s="138" t="s">
        <v>865</v>
      </c>
      <c r="B14" s="134" t="s">
        <v>1241</v>
      </c>
      <c r="C14" s="139"/>
      <c r="D14" s="419"/>
      <c r="E14" s="419"/>
      <c r="F14" s="406">
        <f>SUM(F15:F18)</f>
        <v>0</v>
      </c>
      <c r="G14" s="140"/>
      <c r="I14" s="138" t="s">
        <v>865</v>
      </c>
      <c r="J14" s="134" t="s">
        <v>1241</v>
      </c>
      <c r="K14" s="139"/>
      <c r="L14" s="419"/>
      <c r="M14" s="419"/>
      <c r="N14" s="406">
        <f>SUM(N15:N18)</f>
        <v>0</v>
      </c>
    </row>
    <row r="15" spans="1:14">
      <c r="A15" s="138" t="s">
        <v>867</v>
      </c>
      <c r="B15" s="138" t="s">
        <v>3023</v>
      </c>
      <c r="C15" s="139" t="s">
        <v>943</v>
      </c>
      <c r="D15" s="419"/>
      <c r="E15" s="419"/>
      <c r="F15" s="406">
        <f>D15*E15</f>
        <v>0</v>
      </c>
      <c r="G15" s="140"/>
      <c r="I15" s="138" t="s">
        <v>867</v>
      </c>
      <c r="J15" s="138" t="s">
        <v>3023</v>
      </c>
      <c r="K15" s="139" t="s">
        <v>943</v>
      </c>
      <c r="L15" s="419"/>
      <c r="M15" s="419"/>
      <c r="N15" s="406">
        <f>L15*M15</f>
        <v>0</v>
      </c>
    </row>
    <row r="16" spans="1:14">
      <c r="A16" s="138" t="s">
        <v>1242</v>
      </c>
      <c r="B16" s="138" t="s">
        <v>2927</v>
      </c>
      <c r="C16" s="139" t="s">
        <v>943</v>
      </c>
      <c r="D16" s="419"/>
      <c r="E16" s="419"/>
      <c r="F16" s="406">
        <f>D16*E16</f>
        <v>0</v>
      </c>
      <c r="G16" s="140"/>
      <c r="I16" s="138" t="s">
        <v>1242</v>
      </c>
      <c r="J16" s="138" t="s">
        <v>2927</v>
      </c>
      <c r="K16" s="139" t="s">
        <v>943</v>
      </c>
      <c r="L16" s="419"/>
      <c r="M16" s="419"/>
      <c r="N16" s="406">
        <f>L16*M16</f>
        <v>0</v>
      </c>
    </row>
    <row r="17" spans="1:14">
      <c r="A17" s="138" t="s">
        <v>1243</v>
      </c>
      <c r="B17" s="138" t="s">
        <v>2928</v>
      </c>
      <c r="C17" s="139" t="s">
        <v>22</v>
      </c>
      <c r="D17" s="419"/>
      <c r="E17" s="419"/>
      <c r="F17" s="406">
        <f>D17*E17</f>
        <v>0</v>
      </c>
      <c r="G17" s="140"/>
      <c r="I17" s="138" t="s">
        <v>1243</v>
      </c>
      <c r="J17" s="138" t="s">
        <v>2928</v>
      </c>
      <c r="K17" s="139" t="s">
        <v>22</v>
      </c>
      <c r="L17" s="419"/>
      <c r="M17" s="419"/>
      <c r="N17" s="406">
        <f>L17*M17</f>
        <v>0</v>
      </c>
    </row>
    <row r="18" spans="1:14">
      <c r="A18" s="138" t="s">
        <v>1246</v>
      </c>
      <c r="B18" s="138" t="s">
        <v>2929</v>
      </c>
      <c r="C18" s="139" t="s">
        <v>943</v>
      </c>
      <c r="D18" s="419"/>
      <c r="E18" s="419"/>
      <c r="F18" s="406">
        <f>D18*E18</f>
        <v>0</v>
      </c>
      <c r="G18" s="140"/>
      <c r="I18" s="138" t="s">
        <v>1246</v>
      </c>
      <c r="J18" s="138" t="s">
        <v>2929</v>
      </c>
      <c r="K18" s="139" t="s">
        <v>943</v>
      </c>
      <c r="L18" s="419"/>
      <c r="M18" s="419"/>
      <c r="N18" s="406">
        <f>L18*M18</f>
        <v>0</v>
      </c>
    </row>
    <row r="19" spans="1:14">
      <c r="A19" s="138" t="s">
        <v>869</v>
      </c>
      <c r="B19" s="134" t="s">
        <v>1247</v>
      </c>
      <c r="C19" s="139"/>
      <c r="D19" s="419"/>
      <c r="E19" s="419"/>
      <c r="F19" s="406">
        <f>F20</f>
        <v>0</v>
      </c>
      <c r="G19" s="140"/>
      <c r="I19" s="138" t="s">
        <v>869</v>
      </c>
      <c r="J19" s="134" t="s">
        <v>1247</v>
      </c>
      <c r="K19" s="139"/>
      <c r="L19" s="419"/>
      <c r="M19" s="419"/>
      <c r="N19" s="406">
        <f>N20</f>
        <v>0</v>
      </c>
    </row>
    <row r="20" spans="1:14">
      <c r="A20" s="138" t="s">
        <v>871</v>
      </c>
      <c r="B20" s="138" t="s">
        <v>1248</v>
      </c>
      <c r="C20" s="139" t="s">
        <v>22</v>
      </c>
      <c r="D20" s="419"/>
      <c r="E20" s="419"/>
      <c r="F20" s="406">
        <f>D20*E20</f>
        <v>0</v>
      </c>
      <c r="G20" s="140"/>
      <c r="I20" s="138" t="s">
        <v>871</v>
      </c>
      <c r="J20" s="138" t="s">
        <v>1248</v>
      </c>
      <c r="K20" s="139" t="s">
        <v>22</v>
      </c>
      <c r="L20" s="419"/>
      <c r="M20" s="419"/>
      <c r="N20" s="406">
        <f>L20*M20</f>
        <v>0</v>
      </c>
    </row>
    <row r="21" spans="1:14">
      <c r="A21" s="138" t="s">
        <v>876</v>
      </c>
      <c r="B21" s="134" t="s">
        <v>1468</v>
      </c>
      <c r="C21" s="139"/>
      <c r="D21" s="419"/>
      <c r="E21" s="419"/>
      <c r="F21" s="406">
        <f>SUM(F22:F25)</f>
        <v>0</v>
      </c>
      <c r="G21" s="140"/>
      <c r="I21" s="138" t="s">
        <v>876</v>
      </c>
      <c r="J21" s="134" t="s">
        <v>1468</v>
      </c>
      <c r="K21" s="139"/>
      <c r="L21" s="419"/>
      <c r="M21" s="419"/>
      <c r="N21" s="406">
        <f>SUM(N22:N25)</f>
        <v>0</v>
      </c>
    </row>
    <row r="22" spans="1:14">
      <c r="A22" s="138" t="s">
        <v>878</v>
      </c>
      <c r="B22" s="138" t="s">
        <v>3025</v>
      </c>
      <c r="C22" s="139" t="s">
        <v>943</v>
      </c>
      <c r="D22" s="419"/>
      <c r="E22" s="419"/>
      <c r="F22" s="406">
        <f>D22*E22</f>
        <v>0</v>
      </c>
      <c r="G22" s="140"/>
      <c r="I22" s="138" t="s">
        <v>878</v>
      </c>
      <c r="J22" s="138" t="s">
        <v>3025</v>
      </c>
      <c r="K22" s="139" t="s">
        <v>943</v>
      </c>
      <c r="L22" s="419"/>
      <c r="M22" s="419"/>
      <c r="N22" s="406">
        <f>L22*M22</f>
        <v>0</v>
      </c>
    </row>
    <row r="23" spans="1:14">
      <c r="A23" s="138" t="s">
        <v>880</v>
      </c>
      <c r="B23" s="138" t="s">
        <v>1469</v>
      </c>
      <c r="C23" s="139" t="s">
        <v>943</v>
      </c>
      <c r="D23" s="419"/>
      <c r="E23" s="419"/>
      <c r="F23" s="406">
        <f>D23*E23</f>
        <v>0</v>
      </c>
      <c r="G23" s="140"/>
      <c r="I23" s="138" t="s">
        <v>880</v>
      </c>
      <c r="J23" s="138" t="s">
        <v>1469</v>
      </c>
      <c r="K23" s="139" t="s">
        <v>943</v>
      </c>
      <c r="L23" s="419"/>
      <c r="M23" s="419"/>
      <c r="N23" s="406">
        <f>L23*M23</f>
        <v>0</v>
      </c>
    </row>
    <row r="24" spans="1:14">
      <c r="A24" s="138" t="s">
        <v>1470</v>
      </c>
      <c r="B24" s="138" t="s">
        <v>1471</v>
      </c>
      <c r="C24" s="139" t="s">
        <v>22</v>
      </c>
      <c r="D24" s="419"/>
      <c r="E24" s="419"/>
      <c r="F24" s="406">
        <f>D24*E24</f>
        <v>0</v>
      </c>
      <c r="G24" s="140"/>
      <c r="I24" s="138" t="s">
        <v>1470</v>
      </c>
      <c r="J24" s="138" t="s">
        <v>1471</v>
      </c>
      <c r="K24" s="139" t="s">
        <v>22</v>
      </c>
      <c r="L24" s="419"/>
      <c r="M24" s="419"/>
      <c r="N24" s="406">
        <f>L24*M24</f>
        <v>0</v>
      </c>
    </row>
    <row r="25" spans="1:14">
      <c r="A25" s="138" t="s">
        <v>1472</v>
      </c>
      <c r="B25" s="138" t="s">
        <v>1473</v>
      </c>
      <c r="C25" s="139" t="s">
        <v>22</v>
      </c>
      <c r="D25" s="419"/>
      <c r="E25" s="419"/>
      <c r="F25" s="406">
        <f>D25*E25</f>
        <v>0</v>
      </c>
      <c r="G25" s="140"/>
      <c r="I25" s="138" t="s">
        <v>1472</v>
      </c>
      <c r="J25" s="138" t="s">
        <v>1473</v>
      </c>
      <c r="K25" s="139" t="s">
        <v>22</v>
      </c>
      <c r="L25" s="419"/>
      <c r="M25" s="419"/>
      <c r="N25" s="406">
        <f>L25*M25</f>
        <v>0</v>
      </c>
    </row>
    <row r="26" spans="1:14">
      <c r="A26" s="138" t="s">
        <v>882</v>
      </c>
      <c r="B26" s="134" t="s">
        <v>3026</v>
      </c>
      <c r="C26" s="139"/>
      <c r="D26" s="419"/>
      <c r="E26" s="419"/>
      <c r="F26" s="406">
        <f>SUM(F27:F34)</f>
        <v>0</v>
      </c>
      <c r="G26" s="140"/>
      <c r="I26" s="138" t="s">
        <v>882</v>
      </c>
      <c r="J26" s="134" t="s">
        <v>3026</v>
      </c>
      <c r="K26" s="139"/>
      <c r="L26" s="419"/>
      <c r="M26" s="419"/>
      <c r="N26" s="406">
        <f>SUM(N27:N34)</f>
        <v>0</v>
      </c>
    </row>
    <row r="27" spans="1:14">
      <c r="A27" s="138" t="s">
        <v>883</v>
      </c>
      <c r="B27" s="138" t="s">
        <v>1474</v>
      </c>
      <c r="C27" s="139" t="s">
        <v>943</v>
      </c>
      <c r="D27" s="419"/>
      <c r="E27" s="419"/>
      <c r="F27" s="406">
        <f>D27*E27</f>
        <v>0</v>
      </c>
      <c r="G27" s="140"/>
      <c r="I27" s="138" t="s">
        <v>883</v>
      </c>
      <c r="J27" s="138" t="s">
        <v>1474</v>
      </c>
      <c r="K27" s="139" t="s">
        <v>943</v>
      </c>
      <c r="L27" s="419"/>
      <c r="M27" s="419"/>
      <c r="N27" s="406">
        <f>L27*M27</f>
        <v>0</v>
      </c>
    </row>
    <row r="28" spans="1:14">
      <c r="A28" s="138" t="s">
        <v>1253</v>
      </c>
      <c r="B28" s="138" t="s">
        <v>1254</v>
      </c>
      <c r="C28" s="139" t="s">
        <v>983</v>
      </c>
      <c r="D28" s="419"/>
      <c r="E28" s="419"/>
      <c r="F28" s="406">
        <f t="shared" ref="F28:F34" si="0">D28*E28</f>
        <v>0</v>
      </c>
      <c r="G28" s="140"/>
      <c r="I28" s="138" t="s">
        <v>1253</v>
      </c>
      <c r="J28" s="138" t="s">
        <v>1254</v>
      </c>
      <c r="K28" s="139" t="s">
        <v>983</v>
      </c>
      <c r="L28" s="419"/>
      <c r="M28" s="419"/>
      <c r="N28" s="406">
        <f t="shared" ref="N28:N69" si="1">L28*M28</f>
        <v>0</v>
      </c>
    </row>
    <row r="29" spans="1:14">
      <c r="A29" s="138" t="s">
        <v>1255</v>
      </c>
      <c r="B29" s="138" t="s">
        <v>1256</v>
      </c>
      <c r="C29" s="139" t="s">
        <v>943</v>
      </c>
      <c r="D29" s="419"/>
      <c r="E29" s="419"/>
      <c r="F29" s="406">
        <f t="shared" si="0"/>
        <v>0</v>
      </c>
      <c r="G29" s="140"/>
      <c r="I29" s="138" t="s">
        <v>1255</v>
      </c>
      <c r="J29" s="138" t="s">
        <v>1256</v>
      </c>
      <c r="K29" s="139" t="s">
        <v>943</v>
      </c>
      <c r="L29" s="419"/>
      <c r="M29" s="419"/>
      <c r="N29" s="406">
        <f t="shared" si="1"/>
        <v>0</v>
      </c>
    </row>
    <row r="30" spans="1:14">
      <c r="A30" s="138" t="s">
        <v>1257</v>
      </c>
      <c r="B30" s="138" t="s">
        <v>1475</v>
      </c>
      <c r="C30" s="139" t="s">
        <v>983</v>
      </c>
      <c r="D30" s="419"/>
      <c r="E30" s="419"/>
      <c r="F30" s="406">
        <f t="shared" si="0"/>
        <v>0</v>
      </c>
      <c r="G30" s="140"/>
      <c r="I30" s="138" t="s">
        <v>1257</v>
      </c>
      <c r="J30" s="138" t="s">
        <v>1475</v>
      </c>
      <c r="K30" s="139" t="s">
        <v>983</v>
      </c>
      <c r="L30" s="419"/>
      <c r="M30" s="419"/>
      <c r="N30" s="406">
        <f t="shared" si="1"/>
        <v>0</v>
      </c>
    </row>
    <row r="31" spans="1:14">
      <c r="A31" s="138" t="s">
        <v>1259</v>
      </c>
      <c r="B31" s="138" t="s">
        <v>1476</v>
      </c>
      <c r="C31" s="139" t="s">
        <v>22</v>
      </c>
      <c r="D31" s="419"/>
      <c r="E31" s="419"/>
      <c r="F31" s="406">
        <f t="shared" si="0"/>
        <v>0</v>
      </c>
      <c r="G31" s="140"/>
      <c r="I31" s="138" t="s">
        <v>1259</v>
      </c>
      <c r="J31" s="138" t="s">
        <v>1476</v>
      </c>
      <c r="K31" s="139" t="s">
        <v>22</v>
      </c>
      <c r="L31" s="419"/>
      <c r="M31" s="419"/>
      <c r="N31" s="406">
        <f t="shared" si="1"/>
        <v>0</v>
      </c>
    </row>
    <row r="32" spans="1:14">
      <c r="A32" s="138" t="s">
        <v>1477</v>
      </c>
      <c r="B32" s="138" t="s">
        <v>1478</v>
      </c>
      <c r="C32" s="139" t="s">
        <v>943</v>
      </c>
      <c r="D32" s="419"/>
      <c r="E32" s="419"/>
      <c r="F32" s="406">
        <f t="shared" si="0"/>
        <v>0</v>
      </c>
      <c r="G32" s="140"/>
      <c r="I32" s="138" t="s">
        <v>1477</v>
      </c>
      <c r="J32" s="138" t="s">
        <v>1478</v>
      </c>
      <c r="K32" s="139" t="s">
        <v>943</v>
      </c>
      <c r="L32" s="419"/>
      <c r="M32" s="419"/>
      <c r="N32" s="406">
        <f t="shared" si="1"/>
        <v>0</v>
      </c>
    </row>
    <row r="33" spans="1:14">
      <c r="A33" s="138" t="s">
        <v>1479</v>
      </c>
      <c r="B33" s="138" t="s">
        <v>1480</v>
      </c>
      <c r="C33" s="139" t="s">
        <v>983</v>
      </c>
      <c r="D33" s="419"/>
      <c r="E33" s="419"/>
      <c r="F33" s="406">
        <f t="shared" si="0"/>
        <v>0</v>
      </c>
      <c r="G33" s="140"/>
      <c r="I33" s="138" t="s">
        <v>1479</v>
      </c>
      <c r="J33" s="138" t="s">
        <v>1480</v>
      </c>
      <c r="K33" s="139" t="s">
        <v>983</v>
      </c>
      <c r="L33" s="419"/>
      <c r="M33" s="419"/>
      <c r="N33" s="406">
        <f t="shared" si="1"/>
        <v>0</v>
      </c>
    </row>
    <row r="34" spans="1:14">
      <c r="A34" s="138" t="s">
        <v>1481</v>
      </c>
      <c r="B34" s="138" t="s">
        <v>1482</v>
      </c>
      <c r="C34" s="139" t="s">
        <v>22</v>
      </c>
      <c r="D34" s="419"/>
      <c r="E34" s="419"/>
      <c r="F34" s="406">
        <f t="shared" si="0"/>
        <v>0</v>
      </c>
      <c r="G34" s="140"/>
      <c r="I34" s="138" t="s">
        <v>1481</v>
      </c>
      <c r="J34" s="138" t="s">
        <v>1482</v>
      </c>
      <c r="K34" s="139" t="s">
        <v>22</v>
      </c>
      <c r="L34" s="419"/>
      <c r="M34" s="419"/>
      <c r="N34" s="406">
        <f t="shared" si="1"/>
        <v>0</v>
      </c>
    </row>
    <row r="35" spans="1:14">
      <c r="A35" s="138" t="s">
        <v>884</v>
      </c>
      <c r="B35" s="134" t="s">
        <v>3027</v>
      </c>
      <c r="C35" s="139"/>
      <c r="D35" s="419"/>
      <c r="E35" s="419"/>
      <c r="F35" s="406">
        <f>F36</f>
        <v>0</v>
      </c>
      <c r="G35" s="140"/>
      <c r="I35" s="138" t="s">
        <v>884</v>
      </c>
      <c r="J35" s="134" t="s">
        <v>3041</v>
      </c>
      <c r="K35" s="139"/>
      <c r="L35" s="419"/>
      <c r="M35" s="419"/>
      <c r="N35" s="406">
        <f>SUM(N36)</f>
        <v>0</v>
      </c>
    </row>
    <row r="36" spans="1:14">
      <c r="A36" s="138" t="s">
        <v>885</v>
      </c>
      <c r="B36" s="138" t="s">
        <v>1483</v>
      </c>
      <c r="C36" s="139" t="s">
        <v>22</v>
      </c>
      <c r="D36" s="419"/>
      <c r="E36" s="419"/>
      <c r="F36" s="406">
        <f>D36*E36</f>
        <v>0</v>
      </c>
      <c r="G36" s="140"/>
      <c r="I36" s="138" t="s">
        <v>885</v>
      </c>
      <c r="J36" s="138" t="s">
        <v>1483</v>
      </c>
      <c r="K36" s="139" t="s">
        <v>22</v>
      </c>
      <c r="L36" s="419"/>
      <c r="M36" s="419"/>
      <c r="N36" s="406">
        <f t="shared" si="1"/>
        <v>0</v>
      </c>
    </row>
    <row r="37" spans="1:14">
      <c r="A37" s="138" t="s">
        <v>886</v>
      </c>
      <c r="B37" s="134" t="s">
        <v>1265</v>
      </c>
      <c r="C37" s="139"/>
      <c r="D37" s="419"/>
      <c r="E37" s="419"/>
      <c r="F37" s="406">
        <f>SUM(F38:F40)</f>
        <v>0</v>
      </c>
      <c r="G37" s="140"/>
      <c r="I37" s="138" t="s">
        <v>886</v>
      </c>
      <c r="J37" s="134" t="s">
        <v>1265</v>
      </c>
      <c r="K37" s="139"/>
      <c r="L37" s="419"/>
      <c r="M37" s="419"/>
      <c r="N37" s="406">
        <f>SUM(N38:N40)</f>
        <v>0</v>
      </c>
    </row>
    <row r="38" spans="1:14">
      <c r="A38" s="138" t="s">
        <v>888</v>
      </c>
      <c r="B38" s="138" t="s">
        <v>1269</v>
      </c>
      <c r="C38" s="139" t="s">
        <v>22</v>
      </c>
      <c r="D38" s="419"/>
      <c r="E38" s="419"/>
      <c r="F38" s="406">
        <f>D38*E38</f>
        <v>0</v>
      </c>
      <c r="G38" s="140"/>
      <c r="I38" s="138" t="s">
        <v>888</v>
      </c>
      <c r="J38" s="138" t="s">
        <v>1269</v>
      </c>
      <c r="K38" s="139" t="s">
        <v>22</v>
      </c>
      <c r="L38" s="419"/>
      <c r="M38" s="419"/>
      <c r="N38" s="406">
        <f t="shared" si="1"/>
        <v>0</v>
      </c>
    </row>
    <row r="39" spans="1:14">
      <c r="A39" s="138" t="s">
        <v>889</v>
      </c>
      <c r="B39" s="138" t="s">
        <v>1484</v>
      </c>
      <c r="C39" s="139" t="s">
        <v>22</v>
      </c>
      <c r="D39" s="419"/>
      <c r="E39" s="419"/>
      <c r="F39" s="406">
        <f>D39*E39</f>
        <v>0</v>
      </c>
      <c r="G39" s="140"/>
      <c r="I39" s="138" t="s">
        <v>889</v>
      </c>
      <c r="J39" s="138" t="s">
        <v>1484</v>
      </c>
      <c r="K39" s="139" t="s">
        <v>22</v>
      </c>
      <c r="L39" s="419"/>
      <c r="M39" s="419"/>
      <c r="N39" s="406">
        <f t="shared" si="1"/>
        <v>0</v>
      </c>
    </row>
    <row r="40" spans="1:14">
      <c r="A40" s="138" t="s">
        <v>1485</v>
      </c>
      <c r="B40" s="138" t="s">
        <v>1486</v>
      </c>
      <c r="C40" s="139" t="s">
        <v>875</v>
      </c>
      <c r="D40" s="419"/>
      <c r="E40" s="419"/>
      <c r="F40" s="406">
        <f>D40*E40</f>
        <v>0</v>
      </c>
      <c r="G40" s="140"/>
      <c r="I40" s="138" t="s">
        <v>1485</v>
      </c>
      <c r="J40" s="138" t="s">
        <v>1486</v>
      </c>
      <c r="K40" s="139" t="s">
        <v>875</v>
      </c>
      <c r="L40" s="419"/>
      <c r="M40" s="419"/>
      <c r="N40" s="406">
        <f t="shared" si="1"/>
        <v>0</v>
      </c>
    </row>
    <row r="41" spans="1:14">
      <c r="A41" s="138" t="s">
        <v>890</v>
      </c>
      <c r="B41" s="134" t="s">
        <v>1487</v>
      </c>
      <c r="C41" s="139"/>
      <c r="D41" s="419"/>
      <c r="E41" s="419"/>
      <c r="F41" s="406">
        <f>F42</f>
        <v>0</v>
      </c>
      <c r="G41" s="140"/>
      <c r="I41" s="138" t="s">
        <v>890</v>
      </c>
      <c r="J41" s="134" t="s">
        <v>1487</v>
      </c>
      <c r="K41" s="139"/>
      <c r="L41" s="419"/>
      <c r="M41" s="419"/>
      <c r="N41" s="406">
        <f>SUM(N42)</f>
        <v>0</v>
      </c>
    </row>
    <row r="42" spans="1:14">
      <c r="A42" s="138" t="s">
        <v>892</v>
      </c>
      <c r="B42" s="138" t="s">
        <v>1488</v>
      </c>
      <c r="C42" s="139" t="s">
        <v>22</v>
      </c>
      <c r="D42" s="419"/>
      <c r="E42" s="419"/>
      <c r="F42" s="406">
        <f>D42*E42</f>
        <v>0</v>
      </c>
      <c r="G42" s="140"/>
      <c r="I42" s="138" t="s">
        <v>892</v>
      </c>
      <c r="J42" s="138" t="s">
        <v>1488</v>
      </c>
      <c r="K42" s="139" t="s">
        <v>22</v>
      </c>
      <c r="L42" s="419"/>
      <c r="M42" s="419"/>
      <c r="N42" s="406">
        <f t="shared" si="1"/>
        <v>0</v>
      </c>
    </row>
    <row r="43" spans="1:14">
      <c r="A43" s="134" t="s">
        <v>897</v>
      </c>
      <c r="B43" s="134" t="s">
        <v>2957</v>
      </c>
      <c r="C43" s="139"/>
      <c r="D43" s="419"/>
      <c r="E43" s="419"/>
      <c r="F43" s="406">
        <f>F44</f>
        <v>0</v>
      </c>
      <c r="G43" s="140"/>
      <c r="I43" s="134" t="s">
        <v>897</v>
      </c>
      <c r="J43" s="134" t="s">
        <v>2957</v>
      </c>
      <c r="K43" s="139"/>
      <c r="L43" s="419"/>
      <c r="M43" s="419"/>
      <c r="N43" s="406">
        <f>SUM(N44)</f>
        <v>0</v>
      </c>
    </row>
    <row r="44" spans="1:14">
      <c r="A44" s="138" t="s">
        <v>898</v>
      </c>
      <c r="B44" s="138" t="s">
        <v>1290</v>
      </c>
      <c r="C44" s="139" t="s">
        <v>22</v>
      </c>
      <c r="D44" s="419"/>
      <c r="E44" s="419"/>
      <c r="F44" s="406">
        <f>D44*E44</f>
        <v>0</v>
      </c>
      <c r="G44" s="140"/>
      <c r="I44" s="138" t="s">
        <v>898</v>
      </c>
      <c r="J44" s="138" t="s">
        <v>1290</v>
      </c>
      <c r="K44" s="139" t="s">
        <v>22</v>
      </c>
      <c r="L44" s="419"/>
      <c r="M44" s="419"/>
      <c r="N44" s="406">
        <f t="shared" si="1"/>
        <v>0</v>
      </c>
    </row>
    <row r="45" spans="1:14">
      <c r="A45" s="138" t="s">
        <v>902</v>
      </c>
      <c r="B45" s="134" t="s">
        <v>2958</v>
      </c>
      <c r="C45" s="139"/>
      <c r="D45" s="419"/>
      <c r="E45" s="419"/>
      <c r="F45" s="406">
        <f>SUM(F46:F69)</f>
        <v>0</v>
      </c>
      <c r="G45" s="140"/>
      <c r="I45" s="134" t="s">
        <v>902</v>
      </c>
      <c r="J45" s="134" t="s">
        <v>3042</v>
      </c>
      <c r="K45" s="139"/>
      <c r="L45" s="419"/>
      <c r="M45" s="419"/>
      <c r="N45" s="406">
        <f>SUM(N46:N69)</f>
        <v>0</v>
      </c>
    </row>
    <row r="46" spans="1:14">
      <c r="A46" s="138" t="s">
        <v>903</v>
      </c>
      <c r="B46" s="138" t="s">
        <v>2959</v>
      </c>
      <c r="C46" s="139" t="s">
        <v>472</v>
      </c>
      <c r="D46" s="419"/>
      <c r="E46" s="419"/>
      <c r="F46" s="406">
        <f>D46*E46</f>
        <v>0</v>
      </c>
      <c r="G46" s="140"/>
      <c r="I46" s="138" t="s">
        <v>903</v>
      </c>
      <c r="J46" s="138" t="s">
        <v>2959</v>
      </c>
      <c r="K46" s="139" t="s">
        <v>472</v>
      </c>
      <c r="L46" s="419"/>
      <c r="M46" s="419"/>
      <c r="N46" s="406">
        <f t="shared" si="1"/>
        <v>0</v>
      </c>
    </row>
    <row r="47" spans="1:14">
      <c r="A47" s="138" t="s">
        <v>1291</v>
      </c>
      <c r="B47" s="138" t="s">
        <v>2960</v>
      </c>
      <c r="C47" s="139" t="s">
        <v>472</v>
      </c>
      <c r="D47" s="419"/>
      <c r="E47" s="419"/>
      <c r="F47" s="406">
        <f t="shared" ref="F47:F69" si="2">D47*E47</f>
        <v>0</v>
      </c>
      <c r="G47" s="140"/>
      <c r="I47" s="138" t="s">
        <v>1291</v>
      </c>
      <c r="J47" s="138" t="s">
        <v>2960</v>
      </c>
      <c r="K47" s="139" t="s">
        <v>472</v>
      </c>
      <c r="L47" s="419"/>
      <c r="M47" s="419"/>
      <c r="N47" s="406">
        <f t="shared" si="1"/>
        <v>0</v>
      </c>
    </row>
    <row r="48" spans="1:14">
      <c r="A48" s="138" t="s">
        <v>1293</v>
      </c>
      <c r="B48" s="138" t="s">
        <v>2961</v>
      </c>
      <c r="C48" s="139" t="s">
        <v>22</v>
      </c>
      <c r="D48" s="419"/>
      <c r="E48" s="419"/>
      <c r="F48" s="406">
        <f t="shared" si="2"/>
        <v>0</v>
      </c>
      <c r="G48" s="140"/>
      <c r="I48" s="138" t="s">
        <v>1293</v>
      </c>
      <c r="J48" s="138" t="s">
        <v>2961</v>
      </c>
      <c r="K48" s="139" t="s">
        <v>22</v>
      </c>
      <c r="L48" s="419"/>
      <c r="M48" s="419"/>
      <c r="N48" s="406">
        <f t="shared" si="1"/>
        <v>0</v>
      </c>
    </row>
    <row r="49" spans="1:14">
      <c r="A49" s="138" t="s">
        <v>1294</v>
      </c>
      <c r="B49" s="138" t="s">
        <v>1432</v>
      </c>
      <c r="C49" s="139" t="s">
        <v>1433</v>
      </c>
      <c r="D49" s="419"/>
      <c r="E49" s="419"/>
      <c r="F49" s="406">
        <f t="shared" si="2"/>
        <v>0</v>
      </c>
      <c r="G49" s="140"/>
      <c r="I49" s="138" t="s">
        <v>1294</v>
      </c>
      <c r="J49" s="138" t="s">
        <v>1432</v>
      </c>
      <c r="K49" s="139" t="s">
        <v>1433</v>
      </c>
      <c r="L49" s="419"/>
      <c r="M49" s="419"/>
      <c r="N49" s="406">
        <f t="shared" si="1"/>
        <v>0</v>
      </c>
    </row>
    <row r="50" spans="1:14">
      <c r="A50" s="138" t="s">
        <v>1489</v>
      </c>
      <c r="B50" s="138" t="s">
        <v>1435</v>
      </c>
      <c r="C50" s="139" t="s">
        <v>1433</v>
      </c>
      <c r="D50" s="419"/>
      <c r="E50" s="419"/>
      <c r="F50" s="406">
        <f t="shared" si="2"/>
        <v>0</v>
      </c>
      <c r="G50" s="140"/>
      <c r="I50" s="138" t="s">
        <v>1489</v>
      </c>
      <c r="J50" s="138" t="s">
        <v>1435</v>
      </c>
      <c r="K50" s="139" t="s">
        <v>1433</v>
      </c>
      <c r="L50" s="419"/>
      <c r="M50" s="419"/>
      <c r="N50" s="406">
        <f t="shared" si="1"/>
        <v>0</v>
      </c>
    </row>
    <row r="51" spans="1:14">
      <c r="A51" s="138" t="s">
        <v>1490</v>
      </c>
      <c r="B51" s="138" t="s">
        <v>1437</v>
      </c>
      <c r="C51" s="139" t="s">
        <v>1433</v>
      </c>
      <c r="D51" s="419"/>
      <c r="E51" s="419"/>
      <c r="F51" s="406">
        <f t="shared" si="2"/>
        <v>0</v>
      </c>
      <c r="G51" s="140"/>
      <c r="I51" s="138" t="s">
        <v>1490</v>
      </c>
      <c r="J51" s="138" t="s">
        <v>1437</v>
      </c>
      <c r="K51" s="139" t="s">
        <v>1433</v>
      </c>
      <c r="L51" s="419"/>
      <c r="M51" s="419"/>
      <c r="N51" s="406">
        <f t="shared" si="1"/>
        <v>0</v>
      </c>
    </row>
    <row r="52" spans="1:14">
      <c r="A52" s="138" t="s">
        <v>1491</v>
      </c>
      <c r="B52" s="138" t="s">
        <v>1439</v>
      </c>
      <c r="C52" s="139" t="s">
        <v>1433</v>
      </c>
      <c r="D52" s="419"/>
      <c r="E52" s="419"/>
      <c r="F52" s="406">
        <f t="shared" si="2"/>
        <v>0</v>
      </c>
      <c r="G52" s="140"/>
      <c r="I52" s="138" t="s">
        <v>1491</v>
      </c>
      <c r="J52" s="138" t="s">
        <v>1439</v>
      </c>
      <c r="K52" s="139" t="s">
        <v>1433</v>
      </c>
      <c r="L52" s="419"/>
      <c r="M52" s="419"/>
      <c r="N52" s="406">
        <f t="shared" si="1"/>
        <v>0</v>
      </c>
    </row>
    <row r="53" spans="1:14">
      <c r="A53" s="138" t="s">
        <v>1492</v>
      </c>
      <c r="B53" s="138" t="s">
        <v>1441</v>
      </c>
      <c r="C53" s="139" t="s">
        <v>472</v>
      </c>
      <c r="D53" s="419"/>
      <c r="E53" s="419"/>
      <c r="F53" s="406">
        <f t="shared" si="2"/>
        <v>0</v>
      </c>
      <c r="G53" s="140"/>
      <c r="I53" s="138" t="s">
        <v>1492</v>
      </c>
      <c r="J53" s="138" t="s">
        <v>1441</v>
      </c>
      <c r="K53" s="139" t="s">
        <v>472</v>
      </c>
      <c r="L53" s="419"/>
      <c r="M53" s="419"/>
      <c r="N53" s="406">
        <f t="shared" si="1"/>
        <v>0</v>
      </c>
    </row>
    <row r="54" spans="1:14">
      <c r="A54" s="138" t="s">
        <v>1493</v>
      </c>
      <c r="B54" s="138" t="s">
        <v>1443</v>
      </c>
      <c r="C54" s="139" t="s">
        <v>1433</v>
      </c>
      <c r="D54" s="419"/>
      <c r="E54" s="419"/>
      <c r="F54" s="406">
        <f t="shared" si="2"/>
        <v>0</v>
      </c>
      <c r="G54" s="140"/>
      <c r="I54" s="138" t="s">
        <v>1493</v>
      </c>
      <c r="J54" s="138" t="s">
        <v>1443</v>
      </c>
      <c r="K54" s="139" t="s">
        <v>1433</v>
      </c>
      <c r="L54" s="419"/>
      <c r="M54" s="419"/>
      <c r="N54" s="406">
        <f t="shared" si="1"/>
        <v>0</v>
      </c>
    </row>
    <row r="55" spans="1:14">
      <c r="A55" s="138" t="s">
        <v>1494</v>
      </c>
      <c r="B55" s="138" t="s">
        <v>1445</v>
      </c>
      <c r="C55" s="139" t="s">
        <v>22</v>
      </c>
      <c r="D55" s="419"/>
      <c r="E55" s="419"/>
      <c r="F55" s="406">
        <f t="shared" si="2"/>
        <v>0</v>
      </c>
      <c r="G55" s="140"/>
      <c r="I55" s="138" t="s">
        <v>1494</v>
      </c>
      <c r="J55" s="138" t="s">
        <v>1445</v>
      </c>
      <c r="K55" s="139" t="s">
        <v>22</v>
      </c>
      <c r="L55" s="419"/>
      <c r="M55" s="419"/>
      <c r="N55" s="406">
        <f t="shared" si="1"/>
        <v>0</v>
      </c>
    </row>
    <row r="56" spans="1:14">
      <c r="A56" s="138" t="s">
        <v>1495</v>
      </c>
      <c r="B56" s="138" t="s">
        <v>3028</v>
      </c>
      <c r="C56" s="139" t="s">
        <v>472</v>
      </c>
      <c r="D56" s="419"/>
      <c r="E56" s="419"/>
      <c r="F56" s="406">
        <f t="shared" si="2"/>
        <v>0</v>
      </c>
      <c r="G56" s="140"/>
      <c r="I56" s="138" t="s">
        <v>1495</v>
      </c>
      <c r="J56" s="138" t="s">
        <v>1447</v>
      </c>
      <c r="K56" s="139" t="s">
        <v>472</v>
      </c>
      <c r="L56" s="419"/>
      <c r="M56" s="419"/>
      <c r="N56" s="406">
        <f t="shared" si="1"/>
        <v>0</v>
      </c>
    </row>
    <row r="57" spans="1:14">
      <c r="A57" s="138" t="s">
        <v>1496</v>
      </c>
      <c r="B57" s="138" t="s">
        <v>2963</v>
      </c>
      <c r="C57" s="139" t="s">
        <v>472</v>
      </c>
      <c r="D57" s="419"/>
      <c r="E57" s="419"/>
      <c r="F57" s="406">
        <f t="shared" si="2"/>
        <v>0</v>
      </c>
      <c r="G57" s="140"/>
      <c r="I57" s="138" t="s">
        <v>1496</v>
      </c>
      <c r="J57" s="138" t="s">
        <v>2963</v>
      </c>
      <c r="K57" s="139" t="s">
        <v>472</v>
      </c>
      <c r="L57" s="419"/>
      <c r="M57" s="419"/>
      <c r="N57" s="406">
        <f t="shared" si="1"/>
        <v>0</v>
      </c>
    </row>
    <row r="58" spans="1:14">
      <c r="A58" s="138" t="s">
        <v>1497</v>
      </c>
      <c r="B58" s="138" t="s">
        <v>1450</v>
      </c>
      <c r="C58" s="139" t="s">
        <v>472</v>
      </c>
      <c r="D58" s="419"/>
      <c r="E58" s="419"/>
      <c r="F58" s="406">
        <f t="shared" si="2"/>
        <v>0</v>
      </c>
      <c r="G58" s="140"/>
      <c r="I58" s="138" t="s">
        <v>1497</v>
      </c>
      <c r="J58" s="138" t="s">
        <v>2964</v>
      </c>
      <c r="K58" s="139" t="s">
        <v>472</v>
      </c>
      <c r="L58" s="419"/>
      <c r="M58" s="419"/>
      <c r="N58" s="406">
        <f t="shared" si="1"/>
        <v>0</v>
      </c>
    </row>
    <row r="59" spans="1:14">
      <c r="A59" s="138" t="s">
        <v>1498</v>
      </c>
      <c r="B59" s="138" t="s">
        <v>1452</v>
      </c>
      <c r="C59" s="139" t="s">
        <v>22</v>
      </c>
      <c r="D59" s="419"/>
      <c r="E59" s="419"/>
      <c r="F59" s="406">
        <f t="shared" si="2"/>
        <v>0</v>
      </c>
      <c r="G59" s="140"/>
      <c r="I59" s="138" t="s">
        <v>1498</v>
      </c>
      <c r="J59" s="138" t="s">
        <v>1452</v>
      </c>
      <c r="K59" s="139" t="s">
        <v>22</v>
      </c>
      <c r="L59" s="419"/>
      <c r="M59" s="419"/>
      <c r="N59" s="406">
        <f t="shared" si="1"/>
        <v>0</v>
      </c>
    </row>
    <row r="60" spans="1:14">
      <c r="A60" s="138" t="s">
        <v>1499</v>
      </c>
      <c r="B60" s="138" t="s">
        <v>2965</v>
      </c>
      <c r="C60" s="139" t="s">
        <v>472</v>
      </c>
      <c r="D60" s="419"/>
      <c r="E60" s="419"/>
      <c r="F60" s="406">
        <f t="shared" si="2"/>
        <v>0</v>
      </c>
      <c r="G60" s="140"/>
      <c r="I60" s="138" t="s">
        <v>1499</v>
      </c>
      <c r="J60" s="138" t="s">
        <v>2965</v>
      </c>
      <c r="K60" s="139" t="s">
        <v>472</v>
      </c>
      <c r="L60" s="419"/>
      <c r="M60" s="419"/>
      <c r="N60" s="406">
        <f t="shared" si="1"/>
        <v>0</v>
      </c>
    </row>
    <row r="61" spans="1:14">
      <c r="A61" s="138" t="s">
        <v>1500</v>
      </c>
      <c r="B61" s="138" t="s">
        <v>2966</v>
      </c>
      <c r="C61" s="139" t="s">
        <v>472</v>
      </c>
      <c r="D61" s="419"/>
      <c r="E61" s="419"/>
      <c r="F61" s="406">
        <f t="shared" si="2"/>
        <v>0</v>
      </c>
      <c r="G61" s="140"/>
      <c r="I61" s="138" t="s">
        <v>1500</v>
      </c>
      <c r="J61" s="138" t="s">
        <v>2966</v>
      </c>
      <c r="K61" s="139" t="s">
        <v>472</v>
      </c>
      <c r="L61" s="419"/>
      <c r="M61" s="419"/>
      <c r="N61" s="406">
        <f t="shared" si="1"/>
        <v>0</v>
      </c>
    </row>
    <row r="62" spans="1:14">
      <c r="A62" s="138" t="s">
        <v>1501</v>
      </c>
      <c r="B62" s="138" t="s">
        <v>3029</v>
      </c>
      <c r="C62" s="139" t="s">
        <v>472</v>
      </c>
      <c r="D62" s="419"/>
      <c r="E62" s="419"/>
      <c r="F62" s="406">
        <f t="shared" si="2"/>
        <v>0</v>
      </c>
      <c r="G62" s="140"/>
      <c r="I62" s="138" t="s">
        <v>1501</v>
      </c>
      <c r="J62" s="138" t="s">
        <v>3029</v>
      </c>
      <c r="K62" s="139" t="s">
        <v>472</v>
      </c>
      <c r="L62" s="419"/>
      <c r="M62" s="419"/>
      <c r="N62" s="406">
        <f t="shared" si="1"/>
        <v>0</v>
      </c>
    </row>
    <row r="63" spans="1:14">
      <c r="A63" s="138" t="s">
        <v>1502</v>
      </c>
      <c r="B63" s="138" t="s">
        <v>1457</v>
      </c>
      <c r="C63" s="139" t="s">
        <v>22</v>
      </c>
      <c r="D63" s="419"/>
      <c r="E63" s="419"/>
      <c r="F63" s="406">
        <f t="shared" si="2"/>
        <v>0</v>
      </c>
      <c r="G63" s="140"/>
      <c r="I63" s="138" t="s">
        <v>1502</v>
      </c>
      <c r="J63" s="138" t="s">
        <v>1457</v>
      </c>
      <c r="K63" s="139" t="s">
        <v>22</v>
      </c>
      <c r="L63" s="419"/>
      <c r="M63" s="419"/>
      <c r="N63" s="406">
        <f t="shared" si="1"/>
        <v>0</v>
      </c>
    </row>
    <row r="64" spans="1:14">
      <c r="A64" s="138" t="s">
        <v>1503</v>
      </c>
      <c r="B64" s="138" t="s">
        <v>2968</v>
      </c>
      <c r="C64" s="139" t="s">
        <v>472</v>
      </c>
      <c r="D64" s="419"/>
      <c r="E64" s="419"/>
      <c r="F64" s="406">
        <f t="shared" si="2"/>
        <v>0</v>
      </c>
      <c r="G64" s="140"/>
      <c r="I64" s="138" t="s">
        <v>1503</v>
      </c>
      <c r="J64" s="138" t="s">
        <v>2968</v>
      </c>
      <c r="K64" s="139" t="s">
        <v>472</v>
      </c>
      <c r="L64" s="419"/>
      <c r="M64" s="419"/>
      <c r="N64" s="406">
        <f t="shared" si="1"/>
        <v>0</v>
      </c>
    </row>
    <row r="65" spans="1:14">
      <c r="A65" s="138" t="s">
        <v>1504</v>
      </c>
      <c r="B65" s="138" t="s">
        <v>2969</v>
      </c>
      <c r="C65" s="139" t="s">
        <v>472</v>
      </c>
      <c r="D65" s="419"/>
      <c r="E65" s="419"/>
      <c r="F65" s="406">
        <f t="shared" si="2"/>
        <v>0</v>
      </c>
      <c r="G65" s="140"/>
      <c r="I65" s="138" t="s">
        <v>1504</v>
      </c>
      <c r="J65" s="138" t="s">
        <v>2969</v>
      </c>
      <c r="K65" s="139" t="s">
        <v>472</v>
      </c>
      <c r="L65" s="419"/>
      <c r="M65" s="419"/>
      <c r="N65" s="406">
        <f t="shared" si="1"/>
        <v>0</v>
      </c>
    </row>
    <row r="66" spans="1:14">
      <c r="A66" s="138" t="s">
        <v>1505</v>
      </c>
      <c r="B66" s="138" t="s">
        <v>2970</v>
      </c>
      <c r="C66" s="139" t="s">
        <v>472</v>
      </c>
      <c r="D66" s="419"/>
      <c r="E66" s="419"/>
      <c r="F66" s="406">
        <f t="shared" si="2"/>
        <v>0</v>
      </c>
      <c r="G66" s="140"/>
      <c r="I66" s="138" t="s">
        <v>1505</v>
      </c>
      <c r="J66" s="138" t="s">
        <v>2970</v>
      </c>
      <c r="K66" s="139" t="s">
        <v>472</v>
      </c>
      <c r="L66" s="419"/>
      <c r="M66" s="419"/>
      <c r="N66" s="406">
        <f t="shared" si="1"/>
        <v>0</v>
      </c>
    </row>
    <row r="67" spans="1:14">
      <c r="A67" s="138" t="s">
        <v>1506</v>
      </c>
      <c r="B67" s="138" t="s">
        <v>1462</v>
      </c>
      <c r="C67" s="139" t="s">
        <v>22</v>
      </c>
      <c r="D67" s="419"/>
      <c r="E67" s="419"/>
      <c r="F67" s="406">
        <f t="shared" si="2"/>
        <v>0</v>
      </c>
      <c r="G67" s="140"/>
      <c r="I67" s="138" t="s">
        <v>1506</v>
      </c>
      <c r="J67" s="138" t="s">
        <v>1462</v>
      </c>
      <c r="K67" s="139" t="s">
        <v>22</v>
      </c>
      <c r="L67" s="419"/>
      <c r="M67" s="419"/>
      <c r="N67" s="406">
        <f t="shared" si="1"/>
        <v>0</v>
      </c>
    </row>
    <row r="68" spans="1:14">
      <c r="A68" s="138" t="s">
        <v>1507</v>
      </c>
      <c r="B68" s="138" t="s">
        <v>2971</v>
      </c>
      <c r="C68" s="139" t="s">
        <v>472</v>
      </c>
      <c r="D68" s="419"/>
      <c r="E68" s="419"/>
      <c r="F68" s="406">
        <f t="shared" si="2"/>
        <v>0</v>
      </c>
      <c r="G68" s="140"/>
      <c r="I68" s="138" t="s">
        <v>1507</v>
      </c>
      <c r="J68" s="138" t="s">
        <v>2971</v>
      </c>
      <c r="K68" s="139" t="s">
        <v>472</v>
      </c>
      <c r="L68" s="419"/>
      <c r="M68" s="419"/>
      <c r="N68" s="406">
        <f t="shared" si="1"/>
        <v>0</v>
      </c>
    </row>
    <row r="69" spans="1:14">
      <c r="A69" s="138" t="s">
        <v>1508</v>
      </c>
      <c r="B69" s="138" t="s">
        <v>2972</v>
      </c>
      <c r="C69" s="139" t="s">
        <v>472</v>
      </c>
      <c r="D69" s="419"/>
      <c r="E69" s="419"/>
      <c r="F69" s="406">
        <f t="shared" si="2"/>
        <v>0</v>
      </c>
      <c r="G69" s="140"/>
      <c r="I69" s="138" t="s">
        <v>1508</v>
      </c>
      <c r="J69" s="138" t="s">
        <v>2972</v>
      </c>
      <c r="K69" s="139" t="s">
        <v>472</v>
      </c>
      <c r="L69" s="419"/>
      <c r="M69" s="419"/>
      <c r="N69" s="406">
        <f t="shared" si="1"/>
        <v>0</v>
      </c>
    </row>
    <row r="70" spans="1:14">
      <c r="A70" s="138" t="s">
        <v>905</v>
      </c>
      <c r="B70" s="134" t="s">
        <v>1295</v>
      </c>
      <c r="C70" s="139"/>
      <c r="D70" s="419"/>
      <c r="E70" s="419"/>
      <c r="F70" s="136">
        <f>SUM(F71:F72)</f>
        <v>0</v>
      </c>
      <c r="G70" s="137"/>
      <c r="I70" s="134" t="s">
        <v>905</v>
      </c>
      <c r="J70" s="134" t="s">
        <v>1295</v>
      </c>
      <c r="K70" s="139"/>
      <c r="L70" s="419"/>
      <c r="M70" s="419"/>
      <c r="N70" s="136">
        <f>SUM(N71:N72)</f>
        <v>0</v>
      </c>
    </row>
    <row r="71" spans="1:14">
      <c r="A71" s="138" t="s">
        <v>906</v>
      </c>
      <c r="B71" s="138" t="s">
        <v>3030</v>
      </c>
      <c r="C71" s="139" t="s">
        <v>22</v>
      </c>
      <c r="D71" s="419"/>
      <c r="E71" s="419"/>
      <c r="F71" s="406">
        <f>D71*E71</f>
        <v>0</v>
      </c>
      <c r="G71" s="140"/>
      <c r="I71" s="138" t="s">
        <v>906</v>
      </c>
      <c r="J71" s="138" t="s">
        <v>3030</v>
      </c>
      <c r="K71" s="139" t="s">
        <v>22</v>
      </c>
      <c r="L71" s="419"/>
      <c r="M71" s="419"/>
      <c r="N71" s="406">
        <f>L71*M71</f>
        <v>0</v>
      </c>
    </row>
    <row r="72" spans="1:14">
      <c r="A72" s="138" t="s">
        <v>907</v>
      </c>
      <c r="B72" s="138" t="s">
        <v>3031</v>
      </c>
      <c r="C72" s="139" t="s">
        <v>22</v>
      </c>
      <c r="D72" s="419"/>
      <c r="E72" s="419"/>
      <c r="F72" s="406">
        <f>D72*E72</f>
        <v>0</v>
      </c>
      <c r="G72" s="140"/>
      <c r="I72" s="138" t="s">
        <v>907</v>
      </c>
      <c r="J72" s="138" t="s">
        <v>3031</v>
      </c>
      <c r="K72" s="139" t="s">
        <v>22</v>
      </c>
      <c r="L72" s="419"/>
      <c r="M72" s="419"/>
      <c r="N72" s="406">
        <f>L72*M72</f>
        <v>0</v>
      </c>
    </row>
    <row r="73" spans="1:14">
      <c r="A73" s="134" t="s">
        <v>915</v>
      </c>
      <c r="B73" s="134" t="s">
        <v>2954</v>
      </c>
      <c r="C73" s="139"/>
      <c r="D73" s="419"/>
      <c r="E73" s="419"/>
      <c r="F73" s="406">
        <f>SUM(F74:F80)</f>
        <v>0</v>
      </c>
      <c r="G73" s="140"/>
      <c r="I73" s="134" t="s">
        <v>915</v>
      </c>
      <c r="J73" s="134" t="s">
        <v>2954</v>
      </c>
      <c r="K73" s="139"/>
      <c r="L73" s="419"/>
      <c r="M73" s="419"/>
      <c r="N73" s="406">
        <f>SUM(N74:N80)</f>
        <v>0</v>
      </c>
    </row>
    <row r="74" spans="1:14">
      <c r="A74" s="138" t="s">
        <v>917</v>
      </c>
      <c r="B74" s="138" t="s">
        <v>1409</v>
      </c>
      <c r="C74" s="139" t="s">
        <v>1000</v>
      </c>
      <c r="D74" s="419"/>
      <c r="E74" s="419"/>
      <c r="F74" s="406">
        <f>D74*E74</f>
        <v>0</v>
      </c>
      <c r="G74" s="140"/>
      <c r="I74" s="138" t="s">
        <v>917</v>
      </c>
      <c r="J74" s="138" t="s">
        <v>1409</v>
      </c>
      <c r="K74" s="139" t="s">
        <v>1000</v>
      </c>
      <c r="L74" s="419"/>
      <c r="M74" s="419"/>
      <c r="N74" s="406">
        <f>L74*M74</f>
        <v>0</v>
      </c>
    </row>
    <row r="75" spans="1:14">
      <c r="A75" s="138" t="s">
        <v>1296</v>
      </c>
      <c r="B75" s="138" t="s">
        <v>1411</v>
      </c>
      <c r="C75" s="139" t="s">
        <v>1000</v>
      </c>
      <c r="D75" s="419"/>
      <c r="E75" s="419"/>
      <c r="F75" s="406">
        <f t="shared" ref="F75:F80" si="3">D75*E75</f>
        <v>0</v>
      </c>
      <c r="G75" s="140"/>
      <c r="I75" s="138" t="s">
        <v>1296</v>
      </c>
      <c r="J75" s="138" t="s">
        <v>1411</v>
      </c>
      <c r="K75" s="139" t="s">
        <v>1000</v>
      </c>
      <c r="L75" s="419"/>
      <c r="M75" s="419"/>
      <c r="N75" s="406">
        <f t="shared" ref="N75:N80" si="4">L75*M75</f>
        <v>0</v>
      </c>
    </row>
    <row r="76" spans="1:14">
      <c r="A76" s="138" t="s">
        <v>1509</v>
      </c>
      <c r="B76" s="138" t="s">
        <v>1413</v>
      </c>
      <c r="C76" s="139" t="s">
        <v>472</v>
      </c>
      <c r="D76" s="419"/>
      <c r="E76" s="419"/>
      <c r="F76" s="406">
        <f t="shared" si="3"/>
        <v>0</v>
      </c>
      <c r="G76" s="140"/>
      <c r="I76" s="138" t="s">
        <v>1509</v>
      </c>
      <c r="J76" s="138" t="s">
        <v>1413</v>
      </c>
      <c r="K76" s="139" t="s">
        <v>472</v>
      </c>
      <c r="L76" s="419"/>
      <c r="M76" s="419"/>
      <c r="N76" s="406">
        <f t="shared" si="4"/>
        <v>0</v>
      </c>
    </row>
    <row r="77" spans="1:14">
      <c r="A77" s="138" t="s">
        <v>1510</v>
      </c>
      <c r="B77" s="138" t="s">
        <v>1415</v>
      </c>
      <c r="C77" s="139" t="s">
        <v>472</v>
      </c>
      <c r="D77" s="419"/>
      <c r="E77" s="419"/>
      <c r="F77" s="406">
        <f t="shared" si="3"/>
        <v>0</v>
      </c>
      <c r="G77" s="140"/>
      <c r="I77" s="138" t="s">
        <v>1510</v>
      </c>
      <c r="J77" s="138" t="s">
        <v>1415</v>
      </c>
      <c r="K77" s="139" t="s">
        <v>472</v>
      </c>
      <c r="L77" s="419"/>
      <c r="M77" s="419"/>
      <c r="N77" s="406">
        <f t="shared" si="4"/>
        <v>0</v>
      </c>
    </row>
    <row r="78" spans="1:14">
      <c r="A78" s="138" t="s">
        <v>1511</v>
      </c>
      <c r="B78" s="138" t="s">
        <v>1512</v>
      </c>
      <c r="C78" s="139" t="s">
        <v>472</v>
      </c>
      <c r="D78" s="419"/>
      <c r="E78" s="419"/>
      <c r="F78" s="406">
        <f t="shared" si="3"/>
        <v>0</v>
      </c>
      <c r="G78" s="140"/>
      <c r="I78" s="138" t="s">
        <v>1511</v>
      </c>
      <c r="J78" s="138" t="s">
        <v>1512</v>
      </c>
      <c r="K78" s="139" t="s">
        <v>472</v>
      </c>
      <c r="L78" s="419"/>
      <c r="M78" s="419"/>
      <c r="N78" s="406">
        <f t="shared" si="4"/>
        <v>0</v>
      </c>
    </row>
    <row r="79" spans="1:14">
      <c r="A79" s="138" t="s">
        <v>1513</v>
      </c>
      <c r="B79" s="138" t="s">
        <v>1419</v>
      </c>
      <c r="C79" s="139" t="s">
        <v>875</v>
      </c>
      <c r="D79" s="419"/>
      <c r="E79" s="419"/>
      <c r="F79" s="406">
        <f t="shared" si="3"/>
        <v>0</v>
      </c>
      <c r="G79" s="140"/>
      <c r="I79" s="138" t="s">
        <v>1513</v>
      </c>
      <c r="J79" s="138" t="s">
        <v>1419</v>
      </c>
      <c r="K79" s="139" t="s">
        <v>875</v>
      </c>
      <c r="L79" s="419"/>
      <c r="M79" s="419"/>
      <c r="N79" s="406">
        <f t="shared" si="4"/>
        <v>0</v>
      </c>
    </row>
    <row r="80" spans="1:14">
      <c r="A80" s="138" t="s">
        <v>1514</v>
      </c>
      <c r="B80" s="138" t="s">
        <v>1422</v>
      </c>
      <c r="C80" s="139" t="s">
        <v>875</v>
      </c>
      <c r="D80" s="419"/>
      <c r="E80" s="419"/>
      <c r="F80" s="406">
        <f t="shared" si="3"/>
        <v>0</v>
      </c>
      <c r="G80" s="140"/>
      <c r="I80" s="138" t="s">
        <v>1514</v>
      </c>
      <c r="J80" s="138" t="s">
        <v>1422</v>
      </c>
      <c r="K80" s="139" t="s">
        <v>875</v>
      </c>
      <c r="L80" s="419"/>
      <c r="M80" s="419"/>
      <c r="N80" s="406">
        <f t="shared" si="4"/>
        <v>0</v>
      </c>
    </row>
    <row r="81" spans="1:14">
      <c r="A81" s="141" t="s">
        <v>919</v>
      </c>
      <c r="B81" s="142" t="s">
        <v>1515</v>
      </c>
      <c r="C81" s="143"/>
      <c r="D81" s="420"/>
      <c r="E81" s="420"/>
      <c r="F81" s="407">
        <f>SUM(F82:F86)</f>
        <v>0</v>
      </c>
      <c r="G81" s="144"/>
      <c r="I81" s="145" t="s">
        <v>142</v>
      </c>
      <c r="J81" s="145" t="s">
        <v>1516</v>
      </c>
      <c r="K81" s="146"/>
      <c r="L81" s="421"/>
      <c r="M81" s="421"/>
      <c r="N81" s="408">
        <f>SUM(N82,N164,N221,N272,N332,N345,N404)</f>
        <v>0</v>
      </c>
    </row>
    <row r="82" spans="1:14">
      <c r="A82" s="147" t="s">
        <v>921</v>
      </c>
      <c r="B82" s="148" t="s">
        <v>1517</v>
      </c>
      <c r="C82" s="143"/>
      <c r="D82" s="420"/>
      <c r="E82" s="420"/>
      <c r="F82" s="407">
        <f>SUM(F83:F86)</f>
        <v>0</v>
      </c>
      <c r="G82" s="144"/>
      <c r="I82" s="145" t="s">
        <v>1106</v>
      </c>
      <c r="J82" s="145" t="s">
        <v>1518</v>
      </c>
      <c r="K82" s="146"/>
      <c r="L82" s="421"/>
      <c r="M82" s="421"/>
      <c r="N82" s="408">
        <f>SUM(N83,N85,N89,N94,N101,N104,N108,N111,N113,N116,N120,N122,N124,N128,N134,N156)</f>
        <v>0</v>
      </c>
    </row>
    <row r="83" spans="1:14">
      <c r="A83" s="147" t="s">
        <v>1298</v>
      </c>
      <c r="B83" s="149" t="s">
        <v>1519</v>
      </c>
      <c r="C83" s="143" t="s">
        <v>943</v>
      </c>
      <c r="D83" s="420"/>
      <c r="E83" s="420"/>
      <c r="F83" s="407">
        <f>D83*E83</f>
        <v>0</v>
      </c>
      <c r="G83" s="144"/>
      <c r="I83" s="150" t="s">
        <v>1107</v>
      </c>
      <c r="J83" s="150" t="s">
        <v>934</v>
      </c>
      <c r="K83" s="146"/>
      <c r="L83" s="421"/>
      <c r="M83" s="421"/>
      <c r="N83" s="408">
        <f>SUM(N84)</f>
        <v>0</v>
      </c>
    </row>
    <row r="84" spans="1:14">
      <c r="A84" s="147" t="s">
        <v>1300</v>
      </c>
      <c r="B84" s="149" t="s">
        <v>1520</v>
      </c>
      <c r="C84" s="143" t="s">
        <v>472</v>
      </c>
      <c r="D84" s="420"/>
      <c r="E84" s="420"/>
      <c r="F84" s="407">
        <f>D84*E84</f>
        <v>0</v>
      </c>
      <c r="G84" s="144"/>
      <c r="I84" s="150" t="s">
        <v>1108</v>
      </c>
      <c r="J84" s="150" t="s">
        <v>1126</v>
      </c>
      <c r="K84" s="146" t="s">
        <v>22</v>
      </c>
      <c r="L84" s="421"/>
      <c r="M84" s="421"/>
      <c r="N84" s="408">
        <f>L84*M84</f>
        <v>0</v>
      </c>
    </row>
    <row r="85" spans="1:14">
      <c r="A85" s="147" t="s">
        <v>1521</v>
      </c>
      <c r="B85" s="149" t="s">
        <v>3032</v>
      </c>
      <c r="C85" s="143" t="s">
        <v>472</v>
      </c>
      <c r="D85" s="420"/>
      <c r="E85" s="420"/>
      <c r="F85" s="407">
        <f>D85*E85</f>
        <v>0</v>
      </c>
      <c r="G85" s="144"/>
      <c r="I85" s="150" t="s">
        <v>1110</v>
      </c>
      <c r="J85" s="150" t="s">
        <v>939</v>
      </c>
      <c r="K85" s="146"/>
      <c r="L85" s="421"/>
      <c r="M85" s="421"/>
      <c r="N85" s="408">
        <f>SUM(N86:N88)</f>
        <v>0</v>
      </c>
    </row>
    <row r="86" spans="1:14">
      <c r="A86" s="147" t="s">
        <v>1522</v>
      </c>
      <c r="B86" s="149" t="s">
        <v>3033</v>
      </c>
      <c r="C86" s="143" t="s">
        <v>472</v>
      </c>
      <c r="D86" s="420"/>
      <c r="E86" s="420"/>
      <c r="F86" s="407">
        <f>D86*E86</f>
        <v>0</v>
      </c>
      <c r="G86" s="144"/>
      <c r="I86" s="150" t="s">
        <v>1111</v>
      </c>
      <c r="J86" s="150" t="s">
        <v>3034</v>
      </c>
      <c r="K86" s="146" t="s">
        <v>943</v>
      </c>
      <c r="L86" s="421"/>
      <c r="M86" s="421"/>
      <c r="N86" s="408">
        <f>L86*M86</f>
        <v>0</v>
      </c>
    </row>
    <row r="87" spans="1:14">
      <c r="A87" s="147" t="s">
        <v>922</v>
      </c>
      <c r="B87" s="149" t="s">
        <v>1523</v>
      </c>
      <c r="C87" s="143"/>
      <c r="D87" s="420"/>
      <c r="E87" s="420"/>
      <c r="F87" s="407">
        <f>SUM(F88:F93)</f>
        <v>0</v>
      </c>
      <c r="G87" s="144"/>
      <c r="I87" s="150" t="s">
        <v>1113</v>
      </c>
      <c r="J87" s="150" t="s">
        <v>3043</v>
      </c>
      <c r="K87" s="146" t="s">
        <v>22</v>
      </c>
      <c r="L87" s="421"/>
      <c r="M87" s="421"/>
      <c r="N87" s="408">
        <f>L87*M87</f>
        <v>0</v>
      </c>
    </row>
    <row r="88" spans="1:14">
      <c r="A88" s="147" t="s">
        <v>1302</v>
      </c>
      <c r="B88" s="149" t="s">
        <v>1524</v>
      </c>
      <c r="C88" s="143" t="s">
        <v>943</v>
      </c>
      <c r="D88" s="420"/>
      <c r="E88" s="420"/>
      <c r="F88" s="407">
        <f t="shared" ref="F88:F93" si="5">D88*E88</f>
        <v>0</v>
      </c>
      <c r="G88" s="144"/>
      <c r="I88" s="150" t="s">
        <v>1114</v>
      </c>
      <c r="J88" s="150" t="s">
        <v>3036</v>
      </c>
      <c r="K88" s="146" t="s">
        <v>943</v>
      </c>
      <c r="L88" s="421"/>
      <c r="M88" s="421"/>
      <c r="N88" s="408">
        <f>L88*M88</f>
        <v>0</v>
      </c>
    </row>
    <row r="89" spans="1:14">
      <c r="A89" s="147" t="s">
        <v>1304</v>
      </c>
      <c r="B89" s="149" t="s">
        <v>1525</v>
      </c>
      <c r="C89" s="143" t="s">
        <v>875</v>
      </c>
      <c r="D89" s="420"/>
      <c r="E89" s="420"/>
      <c r="F89" s="407">
        <f t="shared" si="5"/>
        <v>0</v>
      </c>
      <c r="G89" s="144"/>
      <c r="I89" s="150" t="s">
        <v>1115</v>
      </c>
      <c r="J89" s="150" t="s">
        <v>957</v>
      </c>
      <c r="K89" s="146"/>
      <c r="L89" s="421"/>
      <c r="M89" s="421"/>
      <c r="N89" s="408">
        <f>SUM(N90:N93)</f>
        <v>0</v>
      </c>
    </row>
    <row r="90" spans="1:14">
      <c r="A90" s="147" t="s">
        <v>1306</v>
      </c>
      <c r="B90" s="149" t="s">
        <v>1526</v>
      </c>
      <c r="C90" s="143" t="s">
        <v>875</v>
      </c>
      <c r="D90" s="420"/>
      <c r="E90" s="420"/>
      <c r="F90" s="407">
        <f t="shared" si="5"/>
        <v>0</v>
      </c>
      <c r="G90" s="144"/>
      <c r="I90" s="150" t="s">
        <v>1117</v>
      </c>
      <c r="J90" s="150" t="s">
        <v>3037</v>
      </c>
      <c r="K90" s="146" t="s">
        <v>943</v>
      </c>
      <c r="L90" s="421"/>
      <c r="M90" s="421"/>
      <c r="N90" s="408">
        <f>L90*M90</f>
        <v>0</v>
      </c>
    </row>
    <row r="91" spans="1:14">
      <c r="A91" s="147" t="s">
        <v>1309</v>
      </c>
      <c r="B91" s="149" t="s">
        <v>1527</v>
      </c>
      <c r="C91" s="143" t="s">
        <v>472</v>
      </c>
      <c r="D91" s="420"/>
      <c r="E91" s="420"/>
      <c r="F91" s="407">
        <f t="shared" si="5"/>
        <v>0</v>
      </c>
      <c r="G91" s="144"/>
      <c r="I91" s="150" t="s">
        <v>1119</v>
      </c>
      <c r="J91" s="150" t="s">
        <v>1528</v>
      </c>
      <c r="K91" s="146" t="s">
        <v>943</v>
      </c>
      <c r="L91" s="421"/>
      <c r="M91" s="421"/>
      <c r="N91" s="408">
        <f>L91*M91</f>
        <v>0</v>
      </c>
    </row>
    <row r="92" spans="1:14">
      <c r="A92" s="147" t="s">
        <v>1529</v>
      </c>
      <c r="B92" s="148" t="s">
        <v>1530</v>
      </c>
      <c r="C92" s="143" t="s">
        <v>472</v>
      </c>
      <c r="D92" s="420"/>
      <c r="E92" s="420"/>
      <c r="F92" s="407">
        <f t="shared" si="5"/>
        <v>0</v>
      </c>
      <c r="G92" s="144"/>
      <c r="I92" s="150" t="s">
        <v>1531</v>
      </c>
      <c r="J92" s="150" t="s">
        <v>963</v>
      </c>
      <c r="K92" s="146" t="s">
        <v>22</v>
      </c>
      <c r="L92" s="421"/>
      <c r="M92" s="421"/>
      <c r="N92" s="408">
        <f>L92*M92</f>
        <v>0</v>
      </c>
    </row>
    <row r="93" spans="1:14">
      <c r="A93" s="147" t="s">
        <v>1532</v>
      </c>
      <c r="B93" s="148" t="s">
        <v>1533</v>
      </c>
      <c r="C93" s="143" t="s">
        <v>472</v>
      </c>
      <c r="D93" s="420"/>
      <c r="E93" s="420"/>
      <c r="F93" s="407">
        <f t="shared" si="5"/>
        <v>0</v>
      </c>
      <c r="G93" s="144"/>
      <c r="I93" s="150" t="s">
        <v>1534</v>
      </c>
      <c r="J93" s="150" t="s">
        <v>1535</v>
      </c>
      <c r="K93" s="146" t="s">
        <v>22</v>
      </c>
      <c r="L93" s="421"/>
      <c r="M93" s="421"/>
      <c r="N93" s="408">
        <f>L93*M93</f>
        <v>0</v>
      </c>
    </row>
    <row r="94" spans="1:14">
      <c r="A94" s="142" t="s">
        <v>926</v>
      </c>
      <c r="B94" s="142" t="s">
        <v>1536</v>
      </c>
      <c r="C94" s="143"/>
      <c r="D94" s="420"/>
      <c r="E94" s="420"/>
      <c r="F94" s="407">
        <f>SUM(F95,F97,F101,F105,F112,F114,F117,F120,F133,F135,F139,F143)</f>
        <v>0</v>
      </c>
      <c r="G94" s="144"/>
      <c r="I94" s="150" t="s">
        <v>1537</v>
      </c>
      <c r="J94" s="150" t="s">
        <v>974</v>
      </c>
      <c r="K94" s="146"/>
      <c r="L94" s="421"/>
      <c r="M94" s="421"/>
      <c r="N94" s="408">
        <f>SUM(N95:N100)</f>
        <v>0</v>
      </c>
    </row>
    <row r="95" spans="1:14">
      <c r="A95" s="148" t="s">
        <v>927</v>
      </c>
      <c r="B95" s="148" t="s">
        <v>934</v>
      </c>
      <c r="C95" s="143"/>
      <c r="D95" s="420"/>
      <c r="E95" s="420"/>
      <c r="F95" s="407">
        <f>F96</f>
        <v>0</v>
      </c>
      <c r="G95" s="144"/>
      <c r="I95" s="150" t="s">
        <v>1538</v>
      </c>
      <c r="J95" s="150" t="s">
        <v>1539</v>
      </c>
      <c r="K95" s="146" t="s">
        <v>943</v>
      </c>
      <c r="L95" s="421"/>
      <c r="M95" s="421"/>
      <c r="N95" s="408">
        <f>L95*M95</f>
        <v>0</v>
      </c>
    </row>
    <row r="96" spans="1:14">
      <c r="A96" s="148" t="s">
        <v>1321</v>
      </c>
      <c r="B96" s="148" t="s">
        <v>1126</v>
      </c>
      <c r="C96" s="143" t="s">
        <v>22</v>
      </c>
      <c r="D96" s="420"/>
      <c r="E96" s="420"/>
      <c r="F96" s="407">
        <f>D96*E96</f>
        <v>0</v>
      </c>
      <c r="G96" s="144"/>
      <c r="I96" s="150" t="s">
        <v>1540</v>
      </c>
      <c r="J96" s="150" t="s">
        <v>1260</v>
      </c>
      <c r="K96" s="146" t="s">
        <v>22</v>
      </c>
      <c r="L96" s="421"/>
      <c r="M96" s="421"/>
      <c r="N96" s="408">
        <f t="shared" ref="N96:N159" si="6">L96*M96</f>
        <v>0</v>
      </c>
    </row>
    <row r="97" spans="1:14">
      <c r="A97" s="148" t="s">
        <v>928</v>
      </c>
      <c r="B97" s="148" t="s">
        <v>939</v>
      </c>
      <c r="C97" s="143"/>
      <c r="D97" s="420"/>
      <c r="E97" s="420"/>
      <c r="F97" s="407">
        <f>SUM(F98:F100)</f>
        <v>0</v>
      </c>
      <c r="G97" s="144"/>
      <c r="I97" s="150" t="s">
        <v>1541</v>
      </c>
      <c r="J97" s="150" t="s">
        <v>1542</v>
      </c>
      <c r="K97" s="146" t="s">
        <v>983</v>
      </c>
      <c r="L97" s="421"/>
      <c r="M97" s="421"/>
      <c r="N97" s="408">
        <f t="shared" si="6"/>
        <v>0</v>
      </c>
    </row>
    <row r="98" spans="1:14">
      <c r="A98" s="148" t="s">
        <v>1326</v>
      </c>
      <c r="B98" s="148" t="s">
        <v>3034</v>
      </c>
      <c r="C98" s="143" t="s">
        <v>943</v>
      </c>
      <c r="D98" s="420"/>
      <c r="E98" s="420"/>
      <c r="F98" s="407">
        <f>D98*E98</f>
        <v>0</v>
      </c>
      <c r="G98" s="144"/>
      <c r="I98" s="150" t="s">
        <v>1543</v>
      </c>
      <c r="J98" s="150" t="s">
        <v>1544</v>
      </c>
      <c r="K98" s="146" t="s">
        <v>943</v>
      </c>
      <c r="L98" s="421"/>
      <c r="M98" s="421"/>
      <c r="N98" s="408">
        <f t="shared" si="6"/>
        <v>0</v>
      </c>
    </row>
    <row r="99" spans="1:14">
      <c r="A99" s="148" t="s">
        <v>1328</v>
      </c>
      <c r="B99" s="148" t="s">
        <v>3035</v>
      </c>
      <c r="C99" s="143" t="s">
        <v>22</v>
      </c>
      <c r="D99" s="420"/>
      <c r="E99" s="420"/>
      <c r="F99" s="407">
        <f>D99*E99</f>
        <v>0</v>
      </c>
      <c r="G99" s="144"/>
      <c r="I99" s="150" t="s">
        <v>1545</v>
      </c>
      <c r="J99" s="150" t="s">
        <v>1546</v>
      </c>
      <c r="K99" s="146" t="s">
        <v>22</v>
      </c>
      <c r="L99" s="421"/>
      <c r="M99" s="421"/>
      <c r="N99" s="408">
        <f t="shared" si="6"/>
        <v>0</v>
      </c>
    </row>
    <row r="100" spans="1:14">
      <c r="A100" s="148" t="s">
        <v>1330</v>
      </c>
      <c r="B100" s="148" t="s">
        <v>3036</v>
      </c>
      <c r="C100" s="143" t="s">
        <v>943</v>
      </c>
      <c r="D100" s="420"/>
      <c r="E100" s="420"/>
      <c r="F100" s="407">
        <f>D100*E100</f>
        <v>0</v>
      </c>
      <c r="G100" s="144"/>
      <c r="I100" s="150" t="s">
        <v>1547</v>
      </c>
      <c r="J100" s="150" t="s">
        <v>1548</v>
      </c>
      <c r="K100" s="146" t="s">
        <v>983</v>
      </c>
      <c r="L100" s="421"/>
      <c r="M100" s="421"/>
      <c r="N100" s="408">
        <f t="shared" si="6"/>
        <v>0</v>
      </c>
    </row>
    <row r="101" spans="1:14">
      <c r="A101" s="148" t="s">
        <v>929</v>
      </c>
      <c r="B101" s="148" t="s">
        <v>957</v>
      </c>
      <c r="C101" s="143"/>
      <c r="D101" s="420"/>
      <c r="E101" s="420"/>
      <c r="F101" s="407">
        <f>SUM(F102:F104)</f>
        <v>0</v>
      </c>
      <c r="G101" s="144"/>
      <c r="I101" s="150" t="s">
        <v>1549</v>
      </c>
      <c r="J101" s="150" t="s">
        <v>3044</v>
      </c>
      <c r="K101" s="146"/>
      <c r="L101" s="421"/>
      <c r="M101" s="421"/>
      <c r="N101" s="408">
        <f>SUM(N102:N103)</f>
        <v>0</v>
      </c>
    </row>
    <row r="102" spans="1:14">
      <c r="A102" s="148" t="s">
        <v>1334</v>
      </c>
      <c r="B102" s="148" t="s">
        <v>3037</v>
      </c>
      <c r="C102" s="143" t="s">
        <v>943</v>
      </c>
      <c r="D102" s="420"/>
      <c r="E102" s="420"/>
      <c r="F102" s="407">
        <f>D102*E102</f>
        <v>0</v>
      </c>
      <c r="G102" s="144"/>
      <c r="I102" s="150" t="s">
        <v>1551</v>
      </c>
      <c r="J102" s="150" t="s">
        <v>1552</v>
      </c>
      <c r="K102" s="146" t="s">
        <v>22</v>
      </c>
      <c r="L102" s="421"/>
      <c r="M102" s="421"/>
      <c r="N102" s="408">
        <f t="shared" si="6"/>
        <v>0</v>
      </c>
    </row>
    <row r="103" spans="1:14">
      <c r="A103" s="148" t="s">
        <v>1553</v>
      </c>
      <c r="B103" s="148" t="s">
        <v>1528</v>
      </c>
      <c r="C103" s="143" t="s">
        <v>943</v>
      </c>
      <c r="D103" s="420"/>
      <c r="E103" s="420"/>
      <c r="F103" s="407">
        <f>D103*E103</f>
        <v>0</v>
      </c>
      <c r="G103" s="144"/>
      <c r="I103" s="150" t="s">
        <v>1554</v>
      </c>
      <c r="J103" s="150" t="s">
        <v>1555</v>
      </c>
      <c r="K103" s="146" t="s">
        <v>22</v>
      </c>
      <c r="L103" s="421"/>
      <c r="M103" s="421"/>
      <c r="N103" s="408">
        <f t="shared" si="6"/>
        <v>0</v>
      </c>
    </row>
    <row r="104" spans="1:14">
      <c r="A104" s="148" t="s">
        <v>1556</v>
      </c>
      <c r="B104" s="148" t="s">
        <v>963</v>
      </c>
      <c r="C104" s="143" t="s">
        <v>22</v>
      </c>
      <c r="D104" s="420"/>
      <c r="E104" s="420"/>
      <c r="F104" s="407">
        <f>D104*E104</f>
        <v>0</v>
      </c>
      <c r="G104" s="144"/>
      <c r="I104" s="150" t="s">
        <v>1557</v>
      </c>
      <c r="J104" s="150" t="s">
        <v>1558</v>
      </c>
      <c r="K104" s="146"/>
      <c r="L104" s="421"/>
      <c r="M104" s="421"/>
      <c r="N104" s="408">
        <f>SUM(N105:N107)</f>
        <v>0</v>
      </c>
    </row>
    <row r="105" spans="1:14">
      <c r="A105" s="148" t="s">
        <v>1337</v>
      </c>
      <c r="B105" s="148" t="s">
        <v>974</v>
      </c>
      <c r="C105" s="143"/>
      <c r="D105" s="420"/>
      <c r="E105" s="420"/>
      <c r="F105" s="407">
        <f>SUM(F106:F111)</f>
        <v>0</v>
      </c>
      <c r="G105" s="144"/>
      <c r="I105" s="150" t="s">
        <v>1559</v>
      </c>
      <c r="J105" s="150" t="s">
        <v>1560</v>
      </c>
      <c r="K105" s="146" t="s">
        <v>22</v>
      </c>
      <c r="L105" s="421"/>
      <c r="M105" s="421"/>
      <c r="N105" s="408">
        <f t="shared" si="6"/>
        <v>0</v>
      </c>
    </row>
    <row r="106" spans="1:14">
      <c r="A106" s="148" t="s">
        <v>1340</v>
      </c>
      <c r="B106" s="148" t="s">
        <v>1561</v>
      </c>
      <c r="C106" s="143" t="s">
        <v>943</v>
      </c>
      <c r="D106" s="420"/>
      <c r="E106" s="420"/>
      <c r="F106" s="407">
        <f t="shared" ref="F106:F111" si="7">D106*E106</f>
        <v>0</v>
      </c>
      <c r="G106" s="144"/>
      <c r="I106" s="150" t="s">
        <v>1562</v>
      </c>
      <c r="J106" s="150" t="s">
        <v>1563</v>
      </c>
      <c r="K106" s="146" t="s">
        <v>22</v>
      </c>
      <c r="L106" s="421"/>
      <c r="M106" s="421"/>
      <c r="N106" s="408">
        <f t="shared" si="6"/>
        <v>0</v>
      </c>
    </row>
    <row r="107" spans="1:14">
      <c r="A107" s="148" t="s">
        <v>1343</v>
      </c>
      <c r="B107" s="148" t="s">
        <v>1260</v>
      </c>
      <c r="C107" s="143" t="s">
        <v>22</v>
      </c>
      <c r="D107" s="420"/>
      <c r="E107" s="420"/>
      <c r="F107" s="407">
        <f t="shared" si="7"/>
        <v>0</v>
      </c>
      <c r="G107" s="144"/>
      <c r="I107" s="150" t="s">
        <v>1564</v>
      </c>
      <c r="J107" s="150" t="s">
        <v>1565</v>
      </c>
      <c r="K107" s="146" t="s">
        <v>22</v>
      </c>
      <c r="L107" s="421"/>
      <c r="M107" s="421"/>
      <c r="N107" s="408">
        <f t="shared" si="6"/>
        <v>0</v>
      </c>
    </row>
    <row r="108" spans="1:14">
      <c r="A108" s="148" t="s">
        <v>1346</v>
      </c>
      <c r="B108" s="148" t="s">
        <v>1566</v>
      </c>
      <c r="C108" s="143" t="s">
        <v>983</v>
      </c>
      <c r="D108" s="420"/>
      <c r="E108" s="420"/>
      <c r="F108" s="407">
        <f t="shared" si="7"/>
        <v>0</v>
      </c>
      <c r="G108" s="144"/>
      <c r="I108" s="150" t="s">
        <v>1567</v>
      </c>
      <c r="J108" s="150" t="s">
        <v>1568</v>
      </c>
      <c r="K108" s="146"/>
      <c r="L108" s="421"/>
      <c r="M108" s="421"/>
      <c r="N108" s="408">
        <f>SUM(N109:N110)</f>
        <v>0</v>
      </c>
    </row>
    <row r="109" spans="1:14">
      <c r="A109" s="148" t="s">
        <v>1569</v>
      </c>
      <c r="B109" s="148" t="s">
        <v>1544</v>
      </c>
      <c r="C109" s="143" t="s">
        <v>943</v>
      </c>
      <c r="D109" s="420"/>
      <c r="E109" s="420"/>
      <c r="F109" s="407">
        <f t="shared" si="7"/>
        <v>0</v>
      </c>
      <c r="G109" s="144"/>
      <c r="I109" s="150" t="s">
        <v>1570</v>
      </c>
      <c r="J109" s="150" t="s">
        <v>1571</v>
      </c>
      <c r="K109" s="146" t="s">
        <v>22</v>
      </c>
      <c r="L109" s="421"/>
      <c r="M109" s="421"/>
      <c r="N109" s="408">
        <f t="shared" si="6"/>
        <v>0</v>
      </c>
    </row>
    <row r="110" spans="1:14">
      <c r="A110" s="148" t="s">
        <v>1572</v>
      </c>
      <c r="B110" s="148" t="s">
        <v>1546</v>
      </c>
      <c r="C110" s="143" t="s">
        <v>22</v>
      </c>
      <c r="D110" s="420"/>
      <c r="E110" s="420"/>
      <c r="F110" s="407">
        <f t="shared" si="7"/>
        <v>0</v>
      </c>
      <c r="G110" s="144"/>
      <c r="I110" s="150" t="s">
        <v>1573</v>
      </c>
      <c r="J110" s="150" t="s">
        <v>3045</v>
      </c>
      <c r="K110" s="146" t="s">
        <v>22</v>
      </c>
      <c r="L110" s="421"/>
      <c r="M110" s="421"/>
      <c r="N110" s="408">
        <f t="shared" si="6"/>
        <v>0</v>
      </c>
    </row>
    <row r="111" spans="1:14">
      <c r="A111" s="148" t="s">
        <v>1574</v>
      </c>
      <c r="B111" s="148" t="s">
        <v>1548</v>
      </c>
      <c r="C111" s="143" t="s">
        <v>983</v>
      </c>
      <c r="D111" s="420"/>
      <c r="E111" s="420"/>
      <c r="F111" s="407">
        <f t="shared" si="7"/>
        <v>0</v>
      </c>
      <c r="G111" s="144"/>
      <c r="I111" s="150" t="s">
        <v>1575</v>
      </c>
      <c r="J111" s="150" t="s">
        <v>3038</v>
      </c>
      <c r="K111" s="146"/>
      <c r="L111" s="421"/>
      <c r="M111" s="421"/>
      <c r="N111" s="408">
        <f>SUM(N112)</f>
        <v>0</v>
      </c>
    </row>
    <row r="112" spans="1:14">
      <c r="A112" s="148" t="s">
        <v>1349</v>
      </c>
      <c r="B112" s="148" t="s">
        <v>1550</v>
      </c>
      <c r="C112" s="143"/>
      <c r="D112" s="420"/>
      <c r="E112" s="420"/>
      <c r="F112" s="407">
        <f>F113</f>
        <v>0</v>
      </c>
      <c r="G112" s="144"/>
      <c r="I112" s="150" t="s">
        <v>1576</v>
      </c>
      <c r="J112" s="150" t="s">
        <v>3046</v>
      </c>
      <c r="K112" s="146" t="s">
        <v>22</v>
      </c>
      <c r="L112" s="421"/>
      <c r="M112" s="421"/>
      <c r="N112" s="408">
        <f t="shared" si="6"/>
        <v>0</v>
      </c>
    </row>
    <row r="113" spans="1:14">
      <c r="A113" s="148" t="s">
        <v>1351</v>
      </c>
      <c r="B113" s="148" t="s">
        <v>1552</v>
      </c>
      <c r="C113" s="143" t="s">
        <v>22</v>
      </c>
      <c r="D113" s="420"/>
      <c r="E113" s="420"/>
      <c r="F113" s="407">
        <f>D113*E113</f>
        <v>0</v>
      </c>
      <c r="G113" s="144"/>
      <c r="I113" s="150" t="s">
        <v>1577</v>
      </c>
      <c r="J113" s="150" t="s">
        <v>1578</v>
      </c>
      <c r="K113" s="146"/>
      <c r="L113" s="421"/>
      <c r="M113" s="421"/>
      <c r="N113" s="408">
        <f>SUM(N114:N115)</f>
        <v>0</v>
      </c>
    </row>
    <row r="114" spans="1:14">
      <c r="A114" s="148" t="s">
        <v>1579</v>
      </c>
      <c r="B114" s="148" t="s">
        <v>1558</v>
      </c>
      <c r="C114" s="143"/>
      <c r="D114" s="420"/>
      <c r="E114" s="420"/>
      <c r="F114" s="407">
        <f>SUM(F115:F116)</f>
        <v>0</v>
      </c>
      <c r="G114" s="144"/>
      <c r="I114" s="150" t="s">
        <v>1580</v>
      </c>
      <c r="J114" s="150" t="s">
        <v>1581</v>
      </c>
      <c r="K114" s="146" t="s">
        <v>22</v>
      </c>
      <c r="L114" s="421"/>
      <c r="M114" s="421"/>
      <c r="N114" s="408">
        <f t="shared" si="6"/>
        <v>0</v>
      </c>
    </row>
    <row r="115" spans="1:14">
      <c r="A115" s="148" t="s">
        <v>1582</v>
      </c>
      <c r="B115" s="148" t="s">
        <v>1583</v>
      </c>
      <c r="C115" s="143" t="s">
        <v>22</v>
      </c>
      <c r="D115" s="420"/>
      <c r="E115" s="420"/>
      <c r="F115" s="407">
        <f>D115*E115</f>
        <v>0</v>
      </c>
      <c r="G115" s="144"/>
      <c r="I115" s="150" t="s">
        <v>1584</v>
      </c>
      <c r="J115" s="150" t="s">
        <v>1585</v>
      </c>
      <c r="K115" s="146" t="s">
        <v>875</v>
      </c>
      <c r="L115" s="421"/>
      <c r="M115" s="421"/>
      <c r="N115" s="408">
        <f t="shared" si="6"/>
        <v>0</v>
      </c>
    </row>
    <row r="116" spans="1:14">
      <c r="A116" s="148" t="s">
        <v>1586</v>
      </c>
      <c r="B116" s="148" t="s">
        <v>1587</v>
      </c>
      <c r="C116" s="143" t="s">
        <v>22</v>
      </c>
      <c r="D116" s="420"/>
      <c r="E116" s="420"/>
      <c r="F116" s="407">
        <f>D116*E116</f>
        <v>0</v>
      </c>
      <c r="G116" s="144"/>
      <c r="I116" s="150" t="s">
        <v>1588</v>
      </c>
      <c r="J116" s="150" t="s">
        <v>3047</v>
      </c>
      <c r="K116" s="146"/>
      <c r="L116" s="421"/>
      <c r="M116" s="421"/>
      <c r="N116" s="408">
        <f>SUM(N117:N119)</f>
        <v>0</v>
      </c>
    </row>
    <row r="117" spans="1:14">
      <c r="A117" s="148" t="s">
        <v>1589</v>
      </c>
      <c r="B117" s="148" t="s">
        <v>1568</v>
      </c>
      <c r="C117" s="143"/>
      <c r="D117" s="420"/>
      <c r="E117" s="420"/>
      <c r="F117" s="407">
        <f>SUM(F118:F119)</f>
        <v>0</v>
      </c>
      <c r="G117" s="144"/>
      <c r="I117" s="150" t="s">
        <v>1590</v>
      </c>
      <c r="J117" s="150" t="s">
        <v>1591</v>
      </c>
      <c r="K117" s="146" t="s">
        <v>22</v>
      </c>
      <c r="L117" s="421"/>
      <c r="M117" s="421"/>
      <c r="N117" s="408">
        <f t="shared" si="6"/>
        <v>0</v>
      </c>
    </row>
    <row r="118" spans="1:14">
      <c r="A118" s="148" t="s">
        <v>1592</v>
      </c>
      <c r="B118" s="148" t="s">
        <v>1593</v>
      </c>
      <c r="C118" s="143" t="s">
        <v>22</v>
      </c>
      <c r="D118" s="420"/>
      <c r="E118" s="420"/>
      <c r="F118" s="407">
        <f>D118*E118</f>
        <v>0</v>
      </c>
      <c r="G118" s="144"/>
      <c r="I118" s="150" t="s">
        <v>1594</v>
      </c>
      <c r="J118" s="150" t="s">
        <v>1595</v>
      </c>
      <c r="K118" s="146" t="s">
        <v>875</v>
      </c>
      <c r="L118" s="421"/>
      <c r="M118" s="421"/>
      <c r="N118" s="408">
        <f t="shared" si="6"/>
        <v>0</v>
      </c>
    </row>
    <row r="119" spans="1:14">
      <c r="A119" s="148" t="s">
        <v>1596</v>
      </c>
      <c r="B119" s="148" t="s">
        <v>1597</v>
      </c>
      <c r="C119" s="143" t="s">
        <v>22</v>
      </c>
      <c r="D119" s="420"/>
      <c r="E119" s="420"/>
      <c r="F119" s="407">
        <f>D119*E119</f>
        <v>0</v>
      </c>
      <c r="G119" s="144"/>
      <c r="I119" s="150" t="s">
        <v>1598</v>
      </c>
      <c r="J119" s="150" t="s">
        <v>1599</v>
      </c>
      <c r="K119" s="146" t="s">
        <v>472</v>
      </c>
      <c r="L119" s="421"/>
      <c r="M119" s="421"/>
      <c r="N119" s="408">
        <f t="shared" si="6"/>
        <v>0</v>
      </c>
    </row>
    <row r="120" spans="1:14">
      <c r="A120" s="148" t="s">
        <v>1600</v>
      </c>
      <c r="B120" s="148" t="s">
        <v>3038</v>
      </c>
      <c r="C120" s="143"/>
      <c r="D120" s="420"/>
      <c r="E120" s="420"/>
      <c r="F120" s="407">
        <f>F121</f>
        <v>0</v>
      </c>
      <c r="G120" s="144"/>
      <c r="I120" s="150" t="s">
        <v>1601</v>
      </c>
      <c r="J120" s="150" t="s">
        <v>3040</v>
      </c>
      <c r="K120" s="146"/>
      <c r="L120" s="421"/>
      <c r="M120" s="421"/>
      <c r="N120" s="408">
        <f>SUM(N121)</f>
        <v>0</v>
      </c>
    </row>
    <row r="121" spans="1:14">
      <c r="A121" s="148" t="s">
        <v>1602</v>
      </c>
      <c r="B121" s="148" t="s">
        <v>3039</v>
      </c>
      <c r="C121" s="143" t="s">
        <v>875</v>
      </c>
      <c r="D121" s="420"/>
      <c r="E121" s="420"/>
      <c r="F121" s="407">
        <f>D121*E121</f>
        <v>0</v>
      </c>
      <c r="G121" s="144"/>
      <c r="I121" s="150" t="s">
        <v>1603</v>
      </c>
      <c r="J121" s="150" t="s">
        <v>1604</v>
      </c>
      <c r="K121" s="146" t="s">
        <v>22</v>
      </c>
      <c r="L121" s="421"/>
      <c r="M121" s="421"/>
      <c r="N121" s="408">
        <f t="shared" si="6"/>
        <v>0</v>
      </c>
    </row>
    <row r="122" spans="1:14">
      <c r="A122" s="148" t="s">
        <v>1600</v>
      </c>
      <c r="B122" s="148" t="s">
        <v>1578</v>
      </c>
      <c r="C122" s="143"/>
      <c r="D122" s="420"/>
      <c r="E122" s="420"/>
      <c r="F122" s="407">
        <f>SUM(F123:F124)</f>
        <v>0</v>
      </c>
      <c r="G122" s="144"/>
      <c r="I122" s="150" t="s">
        <v>1605</v>
      </c>
      <c r="J122" s="150" t="s">
        <v>1606</v>
      </c>
      <c r="K122" s="146"/>
      <c r="L122" s="421"/>
      <c r="M122" s="421"/>
      <c r="N122" s="408">
        <f>SUM(N123)</f>
        <v>0</v>
      </c>
    </row>
    <row r="123" spans="1:14">
      <c r="A123" s="148" t="s">
        <v>1602</v>
      </c>
      <c r="B123" s="148" t="s">
        <v>1581</v>
      </c>
      <c r="C123" s="143" t="s">
        <v>22</v>
      </c>
      <c r="D123" s="420"/>
      <c r="E123" s="420"/>
      <c r="F123" s="407">
        <f>D123*E123</f>
        <v>0</v>
      </c>
      <c r="G123" s="144"/>
      <c r="I123" s="150" t="s">
        <v>1607</v>
      </c>
      <c r="J123" s="150" t="s">
        <v>1608</v>
      </c>
      <c r="K123" s="146" t="s">
        <v>1609</v>
      </c>
      <c r="L123" s="421"/>
      <c r="M123" s="421"/>
      <c r="N123" s="408">
        <f t="shared" si="6"/>
        <v>0</v>
      </c>
    </row>
    <row r="124" spans="1:14">
      <c r="A124" s="148" t="s">
        <v>1610</v>
      </c>
      <c r="B124" s="148" t="s">
        <v>1585</v>
      </c>
      <c r="C124" s="143" t="s">
        <v>875</v>
      </c>
      <c r="D124" s="420"/>
      <c r="E124" s="420"/>
      <c r="F124" s="407">
        <f>D124*E124</f>
        <v>0</v>
      </c>
      <c r="G124" s="144"/>
      <c r="I124" s="150" t="s">
        <v>1611</v>
      </c>
      <c r="J124" s="150" t="s">
        <v>916</v>
      </c>
      <c r="K124" s="146"/>
      <c r="L124" s="421"/>
      <c r="M124" s="421"/>
      <c r="N124" s="408">
        <f>SUM(N125:N127)</f>
        <v>0</v>
      </c>
    </row>
    <row r="125" spans="1:14">
      <c r="A125" s="148" t="s">
        <v>1600</v>
      </c>
      <c r="B125" s="148" t="s">
        <v>891</v>
      </c>
      <c r="C125" s="143"/>
      <c r="D125" s="420"/>
      <c r="E125" s="420"/>
      <c r="F125" s="407">
        <f>SUM(F126:F130)</f>
        <v>0</v>
      </c>
      <c r="G125" s="144"/>
      <c r="I125" s="150" t="s">
        <v>1612</v>
      </c>
      <c r="J125" s="150" t="s">
        <v>3048</v>
      </c>
      <c r="K125" s="146" t="s">
        <v>22</v>
      </c>
      <c r="L125" s="421"/>
      <c r="M125" s="421"/>
      <c r="N125" s="408">
        <f t="shared" si="6"/>
        <v>0</v>
      </c>
    </row>
    <row r="126" spans="1:14">
      <c r="A126" s="148" t="s">
        <v>1602</v>
      </c>
      <c r="B126" s="148" t="s">
        <v>1613</v>
      </c>
      <c r="C126" s="143" t="s">
        <v>875</v>
      </c>
      <c r="D126" s="420"/>
      <c r="E126" s="420"/>
      <c r="F126" s="407">
        <f>D126*E126</f>
        <v>0</v>
      </c>
      <c r="G126" s="144"/>
      <c r="I126" s="150" t="s">
        <v>1614</v>
      </c>
      <c r="J126" s="150" t="s">
        <v>3049</v>
      </c>
      <c r="K126" s="146" t="s">
        <v>22</v>
      </c>
      <c r="L126" s="421"/>
      <c r="M126" s="421"/>
      <c r="N126" s="408">
        <f t="shared" si="6"/>
        <v>0</v>
      </c>
    </row>
    <row r="127" spans="1:14">
      <c r="A127" s="148" t="s">
        <v>1610</v>
      </c>
      <c r="B127" s="148" t="s">
        <v>1615</v>
      </c>
      <c r="C127" s="143" t="s">
        <v>875</v>
      </c>
      <c r="D127" s="420"/>
      <c r="E127" s="420"/>
      <c r="F127" s="407">
        <f>D127*E127</f>
        <v>0</v>
      </c>
      <c r="G127" s="144"/>
      <c r="I127" s="150" t="s">
        <v>1616</v>
      </c>
      <c r="J127" s="150" t="s">
        <v>3050</v>
      </c>
      <c r="K127" s="146" t="s">
        <v>22</v>
      </c>
      <c r="L127" s="421"/>
      <c r="M127" s="421"/>
      <c r="N127" s="408">
        <f t="shared" si="6"/>
        <v>0</v>
      </c>
    </row>
    <row r="128" spans="1:14">
      <c r="A128" s="148" t="s">
        <v>1617</v>
      </c>
      <c r="B128" s="148" t="s">
        <v>1618</v>
      </c>
      <c r="C128" s="143" t="s">
        <v>22</v>
      </c>
      <c r="D128" s="420"/>
      <c r="E128" s="420"/>
      <c r="F128" s="407">
        <f>D128*E128</f>
        <v>0</v>
      </c>
      <c r="G128" s="144"/>
      <c r="I128" s="150" t="s">
        <v>1619</v>
      </c>
      <c r="J128" s="150" t="s">
        <v>920</v>
      </c>
      <c r="K128" s="146"/>
      <c r="L128" s="421"/>
      <c r="M128" s="421"/>
      <c r="N128" s="408">
        <f>SUM(N129:N133)</f>
        <v>0</v>
      </c>
    </row>
    <row r="129" spans="1:14">
      <c r="A129" s="148" t="s">
        <v>1620</v>
      </c>
      <c r="B129" s="148" t="s">
        <v>1621</v>
      </c>
      <c r="C129" s="143" t="s">
        <v>22</v>
      </c>
      <c r="D129" s="420"/>
      <c r="E129" s="420"/>
      <c r="F129" s="407">
        <f>D129*E129</f>
        <v>0</v>
      </c>
      <c r="G129" s="144"/>
      <c r="I129" s="150" t="s">
        <v>1622</v>
      </c>
      <c r="J129" s="150" t="s">
        <v>1623</v>
      </c>
      <c r="K129" s="146" t="s">
        <v>472</v>
      </c>
      <c r="L129" s="421"/>
      <c r="M129" s="421"/>
      <c r="N129" s="408">
        <f t="shared" si="6"/>
        <v>0</v>
      </c>
    </row>
    <row r="130" spans="1:14">
      <c r="A130" s="148" t="s">
        <v>1624</v>
      </c>
      <c r="B130" s="148" t="s">
        <v>1625</v>
      </c>
      <c r="C130" s="143" t="s">
        <v>875</v>
      </c>
      <c r="D130" s="420"/>
      <c r="E130" s="420"/>
      <c r="F130" s="407">
        <f>D130*E130</f>
        <v>0</v>
      </c>
      <c r="G130" s="144"/>
      <c r="I130" s="150" t="s">
        <v>1626</v>
      </c>
      <c r="J130" s="150" t="s">
        <v>1627</v>
      </c>
      <c r="K130" s="146" t="s">
        <v>1010</v>
      </c>
      <c r="L130" s="421"/>
      <c r="M130" s="421"/>
      <c r="N130" s="408">
        <f t="shared" si="6"/>
        <v>0</v>
      </c>
    </row>
    <row r="131" spans="1:14">
      <c r="A131" s="148" t="s">
        <v>1600</v>
      </c>
      <c r="B131" s="148" t="s">
        <v>3040</v>
      </c>
      <c r="C131" s="143"/>
      <c r="D131" s="420"/>
      <c r="E131" s="420"/>
      <c r="F131" s="407">
        <f>F132</f>
        <v>0</v>
      </c>
      <c r="G131" s="144"/>
      <c r="I131" s="150" t="s">
        <v>1628</v>
      </c>
      <c r="J131" s="150" t="s">
        <v>3051</v>
      </c>
      <c r="K131" s="146" t="s">
        <v>472</v>
      </c>
      <c r="L131" s="421"/>
      <c r="M131" s="421"/>
      <c r="N131" s="408">
        <f t="shared" si="6"/>
        <v>0</v>
      </c>
    </row>
    <row r="132" spans="1:14">
      <c r="A132" s="148" t="s">
        <v>1602</v>
      </c>
      <c r="B132" s="148" t="s">
        <v>1604</v>
      </c>
      <c r="C132" s="143" t="s">
        <v>22</v>
      </c>
      <c r="D132" s="420"/>
      <c r="E132" s="420"/>
      <c r="F132" s="407">
        <f>D132*E132</f>
        <v>0</v>
      </c>
      <c r="G132" s="144"/>
      <c r="I132" s="150" t="s">
        <v>1629</v>
      </c>
      <c r="J132" s="150" t="s">
        <v>1630</v>
      </c>
      <c r="K132" s="146" t="s">
        <v>472</v>
      </c>
      <c r="L132" s="421"/>
      <c r="M132" s="421"/>
      <c r="N132" s="408">
        <f t="shared" si="6"/>
        <v>0</v>
      </c>
    </row>
    <row r="133" spans="1:14">
      <c r="A133" s="148" t="s">
        <v>1631</v>
      </c>
      <c r="B133" s="148" t="s">
        <v>1606</v>
      </c>
      <c r="C133" s="143"/>
      <c r="D133" s="420"/>
      <c r="E133" s="420"/>
      <c r="F133" s="407">
        <f>F134</f>
        <v>0</v>
      </c>
      <c r="G133" s="144"/>
      <c r="I133" s="150" t="s">
        <v>1632</v>
      </c>
      <c r="J133" s="150" t="s">
        <v>3052</v>
      </c>
      <c r="K133" s="146" t="s">
        <v>1010</v>
      </c>
      <c r="L133" s="421"/>
      <c r="M133" s="421"/>
      <c r="N133" s="408">
        <f t="shared" si="6"/>
        <v>0</v>
      </c>
    </row>
    <row r="134" spans="1:14">
      <c r="A134" s="148" t="s">
        <v>1633</v>
      </c>
      <c r="B134" s="148" t="s">
        <v>1608</v>
      </c>
      <c r="C134" s="143" t="s">
        <v>22</v>
      </c>
      <c r="D134" s="420"/>
      <c r="E134" s="420"/>
      <c r="F134" s="407">
        <f>D134*E134</f>
        <v>0</v>
      </c>
      <c r="G134" s="144"/>
      <c r="I134" s="150" t="s">
        <v>1634</v>
      </c>
      <c r="J134" s="150" t="s">
        <v>1635</v>
      </c>
      <c r="K134" s="146"/>
      <c r="L134" s="421"/>
      <c r="M134" s="421"/>
      <c r="N134" s="408">
        <f>SUM(N135:N155)</f>
        <v>0</v>
      </c>
    </row>
    <row r="135" spans="1:14">
      <c r="A135" s="148" t="s">
        <v>1636</v>
      </c>
      <c r="B135" s="148" t="s">
        <v>3067</v>
      </c>
      <c r="C135" s="143"/>
      <c r="D135" s="420"/>
      <c r="E135" s="420"/>
      <c r="F135" s="407">
        <f>SUM(F136:F138)</f>
        <v>0</v>
      </c>
      <c r="G135" s="144"/>
      <c r="I135" s="150" t="s">
        <v>1637</v>
      </c>
      <c r="J135" s="150" t="s">
        <v>1638</v>
      </c>
      <c r="K135" s="146" t="s">
        <v>1000</v>
      </c>
      <c r="L135" s="421"/>
      <c r="M135" s="421"/>
      <c r="N135" s="408">
        <f t="shared" si="6"/>
        <v>0</v>
      </c>
    </row>
    <row r="136" spans="1:14">
      <c r="A136" s="148" t="s">
        <v>1639</v>
      </c>
      <c r="B136" s="148" t="s">
        <v>1640</v>
      </c>
      <c r="C136" s="143" t="s">
        <v>1010</v>
      </c>
      <c r="D136" s="420"/>
      <c r="E136" s="420"/>
      <c r="F136" s="407">
        <f>D136*E136</f>
        <v>0</v>
      </c>
      <c r="G136" s="144"/>
      <c r="I136" s="150" t="s">
        <v>1641</v>
      </c>
      <c r="J136" s="150" t="s">
        <v>1642</v>
      </c>
      <c r="K136" s="146" t="s">
        <v>1000</v>
      </c>
      <c r="L136" s="421"/>
      <c r="M136" s="421"/>
      <c r="N136" s="408">
        <f t="shared" si="6"/>
        <v>0</v>
      </c>
    </row>
    <row r="137" spans="1:14">
      <c r="A137" s="148" t="s">
        <v>1643</v>
      </c>
      <c r="B137" s="148" t="s">
        <v>1644</v>
      </c>
      <c r="C137" s="143" t="s">
        <v>1010</v>
      </c>
      <c r="D137" s="420"/>
      <c r="E137" s="420"/>
      <c r="F137" s="407">
        <f>D137*E137</f>
        <v>0</v>
      </c>
      <c r="G137" s="144"/>
      <c r="I137" s="150" t="s">
        <v>1645</v>
      </c>
      <c r="J137" s="150" t="s">
        <v>3053</v>
      </c>
      <c r="K137" s="146" t="s">
        <v>1000</v>
      </c>
      <c r="L137" s="421"/>
      <c r="M137" s="421"/>
      <c r="N137" s="408">
        <f t="shared" si="6"/>
        <v>0</v>
      </c>
    </row>
    <row r="138" spans="1:14">
      <c r="A138" s="148" t="s">
        <v>1646</v>
      </c>
      <c r="B138" s="148" t="s">
        <v>1647</v>
      </c>
      <c r="C138" s="143" t="s">
        <v>1010</v>
      </c>
      <c r="D138" s="420"/>
      <c r="E138" s="420"/>
      <c r="F138" s="407">
        <f>D138*E138</f>
        <v>0</v>
      </c>
      <c r="G138" s="144"/>
      <c r="I138" s="150" t="s">
        <v>1648</v>
      </c>
      <c r="J138" s="150" t="s">
        <v>1649</v>
      </c>
      <c r="K138" s="146" t="s">
        <v>875</v>
      </c>
      <c r="L138" s="421"/>
      <c r="M138" s="421"/>
      <c r="N138" s="408">
        <f t="shared" si="6"/>
        <v>0</v>
      </c>
    </row>
    <row r="139" spans="1:14">
      <c r="A139" s="148" t="s">
        <v>1650</v>
      </c>
      <c r="B139" s="148" t="s">
        <v>916</v>
      </c>
      <c r="C139" s="143"/>
      <c r="D139" s="420"/>
      <c r="E139" s="420"/>
      <c r="F139" s="407">
        <f>SUM(F140:F142)</f>
        <v>0</v>
      </c>
      <c r="G139" s="144"/>
      <c r="I139" s="150" t="s">
        <v>1651</v>
      </c>
      <c r="J139" s="150" t="s">
        <v>1652</v>
      </c>
      <c r="K139" s="146" t="s">
        <v>875</v>
      </c>
      <c r="L139" s="421"/>
      <c r="M139" s="421"/>
      <c r="N139" s="408">
        <f t="shared" si="6"/>
        <v>0</v>
      </c>
    </row>
    <row r="140" spans="1:14">
      <c r="A140" s="148" t="s">
        <v>1653</v>
      </c>
      <c r="B140" s="148" t="s">
        <v>1654</v>
      </c>
      <c r="C140" s="143" t="s">
        <v>22</v>
      </c>
      <c r="D140" s="420"/>
      <c r="E140" s="420"/>
      <c r="F140" s="407">
        <f>D140*E140</f>
        <v>0</v>
      </c>
      <c r="G140" s="144"/>
      <c r="I140" s="150" t="s">
        <v>1655</v>
      </c>
      <c r="J140" s="150" t="s">
        <v>3054</v>
      </c>
      <c r="K140" s="146" t="s">
        <v>875</v>
      </c>
      <c r="L140" s="421"/>
      <c r="M140" s="421"/>
      <c r="N140" s="408">
        <f t="shared" si="6"/>
        <v>0</v>
      </c>
    </row>
    <row r="141" spans="1:14">
      <c r="A141" s="148" t="s">
        <v>1656</v>
      </c>
      <c r="B141" s="148" t="s">
        <v>1657</v>
      </c>
      <c r="C141" s="143" t="s">
        <v>22</v>
      </c>
      <c r="D141" s="420"/>
      <c r="E141" s="420"/>
      <c r="F141" s="407">
        <f>D141*E141</f>
        <v>0</v>
      </c>
      <c r="G141" s="144"/>
      <c r="I141" s="150" t="s">
        <v>1658</v>
      </c>
      <c r="J141" s="150" t="s">
        <v>3055</v>
      </c>
      <c r="K141" s="146" t="s">
        <v>472</v>
      </c>
      <c r="L141" s="421"/>
      <c r="M141" s="421"/>
      <c r="N141" s="408">
        <f t="shared" si="6"/>
        <v>0</v>
      </c>
    </row>
    <row r="142" spans="1:14">
      <c r="A142" s="148" t="s">
        <v>1659</v>
      </c>
      <c r="B142" s="148" t="s">
        <v>1660</v>
      </c>
      <c r="C142" s="143" t="s">
        <v>22</v>
      </c>
      <c r="D142" s="420"/>
      <c r="E142" s="420"/>
      <c r="F142" s="407">
        <f>D142*E142</f>
        <v>0</v>
      </c>
      <c r="G142" s="144"/>
      <c r="I142" s="150" t="s">
        <v>1661</v>
      </c>
      <c r="J142" s="150" t="s">
        <v>3056</v>
      </c>
      <c r="K142" s="146" t="s">
        <v>1010</v>
      </c>
      <c r="L142" s="421"/>
      <c r="M142" s="421"/>
      <c r="N142" s="408">
        <f t="shared" si="6"/>
        <v>0</v>
      </c>
    </row>
    <row r="143" spans="1:14">
      <c r="A143" s="148" t="s">
        <v>1662</v>
      </c>
      <c r="B143" s="148" t="s">
        <v>1663</v>
      </c>
      <c r="C143" s="143"/>
      <c r="D143" s="420"/>
      <c r="E143" s="420"/>
      <c r="F143" s="407">
        <f>SUM(F144:F152)</f>
        <v>0</v>
      </c>
      <c r="G143" s="144"/>
      <c r="I143" s="150" t="s">
        <v>1664</v>
      </c>
      <c r="J143" s="150" t="s">
        <v>1665</v>
      </c>
      <c r="K143" s="146" t="s">
        <v>1010</v>
      </c>
      <c r="L143" s="421"/>
      <c r="M143" s="421"/>
      <c r="N143" s="408">
        <f t="shared" si="6"/>
        <v>0</v>
      </c>
    </row>
    <row r="144" spans="1:14">
      <c r="A144" s="148" t="s">
        <v>1666</v>
      </c>
      <c r="B144" s="148" t="s">
        <v>1667</v>
      </c>
      <c r="C144" s="143" t="s">
        <v>1000</v>
      </c>
      <c r="D144" s="420"/>
      <c r="E144" s="420"/>
      <c r="F144" s="407">
        <f>D144*E144</f>
        <v>0</v>
      </c>
      <c r="G144" s="144"/>
      <c r="I144" s="150" t="s">
        <v>1668</v>
      </c>
      <c r="J144" s="150" t="s">
        <v>1669</v>
      </c>
      <c r="K144" s="146" t="s">
        <v>1010</v>
      </c>
      <c r="L144" s="421"/>
      <c r="M144" s="421"/>
      <c r="N144" s="408">
        <f t="shared" si="6"/>
        <v>0</v>
      </c>
    </row>
    <row r="145" spans="1:14">
      <c r="A145" s="148" t="s">
        <v>1670</v>
      </c>
      <c r="B145" s="148" t="s">
        <v>1671</v>
      </c>
      <c r="C145" s="143" t="s">
        <v>1000</v>
      </c>
      <c r="D145" s="420"/>
      <c r="E145" s="420"/>
      <c r="F145" s="407">
        <f t="shared" ref="F145:F152" si="8">D145*E145</f>
        <v>0</v>
      </c>
      <c r="G145" s="144"/>
      <c r="I145" s="150" t="s">
        <v>1672</v>
      </c>
      <c r="J145" s="150" t="s">
        <v>3079</v>
      </c>
      <c r="K145" s="146" t="s">
        <v>472</v>
      </c>
      <c r="L145" s="421"/>
      <c r="M145" s="421"/>
      <c r="N145" s="408">
        <f t="shared" si="6"/>
        <v>0</v>
      </c>
    </row>
    <row r="146" spans="1:14">
      <c r="A146" s="148" t="s">
        <v>1674</v>
      </c>
      <c r="B146" s="148" t="s">
        <v>1675</v>
      </c>
      <c r="C146" s="143" t="s">
        <v>472</v>
      </c>
      <c r="D146" s="420"/>
      <c r="E146" s="420"/>
      <c r="F146" s="407">
        <f t="shared" si="8"/>
        <v>0</v>
      </c>
      <c r="G146" s="144"/>
      <c r="I146" s="150" t="s">
        <v>1676</v>
      </c>
      <c r="J146" s="150" t="s">
        <v>3057</v>
      </c>
      <c r="K146" s="146" t="s">
        <v>1000</v>
      </c>
      <c r="L146" s="421"/>
      <c r="M146" s="421"/>
      <c r="N146" s="408">
        <f t="shared" si="6"/>
        <v>0</v>
      </c>
    </row>
    <row r="147" spans="1:14">
      <c r="A147" s="148" t="s">
        <v>1677</v>
      </c>
      <c r="B147" s="148" t="s">
        <v>1678</v>
      </c>
      <c r="C147" s="143" t="s">
        <v>472</v>
      </c>
      <c r="D147" s="420"/>
      <c r="E147" s="420"/>
      <c r="F147" s="407">
        <f t="shared" si="8"/>
        <v>0</v>
      </c>
      <c r="G147" s="144"/>
      <c r="I147" s="150" t="s">
        <v>1679</v>
      </c>
      <c r="J147" s="150" t="s">
        <v>3058</v>
      </c>
      <c r="K147" s="146" t="s">
        <v>875</v>
      </c>
      <c r="L147" s="421"/>
      <c r="M147" s="421"/>
      <c r="N147" s="408">
        <f t="shared" si="6"/>
        <v>0</v>
      </c>
    </row>
    <row r="148" spans="1:14">
      <c r="A148" s="148" t="s">
        <v>1680</v>
      </c>
      <c r="B148" s="148" t="s">
        <v>1681</v>
      </c>
      <c r="C148" s="143" t="s">
        <v>472</v>
      </c>
      <c r="D148" s="420"/>
      <c r="E148" s="420"/>
      <c r="F148" s="407">
        <f t="shared" si="8"/>
        <v>0</v>
      </c>
      <c r="G148" s="144"/>
      <c r="I148" s="150" t="s">
        <v>1682</v>
      </c>
      <c r="J148" s="150" t="s">
        <v>3059</v>
      </c>
      <c r="K148" s="146" t="s">
        <v>875</v>
      </c>
      <c r="L148" s="421"/>
      <c r="M148" s="421"/>
      <c r="N148" s="408">
        <f t="shared" si="6"/>
        <v>0</v>
      </c>
    </row>
    <row r="149" spans="1:14">
      <c r="A149" s="148" t="s">
        <v>1683</v>
      </c>
      <c r="B149" s="149" t="s">
        <v>1684</v>
      </c>
      <c r="C149" s="143" t="s">
        <v>875</v>
      </c>
      <c r="D149" s="420"/>
      <c r="E149" s="420"/>
      <c r="F149" s="407">
        <f t="shared" si="8"/>
        <v>0</v>
      </c>
      <c r="G149" s="144"/>
      <c r="I149" s="150" t="s">
        <v>1685</v>
      </c>
      <c r="J149" s="150" t="s">
        <v>3060</v>
      </c>
      <c r="K149" s="146" t="s">
        <v>875</v>
      </c>
      <c r="L149" s="421"/>
      <c r="M149" s="421"/>
      <c r="N149" s="408">
        <f t="shared" si="6"/>
        <v>0</v>
      </c>
    </row>
    <row r="150" spans="1:14">
      <c r="A150" s="148" t="s">
        <v>1686</v>
      </c>
      <c r="B150" s="149" t="s">
        <v>1526</v>
      </c>
      <c r="C150" s="143" t="s">
        <v>875</v>
      </c>
      <c r="D150" s="420"/>
      <c r="E150" s="420"/>
      <c r="F150" s="407">
        <f t="shared" si="8"/>
        <v>0</v>
      </c>
      <c r="G150" s="144"/>
      <c r="I150" s="150" t="s">
        <v>1687</v>
      </c>
      <c r="J150" s="150" t="s">
        <v>3061</v>
      </c>
      <c r="K150" s="146" t="s">
        <v>875</v>
      </c>
      <c r="L150" s="421"/>
      <c r="M150" s="421"/>
      <c r="N150" s="408">
        <f t="shared" si="6"/>
        <v>0</v>
      </c>
    </row>
    <row r="151" spans="1:14">
      <c r="A151" s="148" t="s">
        <v>1688</v>
      </c>
      <c r="B151" s="148" t="s">
        <v>1524</v>
      </c>
      <c r="C151" s="143" t="s">
        <v>875</v>
      </c>
      <c r="D151" s="420"/>
      <c r="E151" s="420"/>
      <c r="F151" s="407">
        <f t="shared" si="8"/>
        <v>0</v>
      </c>
      <c r="G151" s="144"/>
      <c r="I151" s="150" t="s">
        <v>1689</v>
      </c>
      <c r="J151" s="150" t="s">
        <v>3062</v>
      </c>
      <c r="K151" s="146" t="s">
        <v>1010</v>
      </c>
      <c r="L151" s="421"/>
      <c r="M151" s="421"/>
      <c r="N151" s="408">
        <f t="shared" si="6"/>
        <v>0</v>
      </c>
    </row>
    <row r="152" spans="1:14">
      <c r="A152" s="148" t="s">
        <v>1690</v>
      </c>
      <c r="B152" s="148" t="s">
        <v>1691</v>
      </c>
      <c r="C152" s="143" t="s">
        <v>22</v>
      </c>
      <c r="D152" s="420"/>
      <c r="E152" s="420"/>
      <c r="F152" s="407">
        <f t="shared" si="8"/>
        <v>0</v>
      </c>
      <c r="G152" s="144"/>
      <c r="I152" s="150" t="s">
        <v>1692</v>
      </c>
      <c r="J152" s="150" t="s">
        <v>3063</v>
      </c>
      <c r="K152" s="146" t="s">
        <v>1010</v>
      </c>
      <c r="L152" s="421"/>
      <c r="M152" s="421"/>
      <c r="N152" s="408">
        <f t="shared" si="6"/>
        <v>0</v>
      </c>
    </row>
    <row r="153" spans="1:14" ht="14.25" customHeight="1">
      <c r="A153" s="151">
        <v>2</v>
      </c>
      <c r="B153" s="152" t="s">
        <v>1221</v>
      </c>
      <c r="C153" s="109"/>
      <c r="D153" s="379"/>
      <c r="E153" s="379"/>
      <c r="F153" s="409">
        <f>SUM(F154:F158)</f>
        <v>0</v>
      </c>
      <c r="G153" s="153"/>
      <c r="I153" s="150" t="s">
        <v>1693</v>
      </c>
      <c r="J153" s="150" t="s">
        <v>3064</v>
      </c>
      <c r="K153" s="146" t="s">
        <v>1010</v>
      </c>
      <c r="L153" s="421"/>
      <c r="M153" s="421"/>
      <c r="N153" s="408">
        <f t="shared" si="6"/>
        <v>0</v>
      </c>
    </row>
    <row r="154" spans="1:14">
      <c r="A154" s="154">
        <v>2.0099999999999998</v>
      </c>
      <c r="B154" s="155" t="s">
        <v>2973</v>
      </c>
      <c r="C154" s="143" t="s">
        <v>22</v>
      </c>
      <c r="D154" s="420"/>
      <c r="E154" s="156"/>
      <c r="F154" s="407">
        <f>D154*E154</f>
        <v>0</v>
      </c>
      <c r="G154" s="144"/>
      <c r="I154" s="150" t="s">
        <v>1694</v>
      </c>
      <c r="J154" s="157" t="s">
        <v>3080</v>
      </c>
      <c r="K154" s="146" t="s">
        <v>472</v>
      </c>
      <c r="L154" s="421"/>
      <c r="M154" s="421"/>
      <c r="N154" s="408">
        <f t="shared" si="6"/>
        <v>0</v>
      </c>
    </row>
    <row r="155" spans="1:14">
      <c r="A155" s="154">
        <v>2.02</v>
      </c>
      <c r="B155" s="155" t="s">
        <v>2974</v>
      </c>
      <c r="C155" s="143" t="s">
        <v>141</v>
      </c>
      <c r="D155" s="420"/>
      <c r="E155" s="156"/>
      <c r="F155" s="407">
        <f>D155*E155</f>
        <v>0</v>
      </c>
      <c r="G155" s="144"/>
      <c r="I155" s="150" t="s">
        <v>1695</v>
      </c>
      <c r="J155" s="150" t="s">
        <v>1696</v>
      </c>
      <c r="K155" s="146" t="s">
        <v>472</v>
      </c>
      <c r="L155" s="421"/>
      <c r="M155" s="421"/>
      <c r="N155" s="408">
        <f t="shared" si="6"/>
        <v>0</v>
      </c>
    </row>
    <row r="156" spans="1:14">
      <c r="A156" s="154">
        <v>2.0299999999999998</v>
      </c>
      <c r="B156" s="155" t="s">
        <v>2975</v>
      </c>
      <c r="C156" s="143" t="s">
        <v>472</v>
      </c>
      <c r="D156" s="420"/>
      <c r="E156" s="156"/>
      <c r="F156" s="407">
        <f>D156*E156</f>
        <v>0</v>
      </c>
      <c r="G156" s="144"/>
      <c r="I156" s="150" t="s">
        <v>1697</v>
      </c>
      <c r="J156" s="150" t="s">
        <v>3065</v>
      </c>
      <c r="K156" s="146"/>
      <c r="L156" s="421"/>
      <c r="M156" s="421"/>
      <c r="N156" s="408">
        <f>SUM(N157:N163)</f>
        <v>0</v>
      </c>
    </row>
    <row r="157" spans="1:14">
      <c r="A157" s="154">
        <v>2.04</v>
      </c>
      <c r="B157" s="155" t="s">
        <v>1226</v>
      </c>
      <c r="C157" s="143" t="s">
        <v>141</v>
      </c>
      <c r="D157" s="420"/>
      <c r="E157" s="156"/>
      <c r="F157" s="407">
        <f>D157*E157</f>
        <v>0</v>
      </c>
      <c r="G157" s="144"/>
      <c r="I157" s="150" t="s">
        <v>1698</v>
      </c>
      <c r="J157" s="150" t="s">
        <v>1667</v>
      </c>
      <c r="K157" s="146" t="s">
        <v>1000</v>
      </c>
      <c r="L157" s="421"/>
      <c r="M157" s="421"/>
      <c r="N157" s="408">
        <f t="shared" si="6"/>
        <v>0</v>
      </c>
    </row>
    <row r="158" spans="1:14" ht="15" customHeight="1">
      <c r="A158" s="154">
        <v>2.0499999999999998</v>
      </c>
      <c r="B158" s="155" t="s">
        <v>2976</v>
      </c>
      <c r="C158" s="143" t="s">
        <v>1128</v>
      </c>
      <c r="D158" s="420"/>
      <c r="E158" s="156"/>
      <c r="F158" s="407">
        <f>D158*E158</f>
        <v>0</v>
      </c>
      <c r="G158" s="144"/>
      <c r="I158" s="150" t="s">
        <v>1699</v>
      </c>
      <c r="J158" s="150" t="s">
        <v>1671</v>
      </c>
      <c r="K158" s="146" t="s">
        <v>1000</v>
      </c>
      <c r="L158" s="421"/>
      <c r="M158" s="421"/>
      <c r="N158" s="408">
        <f t="shared" si="6"/>
        <v>0</v>
      </c>
    </row>
    <row r="159" spans="1:14">
      <c r="A159" s="1914" t="s">
        <v>1228</v>
      </c>
      <c r="B159" s="1914"/>
      <c r="C159" s="1914"/>
      <c r="D159" s="1914"/>
      <c r="E159" s="1914"/>
      <c r="F159" s="521">
        <f>SUM(F153+F9)</f>
        <v>0</v>
      </c>
      <c r="G159" s="153"/>
      <c r="I159" s="150" t="s">
        <v>1700</v>
      </c>
      <c r="J159" s="157" t="s">
        <v>1675</v>
      </c>
      <c r="K159" s="146" t="s">
        <v>472</v>
      </c>
      <c r="L159" s="421"/>
      <c r="M159" s="421"/>
      <c r="N159" s="408">
        <f t="shared" si="6"/>
        <v>0</v>
      </c>
    </row>
    <row r="160" spans="1:14" ht="18.75" customHeight="1">
      <c r="A160" s="159"/>
      <c r="B160" s="159"/>
      <c r="C160" s="159"/>
      <c r="D160" s="159"/>
      <c r="E160" s="159"/>
      <c r="F160" s="159"/>
      <c r="I160" s="150" t="s">
        <v>1701</v>
      </c>
      <c r="J160" s="150" t="s">
        <v>1702</v>
      </c>
      <c r="K160" s="146" t="s">
        <v>472</v>
      </c>
      <c r="L160" s="421"/>
      <c r="M160" s="421"/>
      <c r="N160" s="408">
        <f>L160*M160</f>
        <v>0</v>
      </c>
    </row>
    <row r="161" spans="1:14">
      <c r="A161" s="159"/>
      <c r="B161" s="159"/>
      <c r="C161" s="159"/>
      <c r="D161" s="159"/>
      <c r="E161" s="159"/>
      <c r="F161" s="159"/>
      <c r="I161" s="150" t="s">
        <v>1703</v>
      </c>
      <c r="J161" s="157" t="s">
        <v>1526</v>
      </c>
      <c r="K161" s="146" t="s">
        <v>875</v>
      </c>
      <c r="L161" s="421"/>
      <c r="M161" s="421"/>
      <c r="N161" s="408">
        <f>L161*M161</f>
        <v>0</v>
      </c>
    </row>
    <row r="162" spans="1:14">
      <c r="A162" s="159"/>
      <c r="B162" s="159"/>
      <c r="C162" s="159"/>
      <c r="D162" s="159"/>
      <c r="E162" s="159"/>
      <c r="F162" s="159"/>
      <c r="I162" s="150" t="s">
        <v>1704</v>
      </c>
      <c r="J162" s="150" t="s">
        <v>1524</v>
      </c>
      <c r="K162" s="146" t="s">
        <v>875</v>
      </c>
      <c r="L162" s="421"/>
      <c r="M162" s="421"/>
      <c r="N162" s="408">
        <f>L162*M162</f>
        <v>0</v>
      </c>
    </row>
    <row r="163" spans="1:14">
      <c r="A163" s="158"/>
      <c r="B163" s="133" t="s">
        <v>73</v>
      </c>
      <c r="C163" s="116" t="s">
        <v>72</v>
      </c>
      <c r="D163" s="117"/>
      <c r="E163" s="118"/>
      <c r="F163" s="159"/>
      <c r="G163" s="3"/>
      <c r="I163" s="150" t="s">
        <v>1705</v>
      </c>
      <c r="J163" s="150" t="s">
        <v>1706</v>
      </c>
      <c r="K163" s="146" t="s">
        <v>875</v>
      </c>
      <c r="L163" s="421"/>
      <c r="M163" s="421"/>
      <c r="N163" s="408">
        <f>L163*M163</f>
        <v>0</v>
      </c>
    </row>
    <row r="164" spans="1:14">
      <c r="A164" s="158"/>
      <c r="B164" s="160" t="s">
        <v>1229</v>
      </c>
      <c r="C164" s="386"/>
      <c r="D164" s="121"/>
      <c r="E164" s="122"/>
      <c r="F164" s="159"/>
      <c r="G164" s="3"/>
      <c r="I164" s="145" t="s">
        <v>1707</v>
      </c>
      <c r="J164" s="145" t="s">
        <v>1708</v>
      </c>
      <c r="K164" s="146"/>
      <c r="L164" s="421"/>
      <c r="M164" s="421"/>
      <c r="N164" s="408">
        <f>SUM(N165,N167,N171,N176,N185,N187,N190,N193,N196,N198,N203,N205,N208,N212)</f>
        <v>0</v>
      </c>
    </row>
    <row r="165" spans="1:14">
      <c r="A165" s="158"/>
      <c r="B165" s="160" t="s">
        <v>1230</v>
      </c>
      <c r="C165" s="386"/>
      <c r="D165" s="121"/>
      <c r="E165" s="122"/>
      <c r="F165" s="159"/>
      <c r="G165" s="3"/>
      <c r="I165" s="150" t="s">
        <v>1709</v>
      </c>
      <c r="J165" s="150" t="s">
        <v>934</v>
      </c>
      <c r="K165" s="146"/>
      <c r="L165" s="421"/>
      <c r="M165" s="421"/>
      <c r="N165" s="408">
        <f>SUM(N166)</f>
        <v>0</v>
      </c>
    </row>
    <row r="166" spans="1:14">
      <c r="A166" s="158"/>
      <c r="B166" s="160" t="s">
        <v>1231</v>
      </c>
      <c r="C166" s="386"/>
      <c r="D166" s="121"/>
      <c r="E166" s="122"/>
      <c r="F166" s="159"/>
      <c r="G166" s="3"/>
      <c r="I166" s="150" t="s">
        <v>1710</v>
      </c>
      <c r="J166" s="150" t="s">
        <v>1126</v>
      </c>
      <c r="K166" s="146" t="s">
        <v>22</v>
      </c>
      <c r="L166" s="421"/>
      <c r="M166" s="421"/>
      <c r="N166" s="408">
        <f t="shared" ref="N166:N197" si="9">L166*M166</f>
        <v>0</v>
      </c>
    </row>
    <row r="167" spans="1:14">
      <c r="A167" s="158"/>
      <c r="B167" s="159"/>
      <c r="C167" s="124"/>
      <c r="D167" s="125"/>
      <c r="E167" s="126"/>
      <c r="F167" s="410"/>
      <c r="G167" s="94"/>
      <c r="I167" s="150" t="s">
        <v>1711</v>
      </c>
      <c r="J167" s="150" t="s">
        <v>939</v>
      </c>
      <c r="K167" s="146"/>
      <c r="L167" s="421"/>
      <c r="M167" s="421"/>
      <c r="N167" s="408">
        <f>SUM(N168:N170)</f>
        <v>0</v>
      </c>
    </row>
    <row r="168" spans="1:14" ht="22.5">
      <c r="A168" s="158"/>
      <c r="B168" s="159"/>
      <c r="C168" s="116" t="s">
        <v>1232</v>
      </c>
      <c r="D168" s="116" t="s">
        <v>1231</v>
      </c>
      <c r="E168" s="116" t="s">
        <v>10</v>
      </c>
      <c r="F168" s="410"/>
      <c r="G168" s="94"/>
      <c r="I168" s="150" t="s">
        <v>1712</v>
      </c>
      <c r="J168" s="150" t="s">
        <v>3034</v>
      </c>
      <c r="K168" s="146" t="s">
        <v>943</v>
      </c>
      <c r="L168" s="421"/>
      <c r="M168" s="421"/>
      <c r="N168" s="408">
        <f t="shared" si="9"/>
        <v>0</v>
      </c>
    </row>
    <row r="169" spans="1:14">
      <c r="A169" s="158"/>
      <c r="B169" s="161" t="s">
        <v>1233</v>
      </c>
      <c r="C169" s="127">
        <f>F159</f>
        <v>0</v>
      </c>
      <c r="D169" s="128">
        <f>C169*C166</f>
        <v>0</v>
      </c>
      <c r="E169" s="129">
        <f>SUM(C169:D169)</f>
        <v>0</v>
      </c>
      <c r="F169" s="411"/>
      <c r="G169" s="94"/>
      <c r="I169" s="150" t="s">
        <v>1713</v>
      </c>
      <c r="J169" s="150" t="s">
        <v>3043</v>
      </c>
      <c r="K169" s="146" t="s">
        <v>22</v>
      </c>
      <c r="L169" s="421"/>
      <c r="M169" s="421"/>
      <c r="N169" s="408">
        <f t="shared" si="9"/>
        <v>0</v>
      </c>
    </row>
    <row r="170" spans="1:14">
      <c r="A170" s="158"/>
      <c r="B170" s="161" t="s">
        <v>1234</v>
      </c>
      <c r="C170" s="128">
        <f>C169*C164</f>
        <v>0</v>
      </c>
      <c r="D170" s="131">
        <f>C170*C166</f>
        <v>0</v>
      </c>
      <c r="E170" s="131">
        <f>+C170+D170</f>
        <v>0</v>
      </c>
      <c r="F170" s="410"/>
      <c r="G170" s="94"/>
      <c r="I170" s="150" t="s">
        <v>1714</v>
      </c>
      <c r="J170" s="150" t="s">
        <v>3036</v>
      </c>
      <c r="K170" s="146" t="s">
        <v>943</v>
      </c>
      <c r="L170" s="421"/>
      <c r="M170" s="421"/>
      <c r="N170" s="408">
        <f t="shared" si="9"/>
        <v>0</v>
      </c>
    </row>
    <row r="171" spans="1:14">
      <c r="A171" s="158"/>
      <c r="B171" s="161" t="s">
        <v>1235</v>
      </c>
      <c r="C171" s="128">
        <f>C169*C165</f>
        <v>0</v>
      </c>
      <c r="D171" s="131">
        <f>C171*C166</f>
        <v>0</v>
      </c>
      <c r="E171" s="131">
        <f>+C171+D171</f>
        <v>0</v>
      </c>
      <c r="F171" s="410"/>
      <c r="G171" s="94"/>
      <c r="I171" s="150" t="s">
        <v>1715</v>
      </c>
      <c r="J171" s="150" t="s">
        <v>957</v>
      </c>
      <c r="K171" s="146"/>
      <c r="L171" s="421"/>
      <c r="M171" s="421"/>
      <c r="N171" s="408">
        <f>SUM(N172:N175)</f>
        <v>0</v>
      </c>
    </row>
    <row r="172" spans="1:14">
      <c r="A172" s="158"/>
      <c r="B172" s="161" t="s">
        <v>1236</v>
      </c>
      <c r="C172" s="127">
        <f>SUM(C169:C171)</f>
        <v>0</v>
      </c>
      <c r="D172" s="127">
        <f>SUM(D169:D171)</f>
        <v>0</v>
      </c>
      <c r="E172" s="389">
        <f>+SUM(E169:E171)</f>
        <v>0</v>
      </c>
      <c r="F172" s="410"/>
      <c r="G172" s="94"/>
      <c r="I172" s="150" t="s">
        <v>1716</v>
      </c>
      <c r="J172" s="150" t="s">
        <v>3037</v>
      </c>
      <c r="K172" s="146" t="s">
        <v>943</v>
      </c>
      <c r="L172" s="421"/>
      <c r="M172" s="421"/>
      <c r="N172" s="408">
        <f t="shared" si="9"/>
        <v>0</v>
      </c>
    </row>
    <row r="173" spans="1:14">
      <c r="I173" s="150" t="s">
        <v>1717</v>
      </c>
      <c r="J173" s="150" t="s">
        <v>1528</v>
      </c>
      <c r="K173" s="146" t="s">
        <v>943</v>
      </c>
      <c r="L173" s="421"/>
      <c r="M173" s="421"/>
      <c r="N173" s="408">
        <f t="shared" si="9"/>
        <v>0</v>
      </c>
    </row>
    <row r="174" spans="1:14">
      <c r="I174" s="150" t="s">
        <v>1718</v>
      </c>
      <c r="J174" s="150" t="s">
        <v>963</v>
      </c>
      <c r="K174" s="146" t="s">
        <v>22</v>
      </c>
      <c r="L174" s="421"/>
      <c r="M174" s="421"/>
      <c r="N174" s="408">
        <f t="shared" si="9"/>
        <v>0</v>
      </c>
    </row>
    <row r="175" spans="1:14">
      <c r="I175" s="150" t="s">
        <v>1719</v>
      </c>
      <c r="J175" s="150" t="s">
        <v>1535</v>
      </c>
      <c r="K175" s="146" t="s">
        <v>22</v>
      </c>
      <c r="L175" s="421"/>
      <c r="M175" s="421"/>
      <c r="N175" s="408">
        <f t="shared" si="9"/>
        <v>0</v>
      </c>
    </row>
    <row r="176" spans="1:14">
      <c r="I176" s="150" t="s">
        <v>1720</v>
      </c>
      <c r="J176" s="150" t="s">
        <v>974</v>
      </c>
      <c r="K176" s="146"/>
      <c r="L176" s="421"/>
      <c r="M176" s="421"/>
      <c r="N176" s="408">
        <f>SUM(N177:N184)</f>
        <v>0</v>
      </c>
    </row>
    <row r="177" spans="2:14">
      <c r="B177" s="1915"/>
      <c r="C177" s="1915"/>
      <c r="D177" s="1915"/>
      <c r="E177" s="1915"/>
      <c r="F177" s="1915"/>
      <c r="G177" s="1915"/>
      <c r="I177" s="150" t="s">
        <v>1721</v>
      </c>
      <c r="J177" s="150" t="s">
        <v>1722</v>
      </c>
      <c r="K177" s="146" t="s">
        <v>943</v>
      </c>
      <c r="L177" s="421"/>
      <c r="M177" s="421"/>
      <c r="N177" s="408">
        <f t="shared" si="9"/>
        <v>0</v>
      </c>
    </row>
    <row r="178" spans="2:14">
      <c r="B178" s="1915"/>
      <c r="C178" s="1915"/>
      <c r="D178" s="1915"/>
      <c r="E178" s="1915"/>
      <c r="F178" s="1915"/>
      <c r="G178" s="1915"/>
      <c r="I178" s="150" t="s">
        <v>1723</v>
      </c>
      <c r="J178" s="150" t="s">
        <v>1724</v>
      </c>
      <c r="K178" s="146" t="s">
        <v>983</v>
      </c>
      <c r="L178" s="421"/>
      <c r="M178" s="421"/>
      <c r="N178" s="408">
        <f t="shared" si="9"/>
        <v>0</v>
      </c>
    </row>
    <row r="179" spans="2:14">
      <c r="B179" s="1915"/>
      <c r="C179" s="1915"/>
      <c r="D179" s="1915"/>
      <c r="E179" s="1915"/>
      <c r="F179" s="1915"/>
      <c r="G179" s="1915"/>
      <c r="I179" s="150" t="s">
        <v>1725</v>
      </c>
      <c r="J179" s="150" t="s">
        <v>1726</v>
      </c>
      <c r="K179" s="146" t="s">
        <v>943</v>
      </c>
      <c r="L179" s="421"/>
      <c r="M179" s="421"/>
      <c r="N179" s="408">
        <f t="shared" si="9"/>
        <v>0</v>
      </c>
    </row>
    <row r="180" spans="2:14">
      <c r="I180" s="150" t="s">
        <v>1727</v>
      </c>
      <c r="J180" s="150" t="s">
        <v>1260</v>
      </c>
      <c r="K180" s="146" t="s">
        <v>22</v>
      </c>
      <c r="L180" s="421"/>
      <c r="M180" s="421"/>
      <c r="N180" s="408">
        <f t="shared" si="9"/>
        <v>0</v>
      </c>
    </row>
    <row r="181" spans="2:14">
      <c r="I181" s="150" t="s">
        <v>1728</v>
      </c>
      <c r="J181" s="150" t="s">
        <v>1729</v>
      </c>
      <c r="K181" s="146" t="s">
        <v>983</v>
      </c>
      <c r="L181" s="421"/>
      <c r="M181" s="421"/>
      <c r="N181" s="408">
        <f t="shared" si="9"/>
        <v>0</v>
      </c>
    </row>
    <row r="182" spans="2:14">
      <c r="I182" s="150" t="s">
        <v>1730</v>
      </c>
      <c r="J182" s="150" t="s">
        <v>1544</v>
      </c>
      <c r="K182" s="146" t="s">
        <v>943</v>
      </c>
      <c r="L182" s="421"/>
      <c r="M182" s="421"/>
      <c r="N182" s="408">
        <f t="shared" si="9"/>
        <v>0</v>
      </c>
    </row>
    <row r="183" spans="2:14">
      <c r="I183" s="150" t="s">
        <v>1731</v>
      </c>
      <c r="J183" s="150" t="s">
        <v>1732</v>
      </c>
      <c r="K183" s="146" t="s">
        <v>22</v>
      </c>
      <c r="L183" s="421"/>
      <c r="M183" s="421"/>
      <c r="N183" s="408">
        <f t="shared" si="9"/>
        <v>0</v>
      </c>
    </row>
    <row r="184" spans="2:14">
      <c r="I184" s="150" t="s">
        <v>1733</v>
      </c>
      <c r="J184" s="150" t="s">
        <v>1548</v>
      </c>
      <c r="K184" s="146" t="s">
        <v>983</v>
      </c>
      <c r="L184" s="421"/>
      <c r="M184" s="421"/>
      <c r="N184" s="408">
        <f t="shared" si="9"/>
        <v>0</v>
      </c>
    </row>
    <row r="185" spans="2:14">
      <c r="I185" s="150" t="s">
        <v>1734</v>
      </c>
      <c r="J185" s="150" t="s">
        <v>3044</v>
      </c>
      <c r="K185" s="146"/>
      <c r="L185" s="421"/>
      <c r="M185" s="421"/>
      <c r="N185" s="408">
        <f>SUM(N186)</f>
        <v>0</v>
      </c>
    </row>
    <row r="186" spans="2:14">
      <c r="I186" s="150" t="s">
        <v>1735</v>
      </c>
      <c r="J186" s="150" t="s">
        <v>1552</v>
      </c>
      <c r="K186" s="146" t="s">
        <v>22</v>
      </c>
      <c r="L186" s="421"/>
      <c r="M186" s="421"/>
      <c r="N186" s="408">
        <f t="shared" si="9"/>
        <v>0</v>
      </c>
    </row>
    <row r="187" spans="2:14">
      <c r="I187" s="150" t="s">
        <v>1736</v>
      </c>
      <c r="J187" s="150" t="s">
        <v>1558</v>
      </c>
      <c r="K187" s="146"/>
      <c r="L187" s="421"/>
      <c r="M187" s="421"/>
      <c r="N187" s="408">
        <f>SUM(N188:N189)</f>
        <v>0</v>
      </c>
    </row>
    <row r="188" spans="2:14">
      <c r="I188" s="150" t="s">
        <v>1737</v>
      </c>
      <c r="J188" s="150" t="s">
        <v>1738</v>
      </c>
      <c r="K188" s="146" t="s">
        <v>22</v>
      </c>
      <c r="L188" s="421"/>
      <c r="M188" s="421"/>
      <c r="N188" s="408">
        <f t="shared" si="9"/>
        <v>0</v>
      </c>
    </row>
    <row r="189" spans="2:14">
      <c r="I189" s="150" t="s">
        <v>1739</v>
      </c>
      <c r="J189" s="150" t="s">
        <v>1625</v>
      </c>
      <c r="K189" s="146" t="s">
        <v>875</v>
      </c>
      <c r="L189" s="421"/>
      <c r="M189" s="421"/>
      <c r="N189" s="408">
        <f t="shared" si="9"/>
        <v>0</v>
      </c>
    </row>
    <row r="190" spans="2:14">
      <c r="I190" s="150" t="s">
        <v>1740</v>
      </c>
      <c r="J190" s="150" t="s">
        <v>1568</v>
      </c>
      <c r="K190" s="146"/>
      <c r="L190" s="421"/>
      <c r="M190" s="421"/>
      <c r="N190" s="408">
        <f>SUM(N191:N192)</f>
        <v>0</v>
      </c>
    </row>
    <row r="191" spans="2:14">
      <c r="I191" s="150" t="s">
        <v>1741</v>
      </c>
      <c r="J191" s="150" t="s">
        <v>1593</v>
      </c>
      <c r="K191" s="146" t="s">
        <v>22</v>
      </c>
      <c r="L191" s="421"/>
      <c r="M191" s="421"/>
      <c r="N191" s="408">
        <f t="shared" si="9"/>
        <v>0</v>
      </c>
    </row>
    <row r="192" spans="2:14">
      <c r="I192" s="150" t="s">
        <v>1742</v>
      </c>
      <c r="J192" s="150" t="s">
        <v>1597</v>
      </c>
      <c r="K192" s="146" t="s">
        <v>22</v>
      </c>
      <c r="L192" s="421"/>
      <c r="M192" s="421"/>
      <c r="N192" s="408">
        <f t="shared" si="9"/>
        <v>0</v>
      </c>
    </row>
    <row r="193" spans="9:14">
      <c r="I193" s="150" t="s">
        <v>1743</v>
      </c>
      <c r="J193" s="150" t="s">
        <v>3038</v>
      </c>
      <c r="K193" s="146"/>
      <c r="L193" s="421"/>
      <c r="M193" s="421"/>
      <c r="N193" s="408">
        <f>SUM(N194:N195)</f>
        <v>0</v>
      </c>
    </row>
    <row r="194" spans="9:14">
      <c r="I194" s="150" t="s">
        <v>1744</v>
      </c>
      <c r="J194" s="150" t="s">
        <v>3039</v>
      </c>
      <c r="K194" s="146" t="s">
        <v>875</v>
      </c>
      <c r="L194" s="421"/>
      <c r="M194" s="421"/>
      <c r="N194" s="408">
        <f t="shared" si="9"/>
        <v>0</v>
      </c>
    </row>
    <row r="195" spans="9:14">
      <c r="I195" s="150" t="s">
        <v>1745</v>
      </c>
      <c r="J195" s="150" t="s">
        <v>3066</v>
      </c>
      <c r="K195" s="146" t="s">
        <v>875</v>
      </c>
      <c r="L195" s="421"/>
      <c r="M195" s="421"/>
      <c r="N195" s="408">
        <f t="shared" si="9"/>
        <v>0</v>
      </c>
    </row>
    <row r="196" spans="9:14">
      <c r="I196" s="150" t="s">
        <v>1746</v>
      </c>
      <c r="J196" s="150" t="s">
        <v>1578</v>
      </c>
      <c r="K196" s="146"/>
      <c r="L196" s="421"/>
      <c r="M196" s="421"/>
      <c r="N196" s="408">
        <f>SUM(N197)</f>
        <v>0</v>
      </c>
    </row>
    <row r="197" spans="9:14">
      <c r="I197" s="150" t="s">
        <v>1747</v>
      </c>
      <c r="J197" s="150" t="s">
        <v>1581</v>
      </c>
      <c r="K197" s="146" t="s">
        <v>22</v>
      </c>
      <c r="L197" s="421"/>
      <c r="M197" s="421"/>
      <c r="N197" s="408">
        <f t="shared" si="9"/>
        <v>0</v>
      </c>
    </row>
    <row r="198" spans="9:14">
      <c r="I198" s="150" t="s">
        <v>1748</v>
      </c>
      <c r="J198" s="150" t="s">
        <v>3047</v>
      </c>
      <c r="K198" s="146"/>
      <c r="L198" s="421"/>
      <c r="M198" s="421"/>
      <c r="N198" s="408">
        <f>SUM(N199:N202)</f>
        <v>0</v>
      </c>
    </row>
    <row r="199" spans="9:14">
      <c r="I199" s="150" t="s">
        <v>1749</v>
      </c>
      <c r="J199" s="150" t="s">
        <v>1750</v>
      </c>
      <c r="K199" s="146" t="s">
        <v>875</v>
      </c>
      <c r="L199" s="421"/>
      <c r="M199" s="421"/>
      <c r="N199" s="408">
        <f>L199*M199</f>
        <v>0</v>
      </c>
    </row>
    <row r="200" spans="9:14">
      <c r="I200" s="150" t="s">
        <v>1751</v>
      </c>
      <c r="J200" s="150" t="s">
        <v>1615</v>
      </c>
      <c r="K200" s="146" t="s">
        <v>875</v>
      </c>
      <c r="L200" s="421"/>
      <c r="M200" s="421"/>
      <c r="N200" s="408">
        <f>L200*M200</f>
        <v>0</v>
      </c>
    </row>
    <row r="201" spans="9:14">
      <c r="I201" s="150" t="s">
        <v>1752</v>
      </c>
      <c r="J201" s="150" t="s">
        <v>1618</v>
      </c>
      <c r="K201" s="146" t="s">
        <v>22</v>
      </c>
      <c r="L201" s="421"/>
      <c r="M201" s="421"/>
      <c r="N201" s="408">
        <f>L201*M201</f>
        <v>0</v>
      </c>
    </row>
    <row r="202" spans="9:14">
      <c r="I202" s="150" t="s">
        <v>1753</v>
      </c>
      <c r="J202" s="150" t="s">
        <v>1754</v>
      </c>
      <c r="K202" s="146" t="s">
        <v>22</v>
      </c>
      <c r="L202" s="421"/>
      <c r="M202" s="421"/>
      <c r="N202" s="408">
        <f>L202*M202</f>
        <v>0</v>
      </c>
    </row>
    <row r="203" spans="9:14">
      <c r="I203" s="150" t="s">
        <v>1755</v>
      </c>
      <c r="J203" s="150" t="s">
        <v>1606</v>
      </c>
      <c r="K203" s="146"/>
      <c r="L203" s="421"/>
      <c r="M203" s="421"/>
      <c r="N203" s="408">
        <f>SUM(N204)</f>
        <v>0</v>
      </c>
    </row>
    <row r="204" spans="9:14">
      <c r="I204" s="150" t="s">
        <v>1756</v>
      </c>
      <c r="J204" s="150" t="s">
        <v>1608</v>
      </c>
      <c r="K204" s="146" t="s">
        <v>1609</v>
      </c>
      <c r="L204" s="421"/>
      <c r="M204" s="421"/>
      <c r="N204" s="408">
        <f>L204*M204</f>
        <v>0</v>
      </c>
    </row>
    <row r="205" spans="9:14">
      <c r="I205" s="150" t="s">
        <v>1757</v>
      </c>
      <c r="J205" s="150" t="s">
        <v>3067</v>
      </c>
      <c r="K205" s="146"/>
      <c r="L205" s="421"/>
      <c r="M205" s="421"/>
      <c r="N205" s="408">
        <f>SUM(N206:N207)</f>
        <v>0</v>
      </c>
    </row>
    <row r="206" spans="9:14">
      <c r="I206" s="150" t="s">
        <v>1758</v>
      </c>
      <c r="J206" s="150" t="s">
        <v>1759</v>
      </c>
      <c r="K206" s="146" t="s">
        <v>1010</v>
      </c>
      <c r="L206" s="421"/>
      <c r="M206" s="421"/>
      <c r="N206" s="408">
        <f>L206*M206</f>
        <v>0</v>
      </c>
    </row>
    <row r="207" spans="9:14">
      <c r="I207" s="150" t="s">
        <v>1760</v>
      </c>
      <c r="J207" s="150" t="s">
        <v>1644</v>
      </c>
      <c r="K207" s="146" t="s">
        <v>1010</v>
      </c>
      <c r="L207" s="421"/>
      <c r="M207" s="421"/>
      <c r="N207" s="408">
        <f>L207*M207</f>
        <v>0</v>
      </c>
    </row>
    <row r="208" spans="9:14">
      <c r="I208" s="150" t="s">
        <v>1761</v>
      </c>
      <c r="J208" s="150" t="s">
        <v>916</v>
      </c>
      <c r="K208" s="146"/>
      <c r="L208" s="421"/>
      <c r="M208" s="421"/>
      <c r="N208" s="408">
        <f>SUM(N209:N211)</f>
        <v>0</v>
      </c>
    </row>
    <row r="209" spans="9:14">
      <c r="I209" s="150" t="s">
        <v>1762</v>
      </c>
      <c r="J209" s="150" t="s">
        <v>3068</v>
      </c>
      <c r="K209" s="146" t="s">
        <v>22</v>
      </c>
      <c r="L209" s="421"/>
      <c r="M209" s="421"/>
      <c r="N209" s="408">
        <f>L209*M209</f>
        <v>0</v>
      </c>
    </row>
    <row r="210" spans="9:14">
      <c r="I210" s="150" t="s">
        <v>1763</v>
      </c>
      <c r="J210" s="150" t="s">
        <v>1691</v>
      </c>
      <c r="K210" s="146" t="s">
        <v>22</v>
      </c>
      <c r="L210" s="421"/>
      <c r="M210" s="421"/>
      <c r="N210" s="408">
        <f>L210*M210</f>
        <v>0</v>
      </c>
    </row>
    <row r="211" spans="9:14">
      <c r="I211" s="150" t="s">
        <v>1764</v>
      </c>
      <c r="J211" s="150" t="s">
        <v>1660</v>
      </c>
      <c r="K211" s="146" t="s">
        <v>22</v>
      </c>
      <c r="L211" s="421"/>
      <c r="M211" s="421"/>
      <c r="N211" s="408">
        <f>L211*M211</f>
        <v>0</v>
      </c>
    </row>
    <row r="212" spans="9:14">
      <c r="I212" s="150" t="s">
        <v>1765</v>
      </c>
      <c r="J212" s="150" t="s">
        <v>3069</v>
      </c>
      <c r="K212" s="146"/>
      <c r="L212" s="421"/>
      <c r="M212" s="421"/>
      <c r="N212" s="408">
        <f>SUM(N213:N220)</f>
        <v>0</v>
      </c>
    </row>
    <row r="213" spans="9:14">
      <c r="I213" s="150" t="s">
        <v>1766</v>
      </c>
      <c r="J213" s="150" t="s">
        <v>1667</v>
      </c>
      <c r="K213" s="146" t="s">
        <v>1000</v>
      </c>
      <c r="L213" s="421"/>
      <c r="M213" s="421"/>
      <c r="N213" s="408">
        <f>L213*M213</f>
        <v>0</v>
      </c>
    </row>
    <row r="214" spans="9:14" ht="19.5" customHeight="1">
      <c r="I214" s="150" t="s">
        <v>1767</v>
      </c>
      <c r="J214" s="150" t="s">
        <v>1671</v>
      </c>
      <c r="K214" s="146" t="s">
        <v>1000</v>
      </c>
      <c r="L214" s="421"/>
      <c r="M214" s="421"/>
      <c r="N214" s="408">
        <f t="shared" ref="N214:N227" si="10">L214*M214</f>
        <v>0</v>
      </c>
    </row>
    <row r="215" spans="9:14">
      <c r="I215" s="150" t="s">
        <v>1768</v>
      </c>
      <c r="J215" s="157" t="s">
        <v>1675</v>
      </c>
      <c r="K215" s="146" t="s">
        <v>472</v>
      </c>
      <c r="L215" s="421"/>
      <c r="M215" s="421"/>
      <c r="N215" s="408">
        <f t="shared" si="10"/>
        <v>0</v>
      </c>
    </row>
    <row r="216" spans="9:14" ht="17.25" customHeight="1">
      <c r="I216" s="150" t="s">
        <v>1769</v>
      </c>
      <c r="J216" s="150" t="s">
        <v>1770</v>
      </c>
      <c r="K216" s="146" t="s">
        <v>472</v>
      </c>
      <c r="L216" s="421"/>
      <c r="M216" s="421"/>
      <c r="N216" s="408">
        <f t="shared" si="10"/>
        <v>0</v>
      </c>
    </row>
    <row r="217" spans="9:14">
      <c r="I217" s="150" t="s">
        <v>1771</v>
      </c>
      <c r="J217" s="157" t="s">
        <v>1684</v>
      </c>
      <c r="K217" s="146" t="s">
        <v>875</v>
      </c>
      <c r="L217" s="421"/>
      <c r="M217" s="421"/>
      <c r="N217" s="408">
        <f t="shared" si="10"/>
        <v>0</v>
      </c>
    </row>
    <row r="218" spans="9:14">
      <c r="I218" s="150" t="s">
        <v>1772</v>
      </c>
      <c r="J218" s="150" t="s">
        <v>1706</v>
      </c>
      <c r="K218" s="146" t="s">
        <v>875</v>
      </c>
      <c r="L218" s="421"/>
      <c r="M218" s="421"/>
      <c r="N218" s="408">
        <f t="shared" si="10"/>
        <v>0</v>
      </c>
    </row>
    <row r="219" spans="9:14">
      <c r="I219" s="150" t="s">
        <v>1773</v>
      </c>
      <c r="J219" s="150" t="s">
        <v>1524</v>
      </c>
      <c r="K219" s="146" t="s">
        <v>875</v>
      </c>
      <c r="L219" s="421"/>
      <c r="M219" s="421"/>
      <c r="N219" s="408">
        <f t="shared" si="10"/>
        <v>0</v>
      </c>
    </row>
    <row r="220" spans="9:14">
      <c r="I220" s="150" t="s">
        <v>1774</v>
      </c>
      <c r="J220" s="150" t="s">
        <v>1775</v>
      </c>
      <c r="K220" s="146" t="s">
        <v>875</v>
      </c>
      <c r="L220" s="421"/>
      <c r="M220" s="421"/>
      <c r="N220" s="408">
        <f t="shared" si="10"/>
        <v>0</v>
      </c>
    </row>
    <row r="221" spans="9:14">
      <c r="I221" s="145" t="s">
        <v>1776</v>
      </c>
      <c r="J221" s="145" t="s">
        <v>1777</v>
      </c>
      <c r="K221" s="146"/>
      <c r="L221" s="421"/>
      <c r="M221" s="421"/>
      <c r="N221" s="408">
        <f>SUM(N222,N224,N228,N233,N240,N242,N245,N247,N249,N251,N254,N256,N258,N262)</f>
        <v>0</v>
      </c>
    </row>
    <row r="222" spans="9:14">
      <c r="I222" s="150" t="s">
        <v>1778</v>
      </c>
      <c r="J222" s="150" t="s">
        <v>934</v>
      </c>
      <c r="K222" s="146"/>
      <c r="L222" s="421"/>
      <c r="M222" s="421"/>
      <c r="N222" s="408">
        <f>SUM(N223)</f>
        <v>0</v>
      </c>
    </row>
    <row r="223" spans="9:14">
      <c r="I223" s="150" t="s">
        <v>1779</v>
      </c>
      <c r="J223" s="150" t="s">
        <v>1126</v>
      </c>
      <c r="K223" s="146" t="s">
        <v>22</v>
      </c>
      <c r="L223" s="421"/>
      <c r="M223" s="421"/>
      <c r="N223" s="408">
        <f t="shared" si="10"/>
        <v>0</v>
      </c>
    </row>
    <row r="224" spans="9:14">
      <c r="I224" s="150" t="s">
        <v>1780</v>
      </c>
      <c r="J224" s="150" t="s">
        <v>939</v>
      </c>
      <c r="K224" s="146"/>
      <c r="L224" s="421"/>
      <c r="M224" s="421"/>
      <c r="N224" s="408">
        <f>SUM(N225:N227)</f>
        <v>0</v>
      </c>
    </row>
    <row r="225" spans="9:14">
      <c r="I225" s="150" t="s">
        <v>1781</v>
      </c>
      <c r="J225" s="150" t="s">
        <v>3034</v>
      </c>
      <c r="K225" s="146" t="s">
        <v>943</v>
      </c>
      <c r="L225" s="421"/>
      <c r="M225" s="421"/>
      <c r="N225" s="408">
        <f t="shared" si="10"/>
        <v>0</v>
      </c>
    </row>
    <row r="226" spans="9:14">
      <c r="I226" s="150" t="s">
        <v>1782</v>
      </c>
      <c r="J226" s="150" t="s">
        <v>3043</v>
      </c>
      <c r="K226" s="146" t="s">
        <v>22</v>
      </c>
      <c r="L226" s="421"/>
      <c r="M226" s="421"/>
      <c r="N226" s="408">
        <f t="shared" si="10"/>
        <v>0</v>
      </c>
    </row>
    <row r="227" spans="9:14">
      <c r="I227" s="150" t="s">
        <v>1783</v>
      </c>
      <c r="J227" s="150" t="s">
        <v>3036</v>
      </c>
      <c r="K227" s="146" t="s">
        <v>943</v>
      </c>
      <c r="L227" s="421"/>
      <c r="M227" s="421"/>
      <c r="N227" s="408">
        <f t="shared" si="10"/>
        <v>0</v>
      </c>
    </row>
    <row r="228" spans="9:14">
      <c r="I228" s="150" t="s">
        <v>1784</v>
      </c>
      <c r="J228" s="150" t="s">
        <v>957</v>
      </c>
      <c r="K228" s="146"/>
      <c r="L228" s="421"/>
      <c r="M228" s="421"/>
      <c r="N228" s="408">
        <f>SUM(N229:N232)</f>
        <v>0</v>
      </c>
    </row>
    <row r="229" spans="9:14">
      <c r="I229" s="150" t="s">
        <v>1785</v>
      </c>
      <c r="J229" s="150" t="s">
        <v>3037</v>
      </c>
      <c r="K229" s="146" t="s">
        <v>943</v>
      </c>
      <c r="L229" s="421"/>
      <c r="M229" s="421"/>
      <c r="N229" s="408">
        <f>L229*M229</f>
        <v>0</v>
      </c>
    </row>
    <row r="230" spans="9:14">
      <c r="I230" s="150" t="s">
        <v>1786</v>
      </c>
      <c r="J230" s="150" t="s">
        <v>1528</v>
      </c>
      <c r="K230" s="146" t="s">
        <v>943</v>
      </c>
      <c r="L230" s="421"/>
      <c r="M230" s="421"/>
      <c r="N230" s="408">
        <f>L230*M230</f>
        <v>0</v>
      </c>
    </row>
    <row r="231" spans="9:14">
      <c r="I231" s="150" t="s">
        <v>1787</v>
      </c>
      <c r="J231" s="150" t="s">
        <v>1471</v>
      </c>
      <c r="K231" s="146" t="s">
        <v>22</v>
      </c>
      <c r="L231" s="421"/>
      <c r="M231" s="421"/>
      <c r="N231" s="408">
        <f>L231*M231</f>
        <v>0</v>
      </c>
    </row>
    <row r="232" spans="9:14">
      <c r="I232" s="150" t="s">
        <v>1788</v>
      </c>
      <c r="J232" s="150" t="s">
        <v>1789</v>
      </c>
      <c r="K232" s="146" t="s">
        <v>22</v>
      </c>
      <c r="L232" s="421"/>
      <c r="M232" s="421"/>
      <c r="N232" s="408">
        <f>L232*M232</f>
        <v>0</v>
      </c>
    </row>
    <row r="233" spans="9:14">
      <c r="I233" s="150" t="s">
        <v>1790</v>
      </c>
      <c r="J233" s="150" t="s">
        <v>974</v>
      </c>
      <c r="K233" s="146"/>
      <c r="L233" s="421"/>
      <c r="M233" s="421"/>
      <c r="N233" s="408">
        <f>SUM(N234:N239)</f>
        <v>0</v>
      </c>
    </row>
    <row r="234" spans="9:14">
      <c r="I234" s="150" t="s">
        <v>1791</v>
      </c>
      <c r="J234" s="150" t="s">
        <v>1256</v>
      </c>
      <c r="K234" s="146" t="s">
        <v>943</v>
      </c>
      <c r="L234" s="421"/>
      <c r="M234" s="421"/>
      <c r="N234" s="408">
        <f t="shared" ref="N234:N239" si="11">L234*M234</f>
        <v>0</v>
      </c>
    </row>
    <row r="235" spans="9:14">
      <c r="I235" s="150" t="s">
        <v>1792</v>
      </c>
      <c r="J235" s="150" t="s">
        <v>1260</v>
      </c>
      <c r="K235" s="146" t="s">
        <v>22</v>
      </c>
      <c r="L235" s="421"/>
      <c r="M235" s="421"/>
      <c r="N235" s="408">
        <f t="shared" si="11"/>
        <v>0</v>
      </c>
    </row>
    <row r="236" spans="9:14">
      <c r="I236" s="150" t="s">
        <v>1793</v>
      </c>
      <c r="J236" s="150" t="s">
        <v>1729</v>
      </c>
      <c r="K236" s="146" t="s">
        <v>983</v>
      </c>
      <c r="L236" s="421"/>
      <c r="M236" s="421"/>
      <c r="N236" s="408">
        <f t="shared" si="11"/>
        <v>0</v>
      </c>
    </row>
    <row r="237" spans="9:14">
      <c r="I237" s="150" t="s">
        <v>1794</v>
      </c>
      <c r="J237" s="150" t="s">
        <v>1795</v>
      </c>
      <c r="K237" s="146" t="s">
        <v>943</v>
      </c>
      <c r="L237" s="421"/>
      <c r="M237" s="421"/>
      <c r="N237" s="408">
        <f t="shared" si="11"/>
        <v>0</v>
      </c>
    </row>
    <row r="238" spans="9:14">
      <c r="I238" s="150" t="s">
        <v>1796</v>
      </c>
      <c r="J238" s="150" t="s">
        <v>1797</v>
      </c>
      <c r="K238" s="146" t="s">
        <v>22</v>
      </c>
      <c r="L238" s="421"/>
      <c r="M238" s="421"/>
      <c r="N238" s="408">
        <f t="shared" si="11"/>
        <v>0</v>
      </c>
    </row>
    <row r="239" spans="9:14">
      <c r="I239" s="150" t="s">
        <v>1798</v>
      </c>
      <c r="J239" s="150" t="s">
        <v>1799</v>
      </c>
      <c r="K239" s="146" t="s">
        <v>983</v>
      </c>
      <c r="L239" s="421"/>
      <c r="M239" s="421"/>
      <c r="N239" s="408">
        <f t="shared" si="11"/>
        <v>0</v>
      </c>
    </row>
    <row r="240" spans="9:14">
      <c r="I240" s="150" t="s">
        <v>1800</v>
      </c>
      <c r="J240" s="150" t="s">
        <v>3044</v>
      </c>
      <c r="K240" s="146"/>
      <c r="L240" s="421"/>
      <c r="M240" s="421"/>
      <c r="N240" s="408">
        <f>SUM(N241)</f>
        <v>0</v>
      </c>
    </row>
    <row r="241" spans="9:14">
      <c r="I241" s="150" t="s">
        <v>1801</v>
      </c>
      <c r="J241" s="150" t="s">
        <v>1552</v>
      </c>
      <c r="K241" s="146" t="s">
        <v>22</v>
      </c>
      <c r="L241" s="421"/>
      <c r="M241" s="421"/>
      <c r="N241" s="408">
        <f>L241*M241</f>
        <v>0</v>
      </c>
    </row>
    <row r="242" spans="9:14">
      <c r="I242" s="150" t="s">
        <v>1802</v>
      </c>
      <c r="J242" s="150" t="s">
        <v>1558</v>
      </c>
      <c r="K242" s="146"/>
      <c r="L242" s="421"/>
      <c r="M242" s="421"/>
      <c r="N242" s="408">
        <f>SUM(N243:N244)</f>
        <v>0</v>
      </c>
    </row>
    <row r="243" spans="9:14">
      <c r="I243" s="150" t="s">
        <v>1803</v>
      </c>
      <c r="J243" s="150" t="s">
        <v>1563</v>
      </c>
      <c r="K243" s="146" t="s">
        <v>22</v>
      </c>
      <c r="L243" s="421"/>
      <c r="M243" s="421"/>
      <c r="N243" s="408">
        <f>L243*M243</f>
        <v>0</v>
      </c>
    </row>
    <row r="244" spans="9:14">
      <c r="I244" s="150" t="s">
        <v>1804</v>
      </c>
      <c r="J244" s="150" t="s">
        <v>1565</v>
      </c>
      <c r="K244" s="146" t="s">
        <v>22</v>
      </c>
      <c r="L244" s="421"/>
      <c r="M244" s="421"/>
      <c r="N244" s="408">
        <f>L244*M244</f>
        <v>0</v>
      </c>
    </row>
    <row r="245" spans="9:14">
      <c r="I245" s="150" t="s">
        <v>1805</v>
      </c>
      <c r="J245" s="150" t="s">
        <v>1568</v>
      </c>
      <c r="K245" s="146"/>
      <c r="L245" s="421"/>
      <c r="M245" s="421"/>
      <c r="N245" s="408">
        <f>SUM(N246)</f>
        <v>0</v>
      </c>
    </row>
    <row r="246" spans="9:14">
      <c r="I246" s="150" t="s">
        <v>1806</v>
      </c>
      <c r="J246" s="150" t="s">
        <v>1571</v>
      </c>
      <c r="K246" s="146" t="s">
        <v>22</v>
      </c>
      <c r="L246" s="421"/>
      <c r="M246" s="421"/>
      <c r="N246" s="408">
        <f>L246*M246</f>
        <v>0</v>
      </c>
    </row>
    <row r="247" spans="9:14">
      <c r="I247" s="150" t="s">
        <v>1807</v>
      </c>
      <c r="J247" s="150" t="s">
        <v>3038</v>
      </c>
      <c r="K247" s="146"/>
      <c r="L247" s="421"/>
      <c r="M247" s="421"/>
      <c r="N247" s="408">
        <f>SUM(N248)</f>
        <v>0</v>
      </c>
    </row>
    <row r="248" spans="9:14">
      <c r="I248" s="150" t="s">
        <v>1808</v>
      </c>
      <c r="J248" s="150" t="s">
        <v>3070</v>
      </c>
      <c r="K248" s="146" t="s">
        <v>875</v>
      </c>
      <c r="L248" s="421"/>
      <c r="M248" s="421"/>
      <c r="N248" s="408">
        <f>L248*M248</f>
        <v>0</v>
      </c>
    </row>
    <row r="249" spans="9:14">
      <c r="I249" s="150" t="s">
        <v>1809</v>
      </c>
      <c r="J249" s="150" t="s">
        <v>1578</v>
      </c>
      <c r="K249" s="146"/>
      <c r="L249" s="421"/>
      <c r="M249" s="421"/>
      <c r="N249" s="408">
        <f>SUM(N250)</f>
        <v>0</v>
      </c>
    </row>
    <row r="250" spans="9:14">
      <c r="I250" s="150" t="s">
        <v>1810</v>
      </c>
      <c r="J250" s="150" t="s">
        <v>1811</v>
      </c>
      <c r="K250" s="146" t="s">
        <v>22</v>
      </c>
      <c r="L250" s="421"/>
      <c r="M250" s="421"/>
      <c r="N250" s="408">
        <f>L250*M250</f>
        <v>0</v>
      </c>
    </row>
    <row r="251" spans="9:14">
      <c r="I251" s="150" t="s">
        <v>1812</v>
      </c>
      <c r="J251" s="150" t="s">
        <v>3047</v>
      </c>
      <c r="K251" s="146"/>
      <c r="L251" s="421"/>
      <c r="M251" s="421"/>
      <c r="N251" s="408">
        <f>SUM(N252:N253)</f>
        <v>0</v>
      </c>
    </row>
    <row r="252" spans="9:14">
      <c r="I252" s="150" t="s">
        <v>1813</v>
      </c>
      <c r="J252" s="150" t="s">
        <v>1814</v>
      </c>
      <c r="K252" s="146" t="s">
        <v>22</v>
      </c>
      <c r="L252" s="421"/>
      <c r="M252" s="421"/>
      <c r="N252" s="408">
        <f>L252*M252</f>
        <v>0</v>
      </c>
    </row>
    <row r="253" spans="9:14">
      <c r="I253" s="150" t="s">
        <v>1815</v>
      </c>
      <c r="J253" s="150" t="s">
        <v>1816</v>
      </c>
      <c r="K253" s="146" t="s">
        <v>472</v>
      </c>
      <c r="L253" s="421"/>
      <c r="M253" s="421"/>
      <c r="N253" s="408">
        <f>L253*M253</f>
        <v>0</v>
      </c>
    </row>
    <row r="254" spans="9:14">
      <c r="I254" s="150" t="s">
        <v>1817</v>
      </c>
      <c r="J254" s="150" t="s">
        <v>3040</v>
      </c>
      <c r="K254" s="146"/>
      <c r="L254" s="421"/>
      <c r="M254" s="421"/>
      <c r="N254" s="408">
        <f>SUM(N255)</f>
        <v>0</v>
      </c>
    </row>
    <row r="255" spans="9:14">
      <c r="I255" s="150" t="s">
        <v>1818</v>
      </c>
      <c r="J255" s="150" t="s">
        <v>1604</v>
      </c>
      <c r="K255" s="146" t="s">
        <v>22</v>
      </c>
      <c r="L255" s="421"/>
      <c r="M255" s="421"/>
      <c r="N255" s="408">
        <f>L255*M255</f>
        <v>0</v>
      </c>
    </row>
    <row r="256" spans="9:14">
      <c r="I256" s="150" t="s">
        <v>1819</v>
      </c>
      <c r="J256" s="150" t="s">
        <v>1606</v>
      </c>
      <c r="K256" s="146"/>
      <c r="L256" s="421"/>
      <c r="M256" s="421"/>
      <c r="N256" s="408">
        <f>SUM(N257)</f>
        <v>0</v>
      </c>
    </row>
    <row r="257" spans="9:14">
      <c r="I257" s="150" t="s">
        <v>1820</v>
      </c>
      <c r="J257" s="150" t="s">
        <v>1608</v>
      </c>
      <c r="K257" s="146" t="s">
        <v>1609</v>
      </c>
      <c r="L257" s="421"/>
      <c r="M257" s="421"/>
      <c r="N257" s="408">
        <f>L257*M257</f>
        <v>0</v>
      </c>
    </row>
    <row r="258" spans="9:14">
      <c r="I258" s="150" t="s">
        <v>1821</v>
      </c>
      <c r="J258" s="150" t="s">
        <v>916</v>
      </c>
      <c r="K258" s="146"/>
      <c r="L258" s="421"/>
      <c r="M258" s="421"/>
      <c r="N258" s="408">
        <f>SUM(N259:N261)</f>
        <v>0</v>
      </c>
    </row>
    <row r="259" spans="9:14">
      <c r="I259" s="150" t="s">
        <v>1822</v>
      </c>
      <c r="J259" s="150" t="s">
        <v>3071</v>
      </c>
      <c r="K259" s="146" t="s">
        <v>22</v>
      </c>
      <c r="L259" s="421"/>
      <c r="M259" s="421"/>
      <c r="N259" s="408">
        <f>L259*M259</f>
        <v>0</v>
      </c>
    </row>
    <row r="260" spans="9:14">
      <c r="I260" s="150" t="s">
        <v>1823</v>
      </c>
      <c r="J260" s="150" t="s">
        <v>3072</v>
      </c>
      <c r="K260" s="146" t="s">
        <v>22</v>
      </c>
      <c r="L260" s="421"/>
      <c r="M260" s="421"/>
      <c r="N260" s="408">
        <f t="shared" ref="N260:N271" si="12">L260*M260</f>
        <v>0</v>
      </c>
    </row>
    <row r="261" spans="9:14">
      <c r="I261" s="150" t="s">
        <v>1824</v>
      </c>
      <c r="J261" s="150" t="s">
        <v>3073</v>
      </c>
      <c r="K261" s="146" t="s">
        <v>22</v>
      </c>
      <c r="L261" s="421"/>
      <c r="M261" s="421"/>
      <c r="N261" s="408">
        <f t="shared" si="12"/>
        <v>0</v>
      </c>
    </row>
    <row r="262" spans="9:14">
      <c r="I262" s="150" t="s">
        <v>1825</v>
      </c>
      <c r="J262" s="150" t="s">
        <v>1663</v>
      </c>
      <c r="K262" s="146"/>
      <c r="L262" s="421"/>
      <c r="M262" s="421"/>
      <c r="N262" s="408">
        <f>SUM(N263:N271)</f>
        <v>0</v>
      </c>
    </row>
    <row r="263" spans="9:14">
      <c r="I263" s="150" t="s">
        <v>1826</v>
      </c>
      <c r="J263" s="150" t="s">
        <v>1667</v>
      </c>
      <c r="K263" s="146" t="s">
        <v>1000</v>
      </c>
      <c r="L263" s="421"/>
      <c r="M263" s="421"/>
      <c r="N263" s="408">
        <f t="shared" si="12"/>
        <v>0</v>
      </c>
    </row>
    <row r="264" spans="9:14">
      <c r="I264" s="150" t="s">
        <v>1827</v>
      </c>
      <c r="J264" s="150" t="s">
        <v>1671</v>
      </c>
      <c r="K264" s="146" t="s">
        <v>1000</v>
      </c>
      <c r="L264" s="421"/>
      <c r="M264" s="421"/>
      <c r="N264" s="408">
        <f t="shared" si="12"/>
        <v>0</v>
      </c>
    </row>
    <row r="265" spans="9:14">
      <c r="I265" s="150" t="s">
        <v>1828</v>
      </c>
      <c r="J265" s="150" t="s">
        <v>1675</v>
      </c>
      <c r="K265" s="146" t="s">
        <v>472</v>
      </c>
      <c r="L265" s="421"/>
      <c r="M265" s="421"/>
      <c r="N265" s="408">
        <f t="shared" si="12"/>
        <v>0</v>
      </c>
    </row>
    <row r="266" spans="9:14" ht="19.5" customHeight="1">
      <c r="I266" s="150" t="s">
        <v>1829</v>
      </c>
      <c r="J266" s="150" t="s">
        <v>1830</v>
      </c>
      <c r="K266" s="146" t="s">
        <v>472</v>
      </c>
      <c r="L266" s="421"/>
      <c r="M266" s="421"/>
      <c r="N266" s="408">
        <f t="shared" si="12"/>
        <v>0</v>
      </c>
    </row>
    <row r="267" spans="9:14" ht="21" customHeight="1">
      <c r="I267" s="150" t="s">
        <v>1831</v>
      </c>
      <c r="J267" s="157" t="s">
        <v>1684</v>
      </c>
      <c r="K267" s="146" t="s">
        <v>875</v>
      </c>
      <c r="L267" s="421"/>
      <c r="M267" s="421"/>
      <c r="N267" s="408">
        <f t="shared" si="12"/>
        <v>0</v>
      </c>
    </row>
    <row r="268" spans="9:14" ht="25.5">
      <c r="I268" s="150" t="s">
        <v>1832</v>
      </c>
      <c r="J268" s="157" t="s">
        <v>1833</v>
      </c>
      <c r="K268" s="146" t="s">
        <v>875</v>
      </c>
      <c r="L268" s="421"/>
      <c r="M268" s="421"/>
      <c r="N268" s="408">
        <f t="shared" si="12"/>
        <v>0</v>
      </c>
    </row>
    <row r="269" spans="9:14">
      <c r="I269" s="150" t="s">
        <v>1834</v>
      </c>
      <c r="J269" s="150" t="s">
        <v>1524</v>
      </c>
      <c r="K269" s="146" t="s">
        <v>875</v>
      </c>
      <c r="L269" s="421"/>
      <c r="M269" s="421"/>
      <c r="N269" s="408">
        <f t="shared" si="12"/>
        <v>0</v>
      </c>
    </row>
    <row r="270" spans="9:14">
      <c r="I270" s="150" t="s">
        <v>1835</v>
      </c>
      <c r="J270" s="150" t="s">
        <v>1775</v>
      </c>
      <c r="K270" s="146" t="s">
        <v>875</v>
      </c>
      <c r="L270" s="421"/>
      <c r="M270" s="421"/>
      <c r="N270" s="408">
        <f t="shared" si="12"/>
        <v>0</v>
      </c>
    </row>
    <row r="271" spans="9:14">
      <c r="I271" s="150" t="s">
        <v>1836</v>
      </c>
      <c r="J271" s="150" t="s">
        <v>3033</v>
      </c>
      <c r="K271" s="146" t="s">
        <v>472</v>
      </c>
      <c r="L271" s="421"/>
      <c r="M271" s="421"/>
      <c r="N271" s="408">
        <f t="shared" si="12"/>
        <v>0</v>
      </c>
    </row>
    <row r="272" spans="9:14">
      <c r="I272" s="145">
        <v>2.04</v>
      </c>
      <c r="J272" s="145" t="s">
        <v>1837</v>
      </c>
      <c r="K272" s="146"/>
      <c r="L272" s="421"/>
      <c r="M272" s="421"/>
      <c r="N272" s="408">
        <f>SUM(N273,N275,N279,N283,N290,N292,N296,N299,N301,N304,N309,N311,N313,N317,N322)</f>
        <v>0</v>
      </c>
    </row>
    <row r="273" spans="9:14">
      <c r="I273" s="150" t="s">
        <v>1838</v>
      </c>
      <c r="J273" s="150" t="s">
        <v>934</v>
      </c>
      <c r="K273" s="146"/>
      <c r="L273" s="421"/>
      <c r="M273" s="421"/>
      <c r="N273" s="408">
        <f>SUM(N274)</f>
        <v>0</v>
      </c>
    </row>
    <row r="274" spans="9:14">
      <c r="I274" s="150" t="s">
        <v>1839</v>
      </c>
      <c r="J274" s="150" t="s">
        <v>1126</v>
      </c>
      <c r="K274" s="146" t="s">
        <v>22</v>
      </c>
      <c r="L274" s="421"/>
      <c r="M274" s="421"/>
      <c r="N274" s="408">
        <f>L274*M274</f>
        <v>0</v>
      </c>
    </row>
    <row r="275" spans="9:14">
      <c r="I275" s="150" t="s">
        <v>1840</v>
      </c>
      <c r="J275" s="150" t="s">
        <v>939</v>
      </c>
      <c r="K275" s="146"/>
      <c r="L275" s="421"/>
      <c r="M275" s="421"/>
      <c r="N275" s="408">
        <f>SUM(N276:N278)</f>
        <v>0</v>
      </c>
    </row>
    <row r="276" spans="9:14">
      <c r="I276" s="150" t="s">
        <v>1841</v>
      </c>
      <c r="J276" s="150" t="s">
        <v>3034</v>
      </c>
      <c r="K276" s="146" t="s">
        <v>943</v>
      </c>
      <c r="L276" s="421"/>
      <c r="M276" s="421"/>
      <c r="N276" s="408">
        <f>L276*M276</f>
        <v>0</v>
      </c>
    </row>
    <row r="277" spans="9:14">
      <c r="I277" s="150" t="s">
        <v>1842</v>
      </c>
      <c r="J277" s="150" t="s">
        <v>3043</v>
      </c>
      <c r="K277" s="146" t="s">
        <v>22</v>
      </c>
      <c r="L277" s="421"/>
      <c r="M277" s="421"/>
      <c r="N277" s="408">
        <f>L277*M277</f>
        <v>0</v>
      </c>
    </row>
    <row r="278" spans="9:14">
      <c r="I278" s="150" t="s">
        <v>1843</v>
      </c>
      <c r="J278" s="150" t="s">
        <v>3036</v>
      </c>
      <c r="K278" s="146" t="s">
        <v>943</v>
      </c>
      <c r="L278" s="421"/>
      <c r="M278" s="421"/>
      <c r="N278" s="408">
        <f>L278*M278</f>
        <v>0</v>
      </c>
    </row>
    <row r="279" spans="9:14">
      <c r="I279" s="150" t="s">
        <v>1844</v>
      </c>
      <c r="J279" s="150" t="s">
        <v>957</v>
      </c>
      <c r="K279" s="146"/>
      <c r="L279" s="421"/>
      <c r="M279" s="421"/>
      <c r="N279" s="408">
        <f>SUM(N280:N282)</f>
        <v>0</v>
      </c>
    </row>
    <row r="280" spans="9:14">
      <c r="I280" s="150" t="s">
        <v>1845</v>
      </c>
      <c r="J280" s="150" t="s">
        <v>3037</v>
      </c>
      <c r="K280" s="146" t="s">
        <v>943</v>
      </c>
      <c r="L280" s="421"/>
      <c r="M280" s="421"/>
      <c r="N280" s="408">
        <f>L280*M280</f>
        <v>0</v>
      </c>
    </row>
    <row r="281" spans="9:14">
      <c r="I281" s="150" t="s">
        <v>1846</v>
      </c>
      <c r="J281" s="150" t="s">
        <v>1528</v>
      </c>
      <c r="K281" s="146" t="s">
        <v>943</v>
      </c>
      <c r="L281" s="421"/>
      <c r="M281" s="421"/>
      <c r="N281" s="408">
        <f>L281*M281</f>
        <v>0</v>
      </c>
    </row>
    <row r="282" spans="9:14">
      <c r="I282" s="150" t="s">
        <v>1847</v>
      </c>
      <c r="J282" s="150" t="s">
        <v>963</v>
      </c>
      <c r="K282" s="146" t="s">
        <v>22</v>
      </c>
      <c r="L282" s="421"/>
      <c r="M282" s="421"/>
      <c r="N282" s="408">
        <f>L282*M282</f>
        <v>0</v>
      </c>
    </row>
    <row r="283" spans="9:14">
      <c r="I283" s="150" t="s">
        <v>1848</v>
      </c>
      <c r="J283" s="150" t="s">
        <v>974</v>
      </c>
      <c r="K283" s="146"/>
      <c r="L283" s="421"/>
      <c r="M283" s="421"/>
      <c r="N283" s="408">
        <f>SUM(N284:N289)</f>
        <v>0</v>
      </c>
    </row>
    <row r="284" spans="9:14">
      <c r="I284" s="150" t="s">
        <v>1849</v>
      </c>
      <c r="J284" s="150" t="s">
        <v>1561</v>
      </c>
      <c r="K284" s="146" t="s">
        <v>943</v>
      </c>
      <c r="L284" s="421"/>
      <c r="M284" s="421"/>
      <c r="N284" s="408">
        <f t="shared" ref="N284:N289" si="13">L284*M284</f>
        <v>0</v>
      </c>
    </row>
    <row r="285" spans="9:14">
      <c r="I285" s="150" t="s">
        <v>1850</v>
      </c>
      <c r="J285" s="150" t="s">
        <v>1260</v>
      </c>
      <c r="K285" s="146" t="s">
        <v>22</v>
      </c>
      <c r="L285" s="421"/>
      <c r="M285" s="421"/>
      <c r="N285" s="408">
        <f t="shared" si="13"/>
        <v>0</v>
      </c>
    </row>
    <row r="286" spans="9:14">
      <c r="I286" s="150" t="s">
        <v>1851</v>
      </c>
      <c r="J286" s="150" t="s">
        <v>1566</v>
      </c>
      <c r="K286" s="146" t="s">
        <v>983</v>
      </c>
      <c r="L286" s="421"/>
      <c r="M286" s="421"/>
      <c r="N286" s="408">
        <f t="shared" si="13"/>
        <v>0</v>
      </c>
    </row>
    <row r="287" spans="9:14">
      <c r="I287" s="150" t="s">
        <v>1852</v>
      </c>
      <c r="J287" s="150" t="s">
        <v>1544</v>
      </c>
      <c r="K287" s="146" t="s">
        <v>943</v>
      </c>
      <c r="L287" s="421"/>
      <c r="M287" s="421"/>
      <c r="N287" s="408">
        <f t="shared" si="13"/>
        <v>0</v>
      </c>
    </row>
    <row r="288" spans="9:14">
      <c r="I288" s="150" t="s">
        <v>1853</v>
      </c>
      <c r="J288" s="150" t="s">
        <v>1546</v>
      </c>
      <c r="K288" s="146" t="s">
        <v>22</v>
      </c>
      <c r="L288" s="421"/>
      <c r="M288" s="421"/>
      <c r="N288" s="408">
        <f t="shared" si="13"/>
        <v>0</v>
      </c>
    </row>
    <row r="289" spans="9:14">
      <c r="I289" s="150" t="s">
        <v>1854</v>
      </c>
      <c r="J289" s="150" t="s">
        <v>1548</v>
      </c>
      <c r="K289" s="146" t="s">
        <v>983</v>
      </c>
      <c r="L289" s="421"/>
      <c r="M289" s="421"/>
      <c r="N289" s="408">
        <f t="shared" si="13"/>
        <v>0</v>
      </c>
    </row>
    <row r="290" spans="9:14">
      <c r="I290" s="150" t="s">
        <v>1855</v>
      </c>
      <c r="J290" s="150" t="s">
        <v>3044</v>
      </c>
      <c r="K290" s="146"/>
      <c r="L290" s="421"/>
      <c r="M290" s="421"/>
      <c r="N290" s="408">
        <f>SUM(N291)</f>
        <v>0</v>
      </c>
    </row>
    <row r="291" spans="9:14">
      <c r="I291" s="150" t="s">
        <v>1856</v>
      </c>
      <c r="J291" s="150" t="s">
        <v>1552</v>
      </c>
      <c r="K291" s="146" t="s">
        <v>22</v>
      </c>
      <c r="L291" s="421"/>
      <c r="M291" s="421"/>
      <c r="N291" s="408">
        <f>L291*M291</f>
        <v>0</v>
      </c>
    </row>
    <row r="292" spans="9:14">
      <c r="I292" s="150" t="s">
        <v>1857</v>
      </c>
      <c r="J292" s="150" t="s">
        <v>1558</v>
      </c>
      <c r="K292" s="146"/>
      <c r="L292" s="421"/>
      <c r="M292" s="421"/>
      <c r="N292" s="408">
        <f>SUM(N293:N295)</f>
        <v>0</v>
      </c>
    </row>
    <row r="293" spans="9:14">
      <c r="I293" s="150" t="s">
        <v>1858</v>
      </c>
      <c r="J293" s="150" t="s">
        <v>1583</v>
      </c>
      <c r="K293" s="146" t="s">
        <v>22</v>
      </c>
      <c r="L293" s="421"/>
      <c r="M293" s="421"/>
      <c r="N293" s="408">
        <f>L293*M293</f>
        <v>0</v>
      </c>
    </row>
    <row r="294" spans="9:14">
      <c r="I294" s="150" t="s">
        <v>1859</v>
      </c>
      <c r="J294" s="150" t="s">
        <v>1587</v>
      </c>
      <c r="K294" s="146" t="s">
        <v>22</v>
      </c>
      <c r="L294" s="421"/>
      <c r="M294" s="421"/>
      <c r="N294" s="408">
        <f>L294*M294</f>
        <v>0</v>
      </c>
    </row>
    <row r="295" spans="9:14">
      <c r="I295" s="150" t="s">
        <v>1860</v>
      </c>
      <c r="J295" s="150" t="s">
        <v>1625</v>
      </c>
      <c r="K295" s="146" t="s">
        <v>875</v>
      </c>
      <c r="L295" s="421"/>
      <c r="M295" s="421"/>
      <c r="N295" s="408">
        <f>L295*M295</f>
        <v>0</v>
      </c>
    </row>
    <row r="296" spans="9:14">
      <c r="I296" s="150" t="s">
        <v>1861</v>
      </c>
      <c r="J296" s="150" t="s">
        <v>1568</v>
      </c>
      <c r="K296" s="146"/>
      <c r="L296" s="421"/>
      <c r="M296" s="421"/>
      <c r="N296" s="408">
        <f>SUM(N297:N298)</f>
        <v>0</v>
      </c>
    </row>
    <row r="297" spans="9:14">
      <c r="I297" s="150" t="s">
        <v>1862</v>
      </c>
      <c r="J297" s="150" t="s">
        <v>1593</v>
      </c>
      <c r="K297" s="146" t="s">
        <v>22</v>
      </c>
      <c r="L297" s="421"/>
      <c r="M297" s="421"/>
      <c r="N297" s="408">
        <f>L297*M297</f>
        <v>0</v>
      </c>
    </row>
    <row r="298" spans="9:14">
      <c r="I298" s="150" t="s">
        <v>1863</v>
      </c>
      <c r="J298" s="150" t="s">
        <v>1597</v>
      </c>
      <c r="K298" s="146" t="s">
        <v>22</v>
      </c>
      <c r="L298" s="421"/>
      <c r="M298" s="421"/>
      <c r="N298" s="408">
        <f>L298*M298</f>
        <v>0</v>
      </c>
    </row>
    <row r="299" spans="9:14">
      <c r="I299" s="150" t="s">
        <v>1864</v>
      </c>
      <c r="J299" s="150" t="s">
        <v>3038</v>
      </c>
      <c r="K299" s="146"/>
      <c r="L299" s="421"/>
      <c r="M299" s="421"/>
      <c r="N299" s="408">
        <f>SUM(N300)</f>
        <v>0</v>
      </c>
    </row>
    <row r="300" spans="9:14">
      <c r="I300" s="150" t="s">
        <v>1865</v>
      </c>
      <c r="J300" s="150" t="s">
        <v>3039</v>
      </c>
      <c r="K300" s="146" t="s">
        <v>875</v>
      </c>
      <c r="L300" s="421"/>
      <c r="M300" s="421"/>
      <c r="N300" s="408">
        <f>L300*M300</f>
        <v>0</v>
      </c>
    </row>
    <row r="301" spans="9:14">
      <c r="I301" s="150" t="s">
        <v>1866</v>
      </c>
      <c r="J301" s="150" t="s">
        <v>1578</v>
      </c>
      <c r="K301" s="146"/>
      <c r="L301" s="421"/>
      <c r="M301" s="421"/>
      <c r="N301" s="408">
        <f>SUM(N302:N303)</f>
        <v>0</v>
      </c>
    </row>
    <row r="302" spans="9:14">
      <c r="I302" s="150" t="s">
        <v>1867</v>
      </c>
      <c r="J302" s="150" t="s">
        <v>1581</v>
      </c>
      <c r="K302" s="146" t="s">
        <v>22</v>
      </c>
      <c r="L302" s="421"/>
      <c r="M302" s="421"/>
      <c r="N302" s="408">
        <f>L302*M302</f>
        <v>0</v>
      </c>
    </row>
    <row r="303" spans="9:14">
      <c r="I303" s="150" t="s">
        <v>1868</v>
      </c>
      <c r="J303" s="150" t="s">
        <v>1585</v>
      </c>
      <c r="K303" s="146" t="s">
        <v>875</v>
      </c>
      <c r="L303" s="421"/>
      <c r="M303" s="421"/>
      <c r="N303" s="408">
        <f>L303*M303</f>
        <v>0</v>
      </c>
    </row>
    <row r="304" spans="9:14">
      <c r="I304" s="150" t="s">
        <v>1869</v>
      </c>
      <c r="J304" s="150" t="s">
        <v>3047</v>
      </c>
      <c r="K304" s="146"/>
      <c r="L304" s="421"/>
      <c r="M304" s="421"/>
      <c r="N304" s="408">
        <f>SUM(N305:N308)</f>
        <v>0</v>
      </c>
    </row>
    <row r="305" spans="9:14">
      <c r="I305" s="150" t="s">
        <v>1870</v>
      </c>
      <c r="J305" s="150" t="s">
        <v>1613</v>
      </c>
      <c r="K305" s="146" t="s">
        <v>875</v>
      </c>
      <c r="L305" s="421"/>
      <c r="M305" s="421"/>
      <c r="N305" s="408">
        <f>L305*M305</f>
        <v>0</v>
      </c>
    </row>
    <row r="306" spans="9:14">
      <c r="I306" s="150" t="s">
        <v>1871</v>
      </c>
      <c r="J306" s="150" t="s">
        <v>1615</v>
      </c>
      <c r="K306" s="146" t="s">
        <v>875</v>
      </c>
      <c r="L306" s="421"/>
      <c r="M306" s="421"/>
      <c r="N306" s="408">
        <f t="shared" ref="N306:N312" si="14">L306*M306</f>
        <v>0</v>
      </c>
    </row>
    <row r="307" spans="9:14">
      <c r="I307" s="150" t="s">
        <v>1872</v>
      </c>
      <c r="J307" s="150" t="s">
        <v>1618</v>
      </c>
      <c r="K307" s="146" t="s">
        <v>22</v>
      </c>
      <c r="L307" s="421"/>
      <c r="M307" s="421"/>
      <c r="N307" s="408">
        <f t="shared" si="14"/>
        <v>0</v>
      </c>
    </row>
    <row r="308" spans="9:14">
      <c r="I308" s="150" t="s">
        <v>1873</v>
      </c>
      <c r="J308" s="150" t="s">
        <v>1621</v>
      </c>
      <c r="K308" s="146" t="s">
        <v>22</v>
      </c>
      <c r="L308" s="421"/>
      <c r="M308" s="421"/>
      <c r="N308" s="408">
        <f t="shared" si="14"/>
        <v>0</v>
      </c>
    </row>
    <row r="309" spans="9:14">
      <c r="I309" s="150" t="s">
        <v>1874</v>
      </c>
      <c r="J309" s="150" t="s">
        <v>3040</v>
      </c>
      <c r="K309" s="146"/>
      <c r="L309" s="421"/>
      <c r="M309" s="421"/>
      <c r="N309" s="408">
        <f>SUM(N310)</f>
        <v>0</v>
      </c>
    </row>
    <row r="310" spans="9:14">
      <c r="I310" s="150" t="s">
        <v>1875</v>
      </c>
      <c r="J310" s="150" t="s">
        <v>1604</v>
      </c>
      <c r="K310" s="146" t="s">
        <v>22</v>
      </c>
      <c r="L310" s="421"/>
      <c r="M310" s="421"/>
      <c r="N310" s="408">
        <f t="shared" si="14"/>
        <v>0</v>
      </c>
    </row>
    <row r="311" spans="9:14">
      <c r="I311" s="150" t="s">
        <v>1876</v>
      </c>
      <c r="J311" s="150" t="s">
        <v>1606</v>
      </c>
      <c r="K311" s="146"/>
      <c r="L311" s="421"/>
      <c r="M311" s="421"/>
      <c r="N311" s="408">
        <f>SUM(N312)</f>
        <v>0</v>
      </c>
    </row>
    <row r="312" spans="9:14">
      <c r="I312" s="150" t="s">
        <v>1877</v>
      </c>
      <c r="J312" s="150" t="s">
        <v>1608</v>
      </c>
      <c r="K312" s="146" t="s">
        <v>22</v>
      </c>
      <c r="L312" s="421"/>
      <c r="M312" s="421"/>
      <c r="N312" s="408">
        <f t="shared" si="14"/>
        <v>0</v>
      </c>
    </row>
    <row r="313" spans="9:14">
      <c r="I313" s="150" t="s">
        <v>1878</v>
      </c>
      <c r="J313" s="150" t="s">
        <v>3067</v>
      </c>
      <c r="K313" s="146"/>
      <c r="L313" s="421"/>
      <c r="M313" s="421"/>
      <c r="N313" s="408">
        <f>SUM(N314:N316)</f>
        <v>0</v>
      </c>
    </row>
    <row r="314" spans="9:14">
      <c r="I314" s="150" t="s">
        <v>1879</v>
      </c>
      <c r="J314" s="150" t="s">
        <v>1880</v>
      </c>
      <c r="K314" s="146" t="s">
        <v>1010</v>
      </c>
      <c r="L314" s="421"/>
      <c r="M314" s="421"/>
      <c r="N314" s="408">
        <f>L314*M314</f>
        <v>0</v>
      </c>
    </row>
    <row r="315" spans="9:14">
      <c r="I315" s="150" t="s">
        <v>1881</v>
      </c>
      <c r="J315" s="150" t="s">
        <v>1882</v>
      </c>
      <c r="K315" s="146" t="s">
        <v>1010</v>
      </c>
      <c r="L315" s="421"/>
      <c r="M315" s="421"/>
      <c r="N315" s="408">
        <f>L315*M315</f>
        <v>0</v>
      </c>
    </row>
    <row r="316" spans="9:14">
      <c r="I316" s="150" t="s">
        <v>1883</v>
      </c>
      <c r="J316" s="150" t="s">
        <v>1644</v>
      </c>
      <c r="K316" s="146" t="s">
        <v>1010</v>
      </c>
      <c r="L316" s="421"/>
      <c r="M316" s="421"/>
      <c r="N316" s="408">
        <f>L316*M316</f>
        <v>0</v>
      </c>
    </row>
    <row r="317" spans="9:14">
      <c r="I317" s="150" t="s">
        <v>1884</v>
      </c>
      <c r="J317" s="150" t="s">
        <v>916</v>
      </c>
      <c r="K317" s="146"/>
      <c r="L317" s="421"/>
      <c r="M317" s="421"/>
      <c r="N317" s="408">
        <f>SUM(N318:N321)</f>
        <v>0</v>
      </c>
    </row>
    <row r="318" spans="9:14">
      <c r="I318" s="150" t="s">
        <v>1885</v>
      </c>
      <c r="J318" s="150" t="s">
        <v>3068</v>
      </c>
      <c r="K318" s="146" t="s">
        <v>22</v>
      </c>
      <c r="L318" s="421"/>
      <c r="M318" s="421"/>
      <c r="N318" s="408">
        <f>L318*M318</f>
        <v>0</v>
      </c>
    </row>
    <row r="319" spans="9:14">
      <c r="I319" s="150" t="s">
        <v>1886</v>
      </c>
      <c r="J319" s="150" t="s">
        <v>3074</v>
      </c>
      <c r="K319" s="146" t="s">
        <v>22</v>
      </c>
      <c r="L319" s="421"/>
      <c r="M319" s="421"/>
      <c r="N319" s="408">
        <f>L319*M319</f>
        <v>0</v>
      </c>
    </row>
    <row r="320" spans="9:14">
      <c r="I320" s="150" t="s">
        <v>1887</v>
      </c>
      <c r="J320" s="150" t="s">
        <v>1691</v>
      </c>
      <c r="K320" s="146" t="s">
        <v>22</v>
      </c>
      <c r="L320" s="421"/>
      <c r="M320" s="421"/>
      <c r="N320" s="408">
        <f>L320*M320</f>
        <v>0</v>
      </c>
    </row>
    <row r="321" spans="9:14">
      <c r="I321" s="150" t="s">
        <v>1888</v>
      </c>
      <c r="J321" s="150" t="s">
        <v>1660</v>
      </c>
      <c r="K321" s="146" t="s">
        <v>22</v>
      </c>
      <c r="L321" s="421"/>
      <c r="M321" s="421"/>
      <c r="N321" s="408">
        <f>L321*M321</f>
        <v>0</v>
      </c>
    </row>
    <row r="322" spans="9:14">
      <c r="I322" s="150" t="s">
        <v>1889</v>
      </c>
      <c r="J322" s="150" t="s">
        <v>1663</v>
      </c>
      <c r="K322" s="146"/>
      <c r="L322" s="421"/>
      <c r="M322" s="421"/>
      <c r="N322" s="408">
        <f>SUM(N323:N331)</f>
        <v>0</v>
      </c>
    </row>
    <row r="323" spans="9:14">
      <c r="I323" s="150" t="s">
        <v>1890</v>
      </c>
      <c r="J323" s="150" t="s">
        <v>1667</v>
      </c>
      <c r="K323" s="146" t="s">
        <v>1000</v>
      </c>
      <c r="L323" s="421"/>
      <c r="M323" s="421"/>
      <c r="N323" s="408">
        <f>L323*M323</f>
        <v>0</v>
      </c>
    </row>
    <row r="324" spans="9:14">
      <c r="I324" s="150" t="s">
        <v>1891</v>
      </c>
      <c r="J324" s="150" t="s">
        <v>1671</v>
      </c>
      <c r="K324" s="146" t="s">
        <v>1000</v>
      </c>
      <c r="L324" s="421"/>
      <c r="M324" s="421"/>
      <c r="N324" s="408">
        <f t="shared" ref="N324:N331" si="15">L324*M324</f>
        <v>0</v>
      </c>
    </row>
    <row r="325" spans="9:14">
      <c r="I325" s="150" t="s">
        <v>1892</v>
      </c>
      <c r="J325" s="150" t="s">
        <v>1675</v>
      </c>
      <c r="K325" s="146" t="s">
        <v>472</v>
      </c>
      <c r="L325" s="421"/>
      <c r="M325" s="421"/>
      <c r="N325" s="408">
        <f t="shared" si="15"/>
        <v>0</v>
      </c>
    </row>
    <row r="326" spans="9:14" ht="30.75" customHeight="1">
      <c r="I326" s="150" t="s">
        <v>1893</v>
      </c>
      <c r="J326" s="150" t="s">
        <v>1894</v>
      </c>
      <c r="K326" s="146" t="s">
        <v>472</v>
      </c>
      <c r="L326" s="421"/>
      <c r="M326" s="421"/>
      <c r="N326" s="408">
        <f t="shared" si="15"/>
        <v>0</v>
      </c>
    </row>
    <row r="327" spans="9:14" ht="24.75" customHeight="1">
      <c r="I327" s="150" t="s">
        <v>1895</v>
      </c>
      <c r="J327" s="157" t="s">
        <v>1684</v>
      </c>
      <c r="K327" s="146" t="s">
        <v>875</v>
      </c>
      <c r="L327" s="421"/>
      <c r="M327" s="421"/>
      <c r="N327" s="408">
        <f t="shared" si="15"/>
        <v>0</v>
      </c>
    </row>
    <row r="328" spans="9:14" ht="21.75" customHeight="1">
      <c r="I328" s="150" t="s">
        <v>1896</v>
      </c>
      <c r="J328" s="157" t="s">
        <v>1833</v>
      </c>
      <c r="K328" s="146" t="s">
        <v>875</v>
      </c>
      <c r="L328" s="421"/>
      <c r="M328" s="421"/>
      <c r="N328" s="408">
        <f t="shared" si="15"/>
        <v>0</v>
      </c>
    </row>
    <row r="329" spans="9:14">
      <c r="I329" s="150" t="s">
        <v>1897</v>
      </c>
      <c r="J329" s="157" t="s">
        <v>1898</v>
      </c>
      <c r="K329" s="146" t="s">
        <v>875</v>
      </c>
      <c r="L329" s="421"/>
      <c r="M329" s="421"/>
      <c r="N329" s="408">
        <f t="shared" si="15"/>
        <v>0</v>
      </c>
    </row>
    <row r="330" spans="9:14">
      <c r="I330" s="150" t="s">
        <v>1899</v>
      </c>
      <c r="J330" s="150" t="s">
        <v>1524</v>
      </c>
      <c r="K330" s="146" t="s">
        <v>875</v>
      </c>
      <c r="L330" s="421"/>
      <c r="M330" s="421"/>
      <c r="N330" s="408">
        <f t="shared" si="15"/>
        <v>0</v>
      </c>
    </row>
    <row r="331" spans="9:14">
      <c r="I331" s="150" t="s">
        <v>1900</v>
      </c>
      <c r="J331" s="150" t="s">
        <v>3033</v>
      </c>
      <c r="K331" s="146" t="s">
        <v>472</v>
      </c>
      <c r="L331" s="421"/>
      <c r="M331" s="421"/>
      <c r="N331" s="408">
        <f t="shared" si="15"/>
        <v>0</v>
      </c>
    </row>
    <row r="332" spans="9:14">
      <c r="I332" s="145">
        <v>2.0499999999999998</v>
      </c>
      <c r="J332" s="145" t="s">
        <v>1515</v>
      </c>
      <c r="K332" s="146"/>
      <c r="L332" s="421"/>
      <c r="M332" s="421"/>
      <c r="N332" s="408">
        <f>SUM(N333,N338)</f>
        <v>0</v>
      </c>
    </row>
    <row r="333" spans="9:14" ht="18" customHeight="1">
      <c r="I333" s="150" t="s">
        <v>1901</v>
      </c>
      <c r="J333" s="150" t="s">
        <v>1517</v>
      </c>
      <c r="K333" s="146"/>
      <c r="L333" s="421"/>
      <c r="M333" s="421"/>
      <c r="N333" s="408">
        <f>SUM(N334:N337)</f>
        <v>0</v>
      </c>
    </row>
    <row r="334" spans="9:14" ht="27.75" customHeight="1">
      <c r="I334" s="150" t="s">
        <v>1902</v>
      </c>
      <c r="J334" s="157" t="s">
        <v>1519</v>
      </c>
      <c r="K334" s="146" t="s">
        <v>943</v>
      </c>
      <c r="L334" s="421"/>
      <c r="M334" s="421"/>
      <c r="N334" s="408">
        <f>L334*M334</f>
        <v>0</v>
      </c>
    </row>
    <row r="335" spans="9:14" ht="31.5" customHeight="1">
      <c r="I335" s="150" t="s">
        <v>1903</v>
      </c>
      <c r="J335" s="157" t="s">
        <v>1520</v>
      </c>
      <c r="K335" s="146" t="s">
        <v>472</v>
      </c>
      <c r="L335" s="421"/>
      <c r="M335" s="421"/>
      <c r="N335" s="408">
        <f>L335*M335</f>
        <v>0</v>
      </c>
    </row>
    <row r="336" spans="9:14" ht="31.5" customHeight="1">
      <c r="I336" s="150" t="s">
        <v>1904</v>
      </c>
      <c r="J336" s="157" t="s">
        <v>3032</v>
      </c>
      <c r="K336" s="146" t="s">
        <v>472</v>
      </c>
      <c r="L336" s="421"/>
      <c r="M336" s="421"/>
      <c r="N336" s="408">
        <f>L336*M336</f>
        <v>0</v>
      </c>
    </row>
    <row r="337" spans="9:14" ht="20.25" customHeight="1">
      <c r="I337" s="150" t="s">
        <v>1905</v>
      </c>
      <c r="J337" s="157" t="s">
        <v>3033</v>
      </c>
      <c r="K337" s="146" t="s">
        <v>472</v>
      </c>
      <c r="L337" s="421"/>
      <c r="M337" s="421"/>
      <c r="N337" s="408">
        <f>L337*M337</f>
        <v>0</v>
      </c>
    </row>
    <row r="338" spans="9:14" ht="18" customHeight="1">
      <c r="I338" s="150" t="s">
        <v>1906</v>
      </c>
      <c r="J338" s="157" t="s">
        <v>1523</v>
      </c>
      <c r="K338" s="146"/>
      <c r="L338" s="421"/>
      <c r="M338" s="421"/>
      <c r="N338" s="408">
        <f>SUM(N339:N344)</f>
        <v>0</v>
      </c>
    </row>
    <row r="339" spans="9:14" ht="28.5" customHeight="1">
      <c r="I339" s="150" t="s">
        <v>1907</v>
      </c>
      <c r="J339" s="157" t="s">
        <v>1524</v>
      </c>
      <c r="K339" s="146" t="s">
        <v>943</v>
      </c>
      <c r="L339" s="421"/>
      <c r="M339" s="421"/>
      <c r="N339" s="408">
        <f t="shared" ref="N339:N344" si="16">L339*M339</f>
        <v>0</v>
      </c>
    </row>
    <row r="340" spans="9:14" ht="30" customHeight="1">
      <c r="I340" s="150" t="s">
        <v>1908</v>
      </c>
      <c r="J340" s="157" t="s">
        <v>1525</v>
      </c>
      <c r="K340" s="146" t="s">
        <v>875</v>
      </c>
      <c r="L340" s="421"/>
      <c r="M340" s="421"/>
      <c r="N340" s="408">
        <f t="shared" si="16"/>
        <v>0</v>
      </c>
    </row>
    <row r="341" spans="9:14" ht="15" customHeight="1">
      <c r="I341" s="150" t="s">
        <v>1909</v>
      </c>
      <c r="J341" s="157" t="s">
        <v>1526</v>
      </c>
      <c r="K341" s="146" t="s">
        <v>875</v>
      </c>
      <c r="L341" s="421"/>
      <c r="M341" s="421"/>
      <c r="N341" s="408">
        <f t="shared" si="16"/>
        <v>0</v>
      </c>
    </row>
    <row r="342" spans="9:14">
      <c r="I342" s="150" t="s">
        <v>1910</v>
      </c>
      <c r="J342" s="157" t="s">
        <v>1527</v>
      </c>
      <c r="K342" s="146" t="s">
        <v>472</v>
      </c>
      <c r="L342" s="421"/>
      <c r="M342" s="421"/>
      <c r="N342" s="408">
        <f t="shared" si="16"/>
        <v>0</v>
      </c>
    </row>
    <row r="343" spans="9:14">
      <c r="I343" s="150" t="s">
        <v>1911</v>
      </c>
      <c r="J343" s="150" t="s">
        <v>1530</v>
      </c>
      <c r="K343" s="146" t="s">
        <v>472</v>
      </c>
      <c r="L343" s="421"/>
      <c r="M343" s="421"/>
      <c r="N343" s="408">
        <f t="shared" si="16"/>
        <v>0</v>
      </c>
    </row>
    <row r="344" spans="9:14">
      <c r="I344" s="150" t="s">
        <v>1912</v>
      </c>
      <c r="J344" s="150" t="s">
        <v>1533</v>
      </c>
      <c r="K344" s="146" t="s">
        <v>472</v>
      </c>
      <c r="L344" s="421"/>
      <c r="M344" s="421"/>
      <c r="N344" s="408">
        <f t="shared" si="16"/>
        <v>0</v>
      </c>
    </row>
    <row r="345" spans="9:14">
      <c r="I345" s="145">
        <v>2.06</v>
      </c>
      <c r="J345" s="145" t="s">
        <v>1536</v>
      </c>
      <c r="K345" s="146"/>
      <c r="L345" s="421"/>
      <c r="M345" s="421"/>
      <c r="N345" s="408">
        <f>SUM(N346,N348,N352,N356,N363,N365,N368,N371,N373,N376,N382,N384,N386,N390,N394)</f>
        <v>0</v>
      </c>
    </row>
    <row r="346" spans="9:14">
      <c r="I346" s="150" t="s">
        <v>1913</v>
      </c>
      <c r="J346" s="150" t="s">
        <v>934</v>
      </c>
      <c r="K346" s="146"/>
      <c r="L346" s="421"/>
      <c r="M346" s="421"/>
      <c r="N346" s="408">
        <f>SUM(N347)</f>
        <v>0</v>
      </c>
    </row>
    <row r="347" spans="9:14">
      <c r="I347" s="150" t="s">
        <v>1914</v>
      </c>
      <c r="J347" s="150" t="s">
        <v>1126</v>
      </c>
      <c r="K347" s="146" t="s">
        <v>22</v>
      </c>
      <c r="L347" s="421"/>
      <c r="M347" s="421"/>
      <c r="N347" s="408">
        <f>L347*M347</f>
        <v>0</v>
      </c>
    </row>
    <row r="348" spans="9:14">
      <c r="I348" s="150" t="s">
        <v>1915</v>
      </c>
      <c r="J348" s="150" t="s">
        <v>939</v>
      </c>
      <c r="K348" s="146"/>
      <c r="L348" s="421"/>
      <c r="M348" s="421"/>
      <c r="N348" s="408">
        <f>SUM(N349:N351)</f>
        <v>0</v>
      </c>
    </row>
    <row r="349" spans="9:14">
      <c r="I349" s="150" t="s">
        <v>1916</v>
      </c>
      <c r="J349" s="150" t="s">
        <v>3034</v>
      </c>
      <c r="K349" s="146" t="s">
        <v>943</v>
      </c>
      <c r="L349" s="421"/>
      <c r="M349" s="421"/>
      <c r="N349" s="408">
        <f>L349*M349</f>
        <v>0</v>
      </c>
    </row>
    <row r="350" spans="9:14">
      <c r="I350" s="150" t="s">
        <v>1917</v>
      </c>
      <c r="J350" s="150" t="s">
        <v>3043</v>
      </c>
      <c r="K350" s="146" t="s">
        <v>22</v>
      </c>
      <c r="L350" s="421"/>
      <c r="M350" s="421"/>
      <c r="N350" s="408">
        <f>L350*M350</f>
        <v>0</v>
      </c>
    </row>
    <row r="351" spans="9:14">
      <c r="I351" s="150" t="s">
        <v>1918</v>
      </c>
      <c r="J351" s="150" t="s">
        <v>3036</v>
      </c>
      <c r="K351" s="146" t="s">
        <v>943</v>
      </c>
      <c r="L351" s="421"/>
      <c r="M351" s="421"/>
      <c r="N351" s="408">
        <f>L351*M351</f>
        <v>0</v>
      </c>
    </row>
    <row r="352" spans="9:14">
      <c r="I352" s="150" t="s">
        <v>1919</v>
      </c>
      <c r="J352" s="150" t="s">
        <v>957</v>
      </c>
      <c r="K352" s="146"/>
      <c r="L352" s="421"/>
      <c r="M352" s="421"/>
      <c r="N352" s="408">
        <f>SUM(N353:N355)</f>
        <v>0</v>
      </c>
    </row>
    <row r="353" spans="9:14">
      <c r="I353" s="150" t="s">
        <v>1920</v>
      </c>
      <c r="J353" s="150" t="s">
        <v>3037</v>
      </c>
      <c r="K353" s="146" t="s">
        <v>943</v>
      </c>
      <c r="L353" s="421"/>
      <c r="M353" s="421"/>
      <c r="N353" s="408">
        <f>L353*M353</f>
        <v>0</v>
      </c>
    </row>
    <row r="354" spans="9:14">
      <c r="I354" s="150" t="s">
        <v>1921</v>
      </c>
      <c r="J354" s="150" t="s">
        <v>1528</v>
      </c>
      <c r="K354" s="146" t="s">
        <v>943</v>
      </c>
      <c r="L354" s="421"/>
      <c r="M354" s="421"/>
      <c r="N354" s="408">
        <f>L354*M354</f>
        <v>0</v>
      </c>
    </row>
    <row r="355" spans="9:14">
      <c r="I355" s="150" t="s">
        <v>1922</v>
      </c>
      <c r="J355" s="150" t="s">
        <v>963</v>
      </c>
      <c r="K355" s="146" t="s">
        <v>22</v>
      </c>
      <c r="L355" s="421"/>
      <c r="M355" s="421"/>
      <c r="N355" s="408">
        <f>L355*M355</f>
        <v>0</v>
      </c>
    </row>
    <row r="356" spans="9:14">
      <c r="I356" s="150" t="s">
        <v>1923</v>
      </c>
      <c r="J356" s="150" t="s">
        <v>974</v>
      </c>
      <c r="K356" s="146"/>
      <c r="L356" s="421"/>
      <c r="M356" s="421"/>
      <c r="N356" s="408">
        <f>SUM(N357:N362)</f>
        <v>0</v>
      </c>
    </row>
    <row r="357" spans="9:14">
      <c r="I357" s="150" t="s">
        <v>1924</v>
      </c>
      <c r="J357" s="150" t="s">
        <v>1561</v>
      </c>
      <c r="K357" s="146" t="s">
        <v>943</v>
      </c>
      <c r="L357" s="421"/>
      <c r="M357" s="421"/>
      <c r="N357" s="408">
        <f t="shared" ref="N357:N362" si="17">L357*M357</f>
        <v>0</v>
      </c>
    </row>
    <row r="358" spans="9:14">
      <c r="I358" s="150" t="s">
        <v>1925</v>
      </c>
      <c r="J358" s="150" t="s">
        <v>1260</v>
      </c>
      <c r="K358" s="146" t="s">
        <v>22</v>
      </c>
      <c r="L358" s="421"/>
      <c r="M358" s="421"/>
      <c r="N358" s="408">
        <f t="shared" si="17"/>
        <v>0</v>
      </c>
    </row>
    <row r="359" spans="9:14">
      <c r="I359" s="150" t="s">
        <v>1926</v>
      </c>
      <c r="J359" s="150" t="s">
        <v>1566</v>
      </c>
      <c r="K359" s="146" t="s">
        <v>983</v>
      </c>
      <c r="L359" s="421"/>
      <c r="M359" s="421"/>
      <c r="N359" s="408">
        <f t="shared" si="17"/>
        <v>0</v>
      </c>
    </row>
    <row r="360" spans="9:14">
      <c r="I360" s="150" t="s">
        <v>1927</v>
      </c>
      <c r="J360" s="150" t="s">
        <v>1544</v>
      </c>
      <c r="K360" s="146" t="s">
        <v>943</v>
      </c>
      <c r="L360" s="421"/>
      <c r="M360" s="421"/>
      <c r="N360" s="408">
        <f t="shared" si="17"/>
        <v>0</v>
      </c>
    </row>
    <row r="361" spans="9:14">
      <c r="I361" s="150" t="s">
        <v>1928</v>
      </c>
      <c r="J361" s="150" t="s">
        <v>1546</v>
      </c>
      <c r="K361" s="146" t="s">
        <v>22</v>
      </c>
      <c r="L361" s="421"/>
      <c r="M361" s="421"/>
      <c r="N361" s="408">
        <f t="shared" si="17"/>
        <v>0</v>
      </c>
    </row>
    <row r="362" spans="9:14">
      <c r="I362" s="150" t="s">
        <v>1929</v>
      </c>
      <c r="J362" s="150" t="s">
        <v>1548</v>
      </c>
      <c r="K362" s="146" t="s">
        <v>983</v>
      </c>
      <c r="L362" s="421"/>
      <c r="M362" s="421"/>
      <c r="N362" s="408">
        <f t="shared" si="17"/>
        <v>0</v>
      </c>
    </row>
    <row r="363" spans="9:14">
      <c r="I363" s="150" t="s">
        <v>1930</v>
      </c>
      <c r="J363" s="150" t="s">
        <v>1550</v>
      </c>
      <c r="K363" s="146"/>
      <c r="L363" s="421"/>
      <c r="M363" s="421"/>
      <c r="N363" s="408">
        <f>SUM(N364)</f>
        <v>0</v>
      </c>
    </row>
    <row r="364" spans="9:14">
      <c r="I364" s="150" t="s">
        <v>1931</v>
      </c>
      <c r="J364" s="150" t="s">
        <v>1552</v>
      </c>
      <c r="K364" s="146" t="s">
        <v>22</v>
      </c>
      <c r="L364" s="421"/>
      <c r="M364" s="421"/>
      <c r="N364" s="408">
        <f>L364*M364</f>
        <v>0</v>
      </c>
    </row>
    <row r="365" spans="9:14">
      <c r="I365" s="150" t="s">
        <v>1932</v>
      </c>
      <c r="J365" s="150" t="s">
        <v>1558</v>
      </c>
      <c r="K365" s="146"/>
      <c r="L365" s="421"/>
      <c r="M365" s="421"/>
      <c r="N365" s="408">
        <f>SUM(N366:N367)</f>
        <v>0</v>
      </c>
    </row>
    <row r="366" spans="9:14">
      <c r="I366" s="150" t="s">
        <v>1933</v>
      </c>
      <c r="J366" s="150" t="s">
        <v>1583</v>
      </c>
      <c r="K366" s="146" t="s">
        <v>22</v>
      </c>
      <c r="L366" s="421"/>
      <c r="M366" s="421"/>
      <c r="N366" s="408">
        <f>L366*M366</f>
        <v>0</v>
      </c>
    </row>
    <row r="367" spans="9:14">
      <c r="I367" s="150" t="s">
        <v>1934</v>
      </c>
      <c r="J367" s="150" t="s">
        <v>1587</v>
      </c>
      <c r="K367" s="146" t="s">
        <v>22</v>
      </c>
      <c r="L367" s="421"/>
      <c r="M367" s="421"/>
      <c r="N367" s="408">
        <f>L367*M367</f>
        <v>0</v>
      </c>
    </row>
    <row r="368" spans="9:14">
      <c r="I368" s="150" t="s">
        <v>1935</v>
      </c>
      <c r="J368" s="150" t="s">
        <v>1568</v>
      </c>
      <c r="K368" s="146"/>
      <c r="L368" s="421"/>
      <c r="M368" s="421"/>
      <c r="N368" s="408">
        <f>SUM(N369:N370)</f>
        <v>0</v>
      </c>
    </row>
    <row r="369" spans="9:14">
      <c r="I369" s="150" t="s">
        <v>1936</v>
      </c>
      <c r="J369" s="150" t="s">
        <v>1593</v>
      </c>
      <c r="K369" s="146" t="s">
        <v>22</v>
      </c>
      <c r="L369" s="421"/>
      <c r="M369" s="421"/>
      <c r="N369" s="408">
        <f>L369*M369</f>
        <v>0</v>
      </c>
    </row>
    <row r="370" spans="9:14">
      <c r="I370" s="150" t="s">
        <v>1937</v>
      </c>
      <c r="J370" s="150" t="s">
        <v>1597</v>
      </c>
      <c r="K370" s="146" t="s">
        <v>22</v>
      </c>
      <c r="L370" s="421"/>
      <c r="M370" s="421"/>
      <c r="N370" s="408">
        <f>L370*M370</f>
        <v>0</v>
      </c>
    </row>
    <row r="371" spans="9:14">
      <c r="I371" s="150" t="s">
        <v>1938</v>
      </c>
      <c r="J371" s="150" t="s">
        <v>3038</v>
      </c>
      <c r="K371" s="146"/>
      <c r="L371" s="421"/>
      <c r="M371" s="421"/>
      <c r="N371" s="408">
        <f>SUM(N372)</f>
        <v>0</v>
      </c>
    </row>
    <row r="372" spans="9:14">
      <c r="I372" s="150" t="s">
        <v>1939</v>
      </c>
      <c r="J372" s="150" t="s">
        <v>3039</v>
      </c>
      <c r="K372" s="146" t="s">
        <v>875</v>
      </c>
      <c r="L372" s="421"/>
      <c r="M372" s="421"/>
      <c r="N372" s="408">
        <f>L372*M372</f>
        <v>0</v>
      </c>
    </row>
    <row r="373" spans="9:14">
      <c r="I373" s="150" t="s">
        <v>1940</v>
      </c>
      <c r="J373" s="150" t="s">
        <v>1578</v>
      </c>
      <c r="K373" s="146"/>
      <c r="L373" s="421"/>
      <c r="M373" s="421"/>
      <c r="N373" s="408">
        <f>SUM(N374:N375)</f>
        <v>0</v>
      </c>
    </row>
    <row r="374" spans="9:14">
      <c r="I374" s="150" t="s">
        <v>1941</v>
      </c>
      <c r="J374" s="150" t="s">
        <v>1581</v>
      </c>
      <c r="K374" s="146" t="s">
        <v>22</v>
      </c>
      <c r="L374" s="421"/>
      <c r="M374" s="421"/>
      <c r="N374" s="408">
        <f>L374*M374</f>
        <v>0</v>
      </c>
    </row>
    <row r="375" spans="9:14">
      <c r="I375" s="150" t="s">
        <v>1942</v>
      </c>
      <c r="J375" s="150" t="s">
        <v>1585</v>
      </c>
      <c r="K375" s="146" t="s">
        <v>875</v>
      </c>
      <c r="L375" s="421"/>
      <c r="M375" s="421"/>
      <c r="N375" s="408">
        <f>L375*M375</f>
        <v>0</v>
      </c>
    </row>
    <row r="376" spans="9:14">
      <c r="I376" s="150" t="s">
        <v>1943</v>
      </c>
      <c r="J376" s="150" t="s">
        <v>3047</v>
      </c>
      <c r="K376" s="146"/>
      <c r="L376" s="421"/>
      <c r="M376" s="421"/>
      <c r="N376" s="408">
        <f>SUM(N377:N381)</f>
        <v>0</v>
      </c>
    </row>
    <row r="377" spans="9:14">
      <c r="I377" s="150" t="s">
        <v>1944</v>
      </c>
      <c r="J377" s="150" t="s">
        <v>1613</v>
      </c>
      <c r="K377" s="146" t="s">
        <v>875</v>
      </c>
      <c r="L377" s="421"/>
      <c r="M377" s="421"/>
      <c r="N377" s="408">
        <f>L377*M377</f>
        <v>0</v>
      </c>
    </row>
    <row r="378" spans="9:14">
      <c r="I378" s="150" t="s">
        <v>1945</v>
      </c>
      <c r="J378" s="150" t="s">
        <v>1615</v>
      </c>
      <c r="K378" s="146" t="s">
        <v>875</v>
      </c>
      <c r="L378" s="421"/>
      <c r="M378" s="421"/>
      <c r="N378" s="408">
        <f>L378*M378</f>
        <v>0</v>
      </c>
    </row>
    <row r="379" spans="9:14">
      <c r="I379" s="150" t="s">
        <v>1946</v>
      </c>
      <c r="J379" s="150" t="s">
        <v>1618</v>
      </c>
      <c r="K379" s="146" t="s">
        <v>22</v>
      </c>
      <c r="L379" s="421"/>
      <c r="M379" s="421"/>
      <c r="N379" s="408">
        <f>L379*M379</f>
        <v>0</v>
      </c>
    </row>
    <row r="380" spans="9:14">
      <c r="I380" s="150" t="s">
        <v>1947</v>
      </c>
      <c r="J380" s="150" t="s">
        <v>1621</v>
      </c>
      <c r="K380" s="146" t="s">
        <v>22</v>
      </c>
      <c r="L380" s="421"/>
      <c r="M380" s="421"/>
      <c r="N380" s="408">
        <f>L380*M380</f>
        <v>0</v>
      </c>
    </row>
    <row r="381" spans="9:14">
      <c r="I381" s="150" t="s">
        <v>1948</v>
      </c>
      <c r="J381" s="150" t="s">
        <v>1625</v>
      </c>
      <c r="K381" s="146" t="s">
        <v>875</v>
      </c>
      <c r="L381" s="421"/>
      <c r="M381" s="421"/>
      <c r="N381" s="408">
        <f>L381*M381</f>
        <v>0</v>
      </c>
    </row>
    <row r="382" spans="9:14">
      <c r="I382" s="150" t="s">
        <v>1949</v>
      </c>
      <c r="J382" s="150" t="s">
        <v>3040</v>
      </c>
      <c r="K382" s="146"/>
      <c r="L382" s="421"/>
      <c r="M382" s="421"/>
      <c r="N382" s="408">
        <f>SUM(N383)</f>
        <v>0</v>
      </c>
    </row>
    <row r="383" spans="9:14">
      <c r="I383" s="150" t="s">
        <v>1950</v>
      </c>
      <c r="J383" s="150" t="s">
        <v>1604</v>
      </c>
      <c r="K383" s="146" t="s">
        <v>22</v>
      </c>
      <c r="L383" s="421"/>
      <c r="M383" s="421"/>
      <c r="N383" s="408">
        <f>L383*M383</f>
        <v>0</v>
      </c>
    </row>
    <row r="384" spans="9:14">
      <c r="I384" s="150" t="s">
        <v>1951</v>
      </c>
      <c r="J384" s="150" t="s">
        <v>1606</v>
      </c>
      <c r="K384" s="146"/>
      <c r="L384" s="421"/>
      <c r="M384" s="421"/>
      <c r="N384" s="408">
        <f>SUM(N385)</f>
        <v>0</v>
      </c>
    </row>
    <row r="385" spans="9:14">
      <c r="I385" s="150" t="s">
        <v>1952</v>
      </c>
      <c r="J385" s="150" t="s">
        <v>1608</v>
      </c>
      <c r="K385" s="146" t="s">
        <v>22</v>
      </c>
      <c r="L385" s="421"/>
      <c r="M385" s="421"/>
      <c r="N385" s="408">
        <f>L385*M385</f>
        <v>0</v>
      </c>
    </row>
    <row r="386" spans="9:14">
      <c r="I386" s="150" t="s">
        <v>1953</v>
      </c>
      <c r="J386" s="150" t="s">
        <v>3067</v>
      </c>
      <c r="K386" s="146"/>
      <c r="L386" s="421"/>
      <c r="M386" s="421"/>
      <c r="N386" s="408">
        <f>SUM(N387:N389)</f>
        <v>0</v>
      </c>
    </row>
    <row r="387" spans="9:14">
      <c r="I387" s="150" t="s">
        <v>1954</v>
      </c>
      <c r="J387" s="150" t="s">
        <v>1640</v>
      </c>
      <c r="K387" s="146" t="s">
        <v>1010</v>
      </c>
      <c r="L387" s="421"/>
      <c r="M387" s="421"/>
      <c r="N387" s="408">
        <f>L387*M387</f>
        <v>0</v>
      </c>
    </row>
    <row r="388" spans="9:14">
      <c r="I388" s="150" t="s">
        <v>1955</v>
      </c>
      <c r="J388" s="150" t="s">
        <v>1644</v>
      </c>
      <c r="K388" s="146" t="s">
        <v>1010</v>
      </c>
      <c r="L388" s="421"/>
      <c r="M388" s="421"/>
      <c r="N388" s="408">
        <f t="shared" ref="N388:N403" si="18">L388*M388</f>
        <v>0</v>
      </c>
    </row>
    <row r="389" spans="9:14">
      <c r="I389" s="150" t="s">
        <v>1956</v>
      </c>
      <c r="J389" s="150" t="s">
        <v>1647</v>
      </c>
      <c r="K389" s="146" t="s">
        <v>1010</v>
      </c>
      <c r="L389" s="421"/>
      <c r="M389" s="421"/>
      <c r="N389" s="408">
        <f t="shared" si="18"/>
        <v>0</v>
      </c>
    </row>
    <row r="390" spans="9:14">
      <c r="I390" s="150" t="s">
        <v>1957</v>
      </c>
      <c r="J390" s="150" t="s">
        <v>916</v>
      </c>
      <c r="K390" s="146"/>
      <c r="L390" s="421"/>
      <c r="M390" s="421"/>
      <c r="N390" s="408">
        <f>SUM(N391:N393)</f>
        <v>0</v>
      </c>
    </row>
    <row r="391" spans="9:14">
      <c r="I391" s="150" t="s">
        <v>1958</v>
      </c>
      <c r="J391" s="150" t="s">
        <v>3075</v>
      </c>
      <c r="K391" s="146" t="s">
        <v>22</v>
      </c>
      <c r="L391" s="421"/>
      <c r="M391" s="421"/>
      <c r="N391" s="408">
        <f t="shared" si="18"/>
        <v>0</v>
      </c>
    </row>
    <row r="392" spans="9:14">
      <c r="I392" s="150" t="s">
        <v>1959</v>
      </c>
      <c r="J392" s="150" t="s">
        <v>3074</v>
      </c>
      <c r="K392" s="146" t="s">
        <v>22</v>
      </c>
      <c r="L392" s="421"/>
      <c r="M392" s="421"/>
      <c r="N392" s="408">
        <f t="shared" si="18"/>
        <v>0</v>
      </c>
    </row>
    <row r="393" spans="9:14">
      <c r="I393" s="150" t="s">
        <v>1960</v>
      </c>
      <c r="J393" s="150" t="s">
        <v>1660</v>
      </c>
      <c r="K393" s="146" t="s">
        <v>22</v>
      </c>
      <c r="L393" s="421"/>
      <c r="M393" s="421"/>
      <c r="N393" s="408">
        <f t="shared" si="18"/>
        <v>0</v>
      </c>
    </row>
    <row r="394" spans="9:14">
      <c r="I394" s="150" t="s">
        <v>1961</v>
      </c>
      <c r="J394" s="150" t="s">
        <v>1663</v>
      </c>
      <c r="K394" s="146"/>
      <c r="L394" s="421"/>
      <c r="M394" s="421"/>
      <c r="N394" s="408">
        <f>SUM(N395:N403)</f>
        <v>0</v>
      </c>
    </row>
    <row r="395" spans="9:14">
      <c r="I395" s="150" t="s">
        <v>1962</v>
      </c>
      <c r="J395" s="150" t="s">
        <v>1667</v>
      </c>
      <c r="K395" s="146" t="s">
        <v>1000</v>
      </c>
      <c r="L395" s="421"/>
      <c r="M395" s="421"/>
      <c r="N395" s="408">
        <f t="shared" si="18"/>
        <v>0</v>
      </c>
    </row>
    <row r="396" spans="9:14">
      <c r="I396" s="150" t="s">
        <v>1963</v>
      </c>
      <c r="J396" s="150" t="s">
        <v>1671</v>
      </c>
      <c r="K396" s="146" t="s">
        <v>1000</v>
      </c>
      <c r="L396" s="421"/>
      <c r="M396" s="421"/>
      <c r="N396" s="408">
        <f t="shared" si="18"/>
        <v>0</v>
      </c>
    </row>
    <row r="397" spans="9:14">
      <c r="I397" s="150" t="s">
        <v>1964</v>
      </c>
      <c r="J397" s="150" t="s">
        <v>1675</v>
      </c>
      <c r="K397" s="146" t="s">
        <v>472</v>
      </c>
      <c r="L397" s="421"/>
      <c r="M397" s="421"/>
      <c r="N397" s="408">
        <f t="shared" si="18"/>
        <v>0</v>
      </c>
    </row>
    <row r="398" spans="9:14">
      <c r="I398" s="150" t="s">
        <v>1965</v>
      </c>
      <c r="J398" s="150" t="s">
        <v>1678</v>
      </c>
      <c r="K398" s="146" t="s">
        <v>472</v>
      </c>
      <c r="L398" s="421"/>
      <c r="M398" s="421"/>
      <c r="N398" s="408">
        <f t="shared" si="18"/>
        <v>0</v>
      </c>
    </row>
    <row r="399" spans="9:14" ht="16.5" customHeight="1">
      <c r="I399" s="150" t="s">
        <v>1966</v>
      </c>
      <c r="J399" s="150" t="s">
        <v>1681</v>
      </c>
      <c r="K399" s="146" t="s">
        <v>472</v>
      </c>
      <c r="L399" s="421"/>
      <c r="M399" s="421"/>
      <c r="N399" s="408">
        <f t="shared" si="18"/>
        <v>0</v>
      </c>
    </row>
    <row r="400" spans="9:14" ht="26.25" customHeight="1">
      <c r="I400" s="150" t="s">
        <v>1967</v>
      </c>
      <c r="J400" s="157" t="s">
        <v>1684</v>
      </c>
      <c r="K400" s="146" t="s">
        <v>875</v>
      </c>
      <c r="L400" s="421"/>
      <c r="M400" s="421"/>
      <c r="N400" s="408">
        <f t="shared" si="18"/>
        <v>0</v>
      </c>
    </row>
    <row r="401" spans="9:14">
      <c r="I401" s="150" t="s">
        <v>1968</v>
      </c>
      <c r="J401" s="157" t="s">
        <v>1526</v>
      </c>
      <c r="K401" s="146" t="s">
        <v>875</v>
      </c>
      <c r="L401" s="421"/>
      <c r="M401" s="421"/>
      <c r="N401" s="408">
        <f t="shared" si="18"/>
        <v>0</v>
      </c>
    </row>
    <row r="402" spans="9:14">
      <c r="I402" s="150" t="s">
        <v>1969</v>
      </c>
      <c r="J402" s="150" t="s">
        <v>1524</v>
      </c>
      <c r="K402" s="146" t="s">
        <v>875</v>
      </c>
      <c r="L402" s="421"/>
      <c r="M402" s="421"/>
      <c r="N402" s="408">
        <f t="shared" si="18"/>
        <v>0</v>
      </c>
    </row>
    <row r="403" spans="9:14">
      <c r="I403" s="150" t="s">
        <v>1970</v>
      </c>
      <c r="J403" s="150" t="s">
        <v>1691</v>
      </c>
      <c r="K403" s="146" t="s">
        <v>22</v>
      </c>
      <c r="L403" s="421"/>
      <c r="M403" s="421"/>
      <c r="N403" s="408">
        <f t="shared" si="18"/>
        <v>0</v>
      </c>
    </row>
    <row r="404" spans="9:14">
      <c r="I404" s="162">
        <v>2.0699999999999998</v>
      </c>
      <c r="J404" s="145" t="s">
        <v>1971</v>
      </c>
      <c r="K404" s="146"/>
      <c r="L404" s="421"/>
      <c r="M404" s="421"/>
      <c r="N404" s="408">
        <f>SUM(N405,N407,N412,N417,N421,N423,N427,N430,N433,N436,N440,N442,N445,N449,N451,N457)</f>
        <v>0</v>
      </c>
    </row>
    <row r="405" spans="9:14">
      <c r="I405" s="150" t="s">
        <v>1972</v>
      </c>
      <c r="J405" s="150" t="s">
        <v>934</v>
      </c>
      <c r="K405" s="146"/>
      <c r="L405" s="421"/>
      <c r="M405" s="421"/>
      <c r="N405" s="408">
        <f>SUM(N406)</f>
        <v>0</v>
      </c>
    </row>
    <row r="406" spans="9:14">
      <c r="I406" s="150" t="s">
        <v>1973</v>
      </c>
      <c r="J406" s="150" t="s">
        <v>1126</v>
      </c>
      <c r="K406" s="146" t="s">
        <v>22</v>
      </c>
      <c r="L406" s="421"/>
      <c r="M406" s="421"/>
      <c r="N406" s="408">
        <f>L406*M406</f>
        <v>0</v>
      </c>
    </row>
    <row r="407" spans="9:14">
      <c r="I407" s="150" t="s">
        <v>1974</v>
      </c>
      <c r="J407" s="150" t="s">
        <v>939</v>
      </c>
      <c r="K407" s="146"/>
      <c r="L407" s="421"/>
      <c r="M407" s="421"/>
      <c r="N407" s="408">
        <f>SUM(N408:N411)</f>
        <v>0</v>
      </c>
    </row>
    <row r="408" spans="9:14">
      <c r="I408" s="150" t="s">
        <v>1975</v>
      </c>
      <c r="J408" s="150" t="s">
        <v>3076</v>
      </c>
      <c r="K408" s="146" t="s">
        <v>22</v>
      </c>
      <c r="L408" s="421"/>
      <c r="M408" s="421"/>
      <c r="N408" s="408">
        <f>L408*M408</f>
        <v>0</v>
      </c>
    </row>
    <row r="409" spans="9:14">
      <c r="I409" s="150" t="s">
        <v>1976</v>
      </c>
      <c r="J409" s="150" t="s">
        <v>3034</v>
      </c>
      <c r="K409" s="146" t="s">
        <v>943</v>
      </c>
      <c r="L409" s="421"/>
      <c r="M409" s="421"/>
      <c r="N409" s="408">
        <f>L409*M409</f>
        <v>0</v>
      </c>
    </row>
    <row r="410" spans="9:14">
      <c r="I410" s="150" t="s">
        <v>1977</v>
      </c>
      <c r="J410" s="150" t="s">
        <v>3043</v>
      </c>
      <c r="K410" s="146" t="s">
        <v>22</v>
      </c>
      <c r="L410" s="421"/>
      <c r="M410" s="421"/>
      <c r="N410" s="408">
        <f>L410*M410</f>
        <v>0</v>
      </c>
    </row>
    <row r="411" spans="9:14">
      <c r="I411" s="150" t="s">
        <v>1978</v>
      </c>
      <c r="J411" s="150" t="s">
        <v>3036</v>
      </c>
      <c r="K411" s="146" t="s">
        <v>943</v>
      </c>
      <c r="L411" s="421"/>
      <c r="M411" s="421"/>
      <c r="N411" s="408">
        <f>L411*M411</f>
        <v>0</v>
      </c>
    </row>
    <row r="412" spans="9:14">
      <c r="I412" s="150" t="s">
        <v>1979</v>
      </c>
      <c r="J412" s="150" t="s">
        <v>957</v>
      </c>
      <c r="K412" s="146"/>
      <c r="L412" s="421"/>
      <c r="M412" s="421"/>
      <c r="N412" s="408">
        <f>SUM(N413:N416)</f>
        <v>0</v>
      </c>
    </row>
    <row r="413" spans="9:14">
      <c r="I413" s="150" t="s">
        <v>1980</v>
      </c>
      <c r="J413" s="150" t="s">
        <v>3037</v>
      </c>
      <c r="K413" s="146" t="s">
        <v>943</v>
      </c>
      <c r="L413" s="421"/>
      <c r="M413" s="421"/>
      <c r="N413" s="408">
        <f>L413*M413</f>
        <v>0</v>
      </c>
    </row>
    <row r="414" spans="9:14">
      <c r="I414" s="150" t="s">
        <v>1981</v>
      </c>
      <c r="J414" s="150" t="s">
        <v>1528</v>
      </c>
      <c r="K414" s="146" t="s">
        <v>943</v>
      </c>
      <c r="L414" s="421"/>
      <c r="M414" s="421"/>
      <c r="N414" s="408">
        <f>L414*M414</f>
        <v>0</v>
      </c>
    </row>
    <row r="415" spans="9:14">
      <c r="I415" s="150" t="s">
        <v>1982</v>
      </c>
      <c r="J415" s="150" t="s">
        <v>963</v>
      </c>
      <c r="K415" s="146" t="s">
        <v>22</v>
      </c>
      <c r="L415" s="421"/>
      <c r="M415" s="421"/>
      <c r="N415" s="408">
        <f>L415*M415</f>
        <v>0</v>
      </c>
    </row>
    <row r="416" spans="9:14">
      <c r="I416" s="150" t="s">
        <v>1983</v>
      </c>
      <c r="J416" s="150" t="s">
        <v>1535</v>
      </c>
      <c r="K416" s="146" t="s">
        <v>22</v>
      </c>
      <c r="L416" s="421"/>
      <c r="M416" s="421"/>
      <c r="N416" s="408">
        <f>L416*M416</f>
        <v>0</v>
      </c>
    </row>
    <row r="417" spans="9:14">
      <c r="I417" s="150" t="s">
        <v>1984</v>
      </c>
      <c r="J417" s="150" t="s">
        <v>974</v>
      </c>
      <c r="K417" s="146"/>
      <c r="L417" s="421"/>
      <c r="M417" s="421"/>
      <c r="N417" s="408">
        <f>SUM(N418:N420)</f>
        <v>0</v>
      </c>
    </row>
    <row r="418" spans="9:14">
      <c r="I418" s="150" t="s">
        <v>1985</v>
      </c>
      <c r="J418" s="150" t="s">
        <v>1561</v>
      </c>
      <c r="K418" s="146" t="s">
        <v>943</v>
      </c>
      <c r="L418" s="421"/>
      <c r="M418" s="421"/>
      <c r="N418" s="408">
        <f>L418*M418</f>
        <v>0</v>
      </c>
    </row>
    <row r="419" spans="9:14">
      <c r="I419" s="150" t="s">
        <v>1986</v>
      </c>
      <c r="J419" s="150" t="s">
        <v>1260</v>
      </c>
      <c r="K419" s="146" t="s">
        <v>22</v>
      </c>
      <c r="L419" s="421"/>
      <c r="M419" s="421"/>
      <c r="N419" s="408">
        <f>L419*M419</f>
        <v>0</v>
      </c>
    </row>
    <row r="420" spans="9:14">
      <c r="I420" s="150" t="s">
        <v>1987</v>
      </c>
      <c r="J420" s="150" t="s">
        <v>1566</v>
      </c>
      <c r="K420" s="146" t="s">
        <v>983</v>
      </c>
      <c r="L420" s="421"/>
      <c r="M420" s="421"/>
      <c r="N420" s="408">
        <f>L420*M420</f>
        <v>0</v>
      </c>
    </row>
    <row r="421" spans="9:14">
      <c r="I421" s="150" t="s">
        <v>1988</v>
      </c>
      <c r="J421" s="150" t="s">
        <v>3044</v>
      </c>
      <c r="K421" s="146"/>
      <c r="L421" s="421"/>
      <c r="M421" s="421"/>
      <c r="N421" s="408">
        <f>SUM(N422)</f>
        <v>0</v>
      </c>
    </row>
    <row r="422" spans="9:14">
      <c r="I422" s="150" t="s">
        <v>1989</v>
      </c>
      <c r="J422" s="150" t="s">
        <v>1552</v>
      </c>
      <c r="K422" s="146" t="s">
        <v>22</v>
      </c>
      <c r="L422" s="421"/>
      <c r="M422" s="421"/>
      <c r="N422" s="408">
        <f>L422*M422</f>
        <v>0</v>
      </c>
    </row>
    <row r="423" spans="9:14">
      <c r="I423" s="150" t="s">
        <v>1990</v>
      </c>
      <c r="J423" s="150" t="s">
        <v>1558</v>
      </c>
      <c r="K423" s="146"/>
      <c r="L423" s="421"/>
      <c r="M423" s="421"/>
      <c r="N423" s="408">
        <f>SUM(N424:N426)</f>
        <v>0</v>
      </c>
    </row>
    <row r="424" spans="9:14">
      <c r="I424" s="150" t="s">
        <v>1991</v>
      </c>
      <c r="J424" s="150" t="s">
        <v>1560</v>
      </c>
      <c r="K424" s="146" t="s">
        <v>22</v>
      </c>
      <c r="L424" s="421"/>
      <c r="M424" s="421"/>
      <c r="N424" s="408">
        <f>L424*M424</f>
        <v>0</v>
      </c>
    </row>
    <row r="425" spans="9:14">
      <c r="I425" s="150" t="s">
        <v>1992</v>
      </c>
      <c r="J425" s="150" t="s">
        <v>1738</v>
      </c>
      <c r="K425" s="146" t="s">
        <v>22</v>
      </c>
      <c r="L425" s="421"/>
      <c r="M425" s="421"/>
      <c r="N425" s="408">
        <f>L425*M425</f>
        <v>0</v>
      </c>
    </row>
    <row r="426" spans="9:14">
      <c r="I426" s="150" t="s">
        <v>1993</v>
      </c>
      <c r="J426" s="150" t="s">
        <v>1563</v>
      </c>
      <c r="K426" s="146" t="s">
        <v>22</v>
      </c>
      <c r="L426" s="421"/>
      <c r="M426" s="421"/>
      <c r="N426" s="408">
        <f>L426*M426</f>
        <v>0</v>
      </c>
    </row>
    <row r="427" spans="9:14">
      <c r="I427" s="150" t="s">
        <v>1994</v>
      </c>
      <c r="J427" s="150" t="s">
        <v>1568</v>
      </c>
      <c r="K427" s="146"/>
      <c r="L427" s="421"/>
      <c r="M427" s="421"/>
      <c r="N427" s="408">
        <f>SUM(N428:N429)</f>
        <v>0</v>
      </c>
    </row>
    <row r="428" spans="9:14">
      <c r="I428" s="150" t="s">
        <v>1995</v>
      </c>
      <c r="J428" s="150" t="s">
        <v>1571</v>
      </c>
      <c r="K428" s="146" t="s">
        <v>22</v>
      </c>
      <c r="L428" s="421"/>
      <c r="M428" s="421"/>
      <c r="N428" s="408">
        <f>L428*M428</f>
        <v>0</v>
      </c>
    </row>
    <row r="429" spans="9:14">
      <c r="I429" s="150" t="s">
        <v>1996</v>
      </c>
      <c r="J429" s="150" t="s">
        <v>3045</v>
      </c>
      <c r="K429" s="146" t="s">
        <v>22</v>
      </c>
      <c r="L429" s="421"/>
      <c r="M429" s="421"/>
      <c r="N429" s="408">
        <f>L429*M429</f>
        <v>0</v>
      </c>
    </row>
    <row r="430" spans="9:14">
      <c r="I430" s="150" t="s">
        <v>1997</v>
      </c>
      <c r="J430" s="150" t="s">
        <v>3038</v>
      </c>
      <c r="K430" s="146"/>
      <c r="L430" s="421"/>
      <c r="M430" s="421"/>
      <c r="N430" s="408">
        <f>SUM(N431:N432)</f>
        <v>0</v>
      </c>
    </row>
    <row r="431" spans="9:14">
      <c r="I431" s="150" t="s">
        <v>1998</v>
      </c>
      <c r="J431" s="150" t="s">
        <v>3077</v>
      </c>
      <c r="K431" s="146" t="s">
        <v>22</v>
      </c>
      <c r="L431" s="421"/>
      <c r="M431" s="421"/>
      <c r="N431" s="408">
        <f>L431*M431</f>
        <v>0</v>
      </c>
    </row>
    <row r="432" spans="9:14">
      <c r="I432" s="150" t="s">
        <v>1999</v>
      </c>
      <c r="J432" s="150" t="s">
        <v>3046</v>
      </c>
      <c r="K432" s="146" t="s">
        <v>22</v>
      </c>
      <c r="L432" s="421"/>
      <c r="M432" s="421"/>
      <c r="N432" s="408">
        <f>L432*M432</f>
        <v>0</v>
      </c>
    </row>
    <row r="433" spans="9:14">
      <c r="I433" s="150" t="s">
        <v>2000</v>
      </c>
      <c r="J433" s="150" t="s">
        <v>1578</v>
      </c>
      <c r="K433" s="146"/>
      <c r="L433" s="421"/>
      <c r="M433" s="421"/>
      <c r="N433" s="408">
        <f>SUM(N434:N435)</f>
        <v>0</v>
      </c>
    </row>
    <row r="434" spans="9:14">
      <c r="I434" s="150" t="s">
        <v>2001</v>
      </c>
      <c r="J434" s="150" t="s">
        <v>1581</v>
      </c>
      <c r="K434" s="146" t="s">
        <v>22</v>
      </c>
      <c r="L434" s="421"/>
      <c r="M434" s="421"/>
      <c r="N434" s="408">
        <f>L434*M434</f>
        <v>0</v>
      </c>
    </row>
    <row r="435" spans="9:14">
      <c r="I435" s="150" t="s">
        <v>2002</v>
      </c>
      <c r="J435" s="150" t="s">
        <v>1585</v>
      </c>
      <c r="K435" s="146" t="s">
        <v>875</v>
      </c>
      <c r="L435" s="421"/>
      <c r="M435" s="421"/>
      <c r="N435" s="408">
        <f>L435*M435</f>
        <v>0</v>
      </c>
    </row>
    <row r="436" spans="9:14">
      <c r="I436" s="150" t="s">
        <v>2003</v>
      </c>
      <c r="J436" s="150" t="s">
        <v>3047</v>
      </c>
      <c r="K436" s="146"/>
      <c r="L436" s="421"/>
      <c r="M436" s="421"/>
      <c r="N436" s="408">
        <f>SUM(N437:N439)</f>
        <v>0</v>
      </c>
    </row>
    <row r="437" spans="9:14">
      <c r="I437" s="150" t="s">
        <v>2004</v>
      </c>
      <c r="J437" s="150" t="s">
        <v>1621</v>
      </c>
      <c r="K437" s="146" t="s">
        <v>22</v>
      </c>
      <c r="L437" s="421"/>
      <c r="M437" s="421"/>
      <c r="N437" s="408">
        <f>L437*M437</f>
        <v>0</v>
      </c>
    </row>
    <row r="438" spans="9:14">
      <c r="I438" s="150" t="s">
        <v>2005</v>
      </c>
      <c r="J438" s="150" t="s">
        <v>2006</v>
      </c>
      <c r="K438" s="146" t="s">
        <v>22</v>
      </c>
      <c r="L438" s="421"/>
      <c r="M438" s="421"/>
      <c r="N438" s="408">
        <f t="shared" ref="N438:N444" si="19">L438*M438</f>
        <v>0</v>
      </c>
    </row>
    <row r="439" spans="9:14">
      <c r="I439" s="150" t="s">
        <v>2007</v>
      </c>
      <c r="J439" s="150" t="s">
        <v>1599</v>
      </c>
      <c r="K439" s="146" t="s">
        <v>472</v>
      </c>
      <c r="L439" s="421"/>
      <c r="M439" s="421"/>
      <c r="N439" s="408">
        <f t="shared" si="19"/>
        <v>0</v>
      </c>
    </row>
    <row r="440" spans="9:14">
      <c r="I440" s="150" t="s">
        <v>2008</v>
      </c>
      <c r="J440" s="150" t="s">
        <v>3040</v>
      </c>
      <c r="K440" s="146"/>
      <c r="L440" s="421"/>
      <c r="M440" s="421"/>
      <c r="N440" s="408">
        <f>SUM(N441)</f>
        <v>0</v>
      </c>
    </row>
    <row r="441" spans="9:14">
      <c r="I441" s="150" t="s">
        <v>2009</v>
      </c>
      <c r="J441" s="150" t="s">
        <v>1604</v>
      </c>
      <c r="K441" s="146" t="s">
        <v>22</v>
      </c>
      <c r="L441" s="421"/>
      <c r="M441" s="421"/>
      <c r="N441" s="408">
        <f t="shared" si="19"/>
        <v>0</v>
      </c>
    </row>
    <row r="442" spans="9:14">
      <c r="I442" s="150" t="s">
        <v>2010</v>
      </c>
      <c r="J442" s="150" t="s">
        <v>1606</v>
      </c>
      <c r="K442" s="146"/>
      <c r="L442" s="421"/>
      <c r="M442" s="421"/>
      <c r="N442" s="408">
        <f>SUM(N443:N444)</f>
        <v>0</v>
      </c>
    </row>
    <row r="443" spans="9:14">
      <c r="I443" s="150" t="s">
        <v>2011</v>
      </c>
      <c r="J443" s="150" t="s">
        <v>1608</v>
      </c>
      <c r="K443" s="146" t="s">
        <v>1609</v>
      </c>
      <c r="L443" s="421"/>
      <c r="M443" s="421"/>
      <c r="N443" s="408">
        <f t="shared" si="19"/>
        <v>0</v>
      </c>
    </row>
    <row r="444" spans="9:14">
      <c r="I444" s="150" t="s">
        <v>2012</v>
      </c>
      <c r="J444" s="150" t="s">
        <v>2013</v>
      </c>
      <c r="K444" s="146" t="s">
        <v>1609</v>
      </c>
      <c r="L444" s="421"/>
      <c r="M444" s="421"/>
      <c r="N444" s="408">
        <f t="shared" si="19"/>
        <v>0</v>
      </c>
    </row>
    <row r="445" spans="9:14">
      <c r="I445" s="150" t="s">
        <v>2014</v>
      </c>
      <c r="J445" s="150" t="s">
        <v>916</v>
      </c>
      <c r="K445" s="146"/>
      <c r="L445" s="421"/>
      <c r="M445" s="421"/>
      <c r="N445" s="408">
        <f>SUM(N446:N448)</f>
        <v>0</v>
      </c>
    </row>
    <row r="446" spans="9:14">
      <c r="I446" s="150" t="s">
        <v>2015</v>
      </c>
      <c r="J446" s="150" t="s">
        <v>3078</v>
      </c>
      <c r="K446" s="146" t="s">
        <v>22</v>
      </c>
      <c r="L446" s="421"/>
      <c r="M446" s="421"/>
      <c r="N446" s="408">
        <f>L446*M446</f>
        <v>0</v>
      </c>
    </row>
    <row r="447" spans="9:14">
      <c r="I447" s="150" t="s">
        <v>2016</v>
      </c>
      <c r="J447" s="150" t="s">
        <v>3072</v>
      </c>
      <c r="K447" s="146" t="s">
        <v>22</v>
      </c>
      <c r="L447" s="421"/>
      <c r="M447" s="421"/>
      <c r="N447" s="408">
        <f t="shared" ref="N447:N464" si="20">L447*M447</f>
        <v>0</v>
      </c>
    </row>
    <row r="448" spans="9:14">
      <c r="I448" s="150" t="s">
        <v>2017</v>
      </c>
      <c r="J448" s="150" t="s">
        <v>3073</v>
      </c>
      <c r="K448" s="146" t="s">
        <v>22</v>
      </c>
      <c r="L448" s="421"/>
      <c r="M448" s="421"/>
      <c r="N448" s="408">
        <f t="shared" si="20"/>
        <v>0</v>
      </c>
    </row>
    <row r="449" spans="9:14">
      <c r="I449" s="150" t="s">
        <v>2018</v>
      </c>
      <c r="J449" s="150" t="s">
        <v>920</v>
      </c>
      <c r="K449" s="146"/>
      <c r="L449" s="421"/>
      <c r="M449" s="421"/>
      <c r="N449" s="408">
        <f>SUM(N450)</f>
        <v>0</v>
      </c>
    </row>
    <row r="450" spans="9:14">
      <c r="I450" s="150" t="s">
        <v>2019</v>
      </c>
      <c r="J450" s="150" t="s">
        <v>2020</v>
      </c>
      <c r="K450" s="146" t="s">
        <v>1010</v>
      </c>
      <c r="L450" s="421"/>
      <c r="M450" s="421"/>
      <c r="N450" s="408">
        <f t="shared" si="20"/>
        <v>0</v>
      </c>
    </row>
    <row r="451" spans="9:14">
      <c r="I451" s="150" t="s">
        <v>2021</v>
      </c>
      <c r="J451" s="150" t="s">
        <v>1635</v>
      </c>
      <c r="K451" s="146"/>
      <c r="L451" s="421"/>
      <c r="M451" s="421"/>
      <c r="N451" s="408">
        <f>SUM(N452:N456)</f>
        <v>0</v>
      </c>
    </row>
    <row r="452" spans="9:14">
      <c r="I452" s="150" t="s">
        <v>2022</v>
      </c>
      <c r="J452" s="150" t="s">
        <v>1638</v>
      </c>
      <c r="K452" s="146" t="s">
        <v>1000</v>
      </c>
      <c r="L452" s="421"/>
      <c r="M452" s="421"/>
      <c r="N452" s="408">
        <f t="shared" si="20"/>
        <v>0</v>
      </c>
    </row>
    <row r="453" spans="9:14">
      <c r="I453" s="150" t="s">
        <v>2023</v>
      </c>
      <c r="J453" s="150" t="s">
        <v>1649</v>
      </c>
      <c r="K453" s="146" t="s">
        <v>875</v>
      </c>
      <c r="L453" s="421"/>
      <c r="M453" s="421"/>
      <c r="N453" s="408">
        <f t="shared" si="20"/>
        <v>0</v>
      </c>
    </row>
    <row r="454" spans="9:14">
      <c r="I454" s="150" t="s">
        <v>2024</v>
      </c>
      <c r="J454" s="150" t="s">
        <v>1673</v>
      </c>
      <c r="K454" s="146" t="s">
        <v>472</v>
      </c>
      <c r="L454" s="421"/>
      <c r="M454" s="421"/>
      <c r="N454" s="408">
        <f t="shared" si="20"/>
        <v>0</v>
      </c>
    </row>
    <row r="455" spans="9:14">
      <c r="I455" s="150" t="s">
        <v>2025</v>
      </c>
      <c r="J455" s="150" t="s">
        <v>3057</v>
      </c>
      <c r="K455" s="146" t="s">
        <v>1000</v>
      </c>
      <c r="L455" s="421"/>
      <c r="M455" s="421"/>
      <c r="N455" s="408">
        <f t="shared" si="20"/>
        <v>0</v>
      </c>
    </row>
    <row r="456" spans="9:14">
      <c r="I456" s="150" t="s">
        <v>2026</v>
      </c>
      <c r="J456" s="150" t="s">
        <v>3064</v>
      </c>
      <c r="K456" s="146" t="s">
        <v>1010</v>
      </c>
      <c r="L456" s="421"/>
      <c r="M456" s="421"/>
      <c r="N456" s="408">
        <f t="shared" si="20"/>
        <v>0</v>
      </c>
    </row>
    <row r="457" spans="9:14">
      <c r="I457" s="150" t="s">
        <v>2027</v>
      </c>
      <c r="J457" s="150" t="s">
        <v>1663</v>
      </c>
      <c r="K457" s="146"/>
      <c r="L457" s="421"/>
      <c r="M457" s="421"/>
      <c r="N457" s="408">
        <f>SUM(N458:N464)</f>
        <v>0</v>
      </c>
    </row>
    <row r="458" spans="9:14">
      <c r="I458" s="150" t="s">
        <v>2028</v>
      </c>
      <c r="J458" s="150" t="s">
        <v>1667</v>
      </c>
      <c r="K458" s="146" t="s">
        <v>1000</v>
      </c>
      <c r="L458" s="421"/>
      <c r="M458" s="421"/>
      <c r="N458" s="408">
        <f t="shared" si="20"/>
        <v>0</v>
      </c>
    </row>
    <row r="459" spans="9:14">
      <c r="I459" s="150" t="s">
        <v>2029</v>
      </c>
      <c r="J459" s="150" t="s">
        <v>1671</v>
      </c>
      <c r="K459" s="146" t="s">
        <v>1000</v>
      </c>
      <c r="L459" s="421"/>
      <c r="M459" s="421"/>
      <c r="N459" s="408">
        <f t="shared" si="20"/>
        <v>0</v>
      </c>
    </row>
    <row r="460" spans="9:14">
      <c r="I460" s="150" t="s">
        <v>2030</v>
      </c>
      <c r="J460" s="150" t="s">
        <v>1675</v>
      </c>
      <c r="K460" s="146" t="s">
        <v>472</v>
      </c>
      <c r="L460" s="421"/>
      <c r="M460" s="421"/>
      <c r="N460" s="408">
        <f t="shared" si="20"/>
        <v>0</v>
      </c>
    </row>
    <row r="461" spans="9:14" ht="24.75" customHeight="1">
      <c r="I461" s="150" t="s">
        <v>2031</v>
      </c>
      <c r="J461" s="150" t="s">
        <v>1681</v>
      </c>
      <c r="K461" s="146" t="s">
        <v>472</v>
      </c>
      <c r="L461" s="421"/>
      <c r="M461" s="421"/>
      <c r="N461" s="408">
        <f t="shared" si="20"/>
        <v>0</v>
      </c>
    </row>
    <row r="462" spans="9:14" ht="23.25" customHeight="1">
      <c r="I462" s="150" t="s">
        <v>2032</v>
      </c>
      <c r="J462" s="157" t="s">
        <v>1684</v>
      </c>
      <c r="K462" s="146" t="s">
        <v>875</v>
      </c>
      <c r="L462" s="421"/>
      <c r="M462" s="421"/>
      <c r="N462" s="408">
        <f t="shared" si="20"/>
        <v>0</v>
      </c>
    </row>
    <row r="463" spans="9:14">
      <c r="I463" s="150" t="s">
        <v>2033</v>
      </c>
      <c r="J463" s="157" t="s">
        <v>1526</v>
      </c>
      <c r="K463" s="146" t="s">
        <v>875</v>
      </c>
      <c r="L463" s="421"/>
      <c r="M463" s="421"/>
      <c r="N463" s="408">
        <f t="shared" si="20"/>
        <v>0</v>
      </c>
    </row>
    <row r="464" spans="9:14">
      <c r="I464" s="150" t="s">
        <v>2034</v>
      </c>
      <c r="J464" s="150" t="s">
        <v>1524</v>
      </c>
      <c r="K464" s="146" t="s">
        <v>875</v>
      </c>
      <c r="L464" s="421"/>
      <c r="M464" s="421"/>
      <c r="N464" s="408">
        <f t="shared" si="20"/>
        <v>0</v>
      </c>
    </row>
    <row r="465" spans="9:14">
      <c r="I465" s="163">
        <v>3</v>
      </c>
      <c r="J465" s="164" t="s">
        <v>1221</v>
      </c>
      <c r="K465" s="165"/>
      <c r="L465" s="422"/>
      <c r="M465" s="422"/>
      <c r="N465" s="412">
        <f>SUM(N466:N470)</f>
        <v>0</v>
      </c>
    </row>
    <row r="466" spans="9:14">
      <c r="I466" s="166">
        <v>3.01</v>
      </c>
      <c r="J466" s="167" t="s">
        <v>2973</v>
      </c>
      <c r="K466" s="146" t="s">
        <v>22</v>
      </c>
      <c r="L466" s="421"/>
      <c r="M466" s="423"/>
      <c r="N466" s="408">
        <f>L466*M466</f>
        <v>0</v>
      </c>
    </row>
    <row r="467" spans="9:14">
      <c r="I467" s="166">
        <v>3.02</v>
      </c>
      <c r="J467" s="167" t="s">
        <v>2974</v>
      </c>
      <c r="K467" s="146" t="s">
        <v>141</v>
      </c>
      <c r="L467" s="421"/>
      <c r="M467" s="423"/>
      <c r="N467" s="408">
        <f>L467*M467</f>
        <v>0</v>
      </c>
    </row>
    <row r="468" spans="9:14">
      <c r="I468" s="166">
        <v>3.03</v>
      </c>
      <c r="J468" s="167" t="s">
        <v>2975</v>
      </c>
      <c r="K468" s="146" t="s">
        <v>894</v>
      </c>
      <c r="L468" s="421"/>
      <c r="M468" s="423"/>
      <c r="N468" s="408">
        <f>L468*M468</f>
        <v>0</v>
      </c>
    </row>
    <row r="469" spans="9:14">
      <c r="I469" s="166">
        <v>3.04</v>
      </c>
      <c r="J469" s="167" t="s">
        <v>1226</v>
      </c>
      <c r="K469" s="146" t="s">
        <v>141</v>
      </c>
      <c r="L469" s="421"/>
      <c r="M469" s="423"/>
      <c r="N469" s="408">
        <f>L469*M469</f>
        <v>0</v>
      </c>
    </row>
    <row r="470" spans="9:14">
      <c r="I470" s="166">
        <v>3.05</v>
      </c>
      <c r="J470" s="167" t="s">
        <v>2976</v>
      </c>
      <c r="K470" s="146" t="s">
        <v>1128</v>
      </c>
      <c r="L470" s="421"/>
      <c r="M470" s="423"/>
      <c r="N470" s="408">
        <f>L470*M470</f>
        <v>0</v>
      </c>
    </row>
    <row r="471" spans="9:14">
      <c r="I471" s="168" t="s">
        <v>1228</v>
      </c>
      <c r="J471" s="169"/>
      <c r="K471" s="169"/>
      <c r="L471" s="169"/>
      <c r="M471" s="169"/>
      <c r="N471" s="522">
        <f>N8</f>
        <v>0</v>
      </c>
    </row>
    <row r="475" spans="9:14">
      <c r="I475" s="2"/>
      <c r="J475" s="425" t="s">
        <v>73</v>
      </c>
      <c r="K475" s="426" t="s">
        <v>72</v>
      </c>
      <c r="L475" s="170"/>
      <c r="M475" s="171"/>
      <c r="N475" s="1"/>
    </row>
    <row r="476" spans="9:14">
      <c r="I476" s="2"/>
      <c r="J476" s="172" t="s">
        <v>1229</v>
      </c>
      <c r="K476" s="424"/>
      <c r="L476" s="173"/>
      <c r="M476" s="174"/>
      <c r="N476" s="1"/>
    </row>
    <row r="477" spans="9:14">
      <c r="I477" s="2"/>
      <c r="J477" s="172" t="s">
        <v>1230</v>
      </c>
      <c r="K477" s="424"/>
      <c r="L477" s="173"/>
      <c r="M477" s="174"/>
      <c r="N477" s="1"/>
    </row>
    <row r="478" spans="9:14">
      <c r="I478" s="2"/>
      <c r="J478" s="172" t="s">
        <v>1231</v>
      </c>
      <c r="K478" s="424"/>
      <c r="L478" s="173"/>
      <c r="M478" s="174"/>
      <c r="N478" s="1"/>
    </row>
    <row r="479" spans="9:14">
      <c r="I479" s="2"/>
      <c r="J479" s="175"/>
      <c r="K479" s="176"/>
      <c r="L479" s="177"/>
      <c r="M479" s="178"/>
      <c r="N479" s="413"/>
    </row>
    <row r="480" spans="9:14" ht="25.5">
      <c r="I480" s="2"/>
      <c r="J480" s="427"/>
      <c r="K480" s="428" t="s">
        <v>1232</v>
      </c>
      <c r="L480" s="429" t="s">
        <v>1231</v>
      </c>
      <c r="M480" s="428" t="s">
        <v>10</v>
      </c>
      <c r="N480" s="413"/>
    </row>
    <row r="481" spans="1:14">
      <c r="I481" s="2"/>
      <c r="J481" s="179" t="s">
        <v>1233</v>
      </c>
      <c r="K481" s="180">
        <f>N471</f>
        <v>0</v>
      </c>
      <c r="L481" s="181">
        <f>K481*K478</f>
        <v>0</v>
      </c>
      <c r="M481" s="430">
        <f>SUM(K481:L481)</f>
        <v>0</v>
      </c>
      <c r="N481" s="94"/>
    </row>
    <row r="482" spans="1:14">
      <c r="I482" s="2"/>
      <c r="J482" s="179" t="s">
        <v>1234</v>
      </c>
      <c r="K482" s="182">
        <f>K481*K476</f>
        <v>0</v>
      </c>
      <c r="L482" s="183">
        <f>K482*K478</f>
        <v>0</v>
      </c>
      <c r="M482" s="184">
        <f>+K482+L482</f>
        <v>0</v>
      </c>
      <c r="N482" s="413"/>
    </row>
    <row r="483" spans="1:14">
      <c r="I483" s="2"/>
      <c r="J483" s="179" t="s">
        <v>1235</v>
      </c>
      <c r="K483" s="182">
        <f>K481*K477</f>
        <v>0</v>
      </c>
      <c r="L483" s="183">
        <f>K483*K478</f>
        <v>0</v>
      </c>
      <c r="M483" s="184">
        <f>+K483+L483</f>
        <v>0</v>
      </c>
      <c r="N483" s="413"/>
    </row>
    <row r="484" spans="1:14">
      <c r="I484" s="2"/>
      <c r="J484" s="179" t="s">
        <v>1236</v>
      </c>
      <c r="K484" s="180">
        <f>SUM(K481:K483)</f>
        <v>0</v>
      </c>
      <c r="L484" s="185">
        <f>SUM(L481:L483)</f>
        <v>0</v>
      </c>
      <c r="M484" s="430">
        <f>+SUM(M481:M483)</f>
        <v>0</v>
      </c>
      <c r="N484" s="413"/>
    </row>
    <row r="487" spans="1:14">
      <c r="A487" s="403"/>
      <c r="B487" s="403"/>
      <c r="C487" s="403"/>
      <c r="D487" s="1909"/>
      <c r="E487" s="1909"/>
      <c r="F487" s="1909"/>
      <c r="G487" s="1909"/>
      <c r="H487" s="403"/>
      <c r="I487" s="403"/>
      <c r="J487" s="403"/>
      <c r="K487" s="1909"/>
      <c r="L487" s="1909"/>
      <c r="M487" s="1909"/>
      <c r="N487" s="1909"/>
    </row>
    <row r="488" spans="1:14">
      <c r="A488" s="403"/>
      <c r="B488" s="403"/>
      <c r="C488" s="403"/>
      <c r="D488" s="1909"/>
      <c r="E488" s="1909"/>
      <c r="F488" s="1909"/>
      <c r="G488" s="1909"/>
      <c r="H488" s="403"/>
      <c r="I488" s="403"/>
      <c r="J488" s="403"/>
      <c r="K488" s="1909"/>
      <c r="L488" s="1909"/>
      <c r="M488" s="1909"/>
      <c r="N488" s="1909"/>
    </row>
    <row r="489" spans="1:14">
      <c r="A489" s="403"/>
      <c r="B489" s="403"/>
      <c r="C489" s="403"/>
      <c r="D489" s="1909"/>
      <c r="E489" s="1909"/>
      <c r="F489" s="1909"/>
      <c r="G489" s="1909"/>
      <c r="H489" s="403"/>
      <c r="I489" s="403"/>
      <c r="J489" s="403"/>
      <c r="K489" s="1909"/>
      <c r="L489" s="1909"/>
      <c r="M489" s="1909"/>
      <c r="N489" s="1909"/>
    </row>
    <row r="491" spans="1:14" ht="15" customHeight="1"/>
  </sheetData>
  <mergeCells count="11">
    <mergeCell ref="A1:G1"/>
    <mergeCell ref="A2:G2"/>
    <mergeCell ref="K487:N489"/>
    <mergeCell ref="D487:G489"/>
    <mergeCell ref="A5:F5"/>
    <mergeCell ref="I6:N6"/>
    <mergeCell ref="A7:A8"/>
    <mergeCell ref="A159:E159"/>
    <mergeCell ref="A6:F6"/>
    <mergeCell ref="I5:N5"/>
    <mergeCell ref="B177:G179"/>
  </mergeCells>
  <pageMargins left="0.7" right="0.7" top="0.75" bottom="0.75" header="0.3" footer="0.3"/>
  <pageSetup paperSize="9" scale="59" orientation="portrait" r:id="rId1"/>
  <colBreaks count="1" manualBreakCount="1">
    <brk id="7" max="1048575" man="1"/>
  </colBreaks>
  <drawing r:id="rId2"/>
  <legacyDrawing r:id="rId3"/>
  <controls>
    <mc:AlternateContent xmlns:mc="http://schemas.openxmlformats.org/markup-compatibility/2006">
      <mc:Choice Requires="x14">
        <control shapeId="108555" r:id="rId4" name="btnFicha2">
          <controlPr defaultSize="0" autoLine="0" r:id="rId5">
            <anchor moveWithCells="1" sizeWithCells="1">
              <from>
                <xdr:col>0</xdr:col>
                <xdr:colOff>247650</xdr:colOff>
                <xdr:row>174</xdr:row>
                <xdr:rowOff>76200</xdr:rowOff>
              </from>
              <to>
                <xdr:col>1</xdr:col>
                <xdr:colOff>781050</xdr:colOff>
                <xdr:row>176</xdr:row>
                <xdr:rowOff>19050</xdr:rowOff>
              </to>
            </anchor>
          </controlPr>
        </control>
      </mc:Choice>
      <mc:Fallback>
        <control shapeId="108555" r:id="rId4" name="btnFicha2"/>
      </mc:Fallback>
    </mc:AlternateContent>
    <mc:AlternateContent xmlns:mc="http://schemas.openxmlformats.org/markup-compatibility/2006">
      <mc:Choice Requires="x14">
        <control shapeId="108553" r:id="rId6" name="btnCostoEqui2">
          <controlPr defaultSize="0" autoLine="0" r:id="rId7">
            <anchor moveWithCells="1" sizeWithCells="1">
              <from>
                <xdr:col>1</xdr:col>
                <xdr:colOff>790575</xdr:colOff>
                <xdr:row>174</xdr:row>
                <xdr:rowOff>66675</xdr:rowOff>
              </from>
              <to>
                <xdr:col>1</xdr:col>
                <xdr:colOff>3124200</xdr:colOff>
                <xdr:row>176</xdr:row>
                <xdr:rowOff>9525</xdr:rowOff>
              </to>
            </anchor>
          </controlPr>
        </control>
      </mc:Choice>
      <mc:Fallback>
        <control shapeId="108553" r:id="rId6" name="btnCostoEqui2"/>
      </mc:Fallback>
    </mc:AlternateContent>
    <mc:AlternateContent xmlns:mc="http://schemas.openxmlformats.org/markup-compatibility/2006">
      <mc:Choice Requires="x14">
        <control shapeId="108545" r:id="rId8" name="btnCostoEqui">
          <controlPr defaultSize="0" autoLine="0" r:id="rId9">
            <anchor moveWithCells="1">
              <from>
                <xdr:col>1</xdr:col>
                <xdr:colOff>609600</xdr:colOff>
                <xdr:row>1</xdr:row>
                <xdr:rowOff>104775</xdr:rowOff>
              </from>
              <to>
                <xdr:col>1</xdr:col>
                <xdr:colOff>2933700</xdr:colOff>
                <xdr:row>2</xdr:row>
                <xdr:rowOff>38100</xdr:rowOff>
              </to>
            </anchor>
          </controlPr>
        </control>
      </mc:Choice>
      <mc:Fallback>
        <control shapeId="108545" r:id="rId8" name="btnCostoEqui"/>
      </mc:Fallback>
    </mc:AlternateContent>
    <mc:AlternateContent xmlns:mc="http://schemas.openxmlformats.org/markup-compatibility/2006">
      <mc:Choice Requires="x14">
        <control shapeId="108546" r:id="rId10" name="btnCostoOrg2">
          <controlPr defaultSize="0" autoLine="0" r:id="rId11">
            <anchor moveWithCells="1" sizeWithCells="1">
              <from>
                <xdr:col>1</xdr:col>
                <xdr:colOff>3152775</xdr:colOff>
                <xdr:row>174</xdr:row>
                <xdr:rowOff>76200</xdr:rowOff>
              </from>
              <to>
                <xdr:col>3</xdr:col>
                <xdr:colOff>171450</xdr:colOff>
                <xdr:row>176</xdr:row>
                <xdr:rowOff>19050</xdr:rowOff>
              </to>
            </anchor>
          </controlPr>
        </control>
      </mc:Choice>
      <mc:Fallback>
        <control shapeId="108546" r:id="rId10" name="btnCostoOrg2"/>
      </mc:Fallback>
    </mc:AlternateContent>
    <mc:AlternateContent xmlns:mc="http://schemas.openxmlformats.org/markup-compatibility/2006">
      <mc:Choice Requires="x14">
        <control shapeId="108547" r:id="rId12" name="btnCostoOrg">
          <controlPr defaultSize="0" autoLine="0" r:id="rId13">
            <anchor moveWithCells="1">
              <from>
                <xdr:col>1</xdr:col>
                <xdr:colOff>2952750</xdr:colOff>
                <xdr:row>1</xdr:row>
                <xdr:rowOff>104775</xdr:rowOff>
              </from>
              <to>
                <xdr:col>2</xdr:col>
                <xdr:colOff>733425</xdr:colOff>
                <xdr:row>2</xdr:row>
                <xdr:rowOff>38100</xdr:rowOff>
              </to>
            </anchor>
          </controlPr>
        </control>
      </mc:Choice>
      <mc:Fallback>
        <control shapeId="108547" r:id="rId12" name="btnCostoOrg"/>
      </mc:Fallback>
    </mc:AlternateContent>
    <mc:AlternateContent xmlns:mc="http://schemas.openxmlformats.org/markup-compatibility/2006">
      <mc:Choice Requires="x14">
        <control shapeId="108548" r:id="rId14" name="CommandButton4">
          <controlPr defaultSize="0" autoLine="0" autoPict="0" r:id="rId15">
            <anchor moveWithCells="1">
              <from>
                <xdr:col>0</xdr:col>
                <xdr:colOff>133350</xdr:colOff>
                <xdr:row>3</xdr:row>
                <xdr:rowOff>114300</xdr:rowOff>
              </from>
              <to>
                <xdr:col>0</xdr:col>
                <xdr:colOff>238125</xdr:colOff>
                <xdr:row>3</xdr:row>
                <xdr:rowOff>123825</xdr:rowOff>
              </to>
            </anchor>
          </controlPr>
        </control>
      </mc:Choice>
      <mc:Fallback>
        <control shapeId="108548" r:id="rId14" name="CommandButton4"/>
      </mc:Fallback>
    </mc:AlternateContent>
    <mc:AlternateContent xmlns:mc="http://schemas.openxmlformats.org/markup-compatibility/2006">
      <mc:Choice Requires="x14">
        <control shapeId="108549" r:id="rId16" name="CommandButton5">
          <controlPr defaultSize="0" autoLine="0" autoPict="0" r:id="rId17">
            <anchor moveWithCells="1">
              <from>
                <xdr:col>0</xdr:col>
                <xdr:colOff>209550</xdr:colOff>
                <xdr:row>6</xdr:row>
                <xdr:rowOff>0</xdr:rowOff>
              </from>
              <to>
                <xdr:col>0</xdr:col>
                <xdr:colOff>276225</xdr:colOff>
                <xdr:row>6</xdr:row>
                <xdr:rowOff>9525</xdr:rowOff>
              </to>
            </anchor>
          </controlPr>
        </control>
      </mc:Choice>
      <mc:Fallback>
        <control shapeId="108549" r:id="rId16" name="CommandButton5"/>
      </mc:Fallback>
    </mc:AlternateContent>
    <mc:AlternateContent xmlns:mc="http://schemas.openxmlformats.org/markup-compatibility/2006">
      <mc:Choice Requires="x14">
        <control shapeId="108552" r:id="rId18" name="btnFicha">
          <controlPr defaultSize="0" autoLine="0" r:id="rId19">
            <anchor moveWithCells="1">
              <from>
                <xdr:col>0</xdr:col>
                <xdr:colOff>38100</xdr:colOff>
                <xdr:row>1</xdr:row>
                <xdr:rowOff>95250</xdr:rowOff>
              </from>
              <to>
                <xdr:col>1</xdr:col>
                <xdr:colOff>571500</xdr:colOff>
                <xdr:row>2</xdr:row>
                <xdr:rowOff>28575</xdr:rowOff>
              </to>
            </anchor>
          </controlPr>
        </control>
      </mc:Choice>
      <mc:Fallback>
        <control shapeId="108552" r:id="rId18" name="btnFicha"/>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
  <dimension ref="A1:O176"/>
  <sheetViews>
    <sheetView showZeros="0" view="pageBreakPreview" topLeftCell="A16" zoomScale="85" zoomScaleNormal="40" zoomScaleSheetLayoutView="85" workbookViewId="0">
      <selection sqref="A1:G1"/>
    </sheetView>
  </sheetViews>
  <sheetFormatPr baseColWidth="10" defaultColWidth="11.42578125" defaultRowHeight="15"/>
  <cols>
    <col min="1" max="1" width="22.85546875" style="390" customWidth="1"/>
    <col min="2" max="2" width="49.28515625" style="390" customWidth="1"/>
    <col min="3" max="5" width="11.42578125" style="390"/>
    <col min="6" max="6" width="16.5703125" style="390" customWidth="1"/>
    <col min="7" max="7" width="12.85546875" style="396" customWidth="1"/>
    <col min="8" max="8" width="12.85546875" style="390" customWidth="1"/>
    <col min="9" max="9" width="25.85546875" style="390" customWidth="1"/>
    <col min="10" max="10" width="73.28515625" style="390" bestFit="1" customWidth="1"/>
    <col min="11" max="13" width="11.42578125" style="390"/>
    <col min="14" max="14" width="15.85546875" style="390" customWidth="1"/>
    <col min="15" max="16384" width="11.42578125" style="390"/>
  </cols>
  <sheetData>
    <row r="1" spans="1:14" ht="21">
      <c r="A1" s="1907" t="s">
        <v>3263</v>
      </c>
      <c r="B1" s="1907"/>
      <c r="C1" s="1907"/>
      <c r="D1" s="1907"/>
      <c r="E1" s="1907"/>
      <c r="F1" s="1907"/>
      <c r="G1" s="1907"/>
      <c r="H1" s="402"/>
      <c r="I1" s="402"/>
      <c r="J1" s="402"/>
      <c r="K1" s="402"/>
      <c r="L1" s="402"/>
      <c r="M1" s="402"/>
      <c r="N1" s="402"/>
    </row>
    <row r="2" spans="1:14" ht="31.5" customHeight="1">
      <c r="A2" s="402"/>
      <c r="B2" s="402"/>
      <c r="C2" s="402"/>
      <c r="D2" s="402"/>
      <c r="E2" s="402"/>
      <c r="F2" s="402"/>
      <c r="G2" s="402"/>
      <c r="H2" s="402"/>
      <c r="I2" s="402"/>
      <c r="J2" s="402"/>
      <c r="K2" s="402"/>
      <c r="L2" s="402"/>
      <c r="M2" s="402"/>
      <c r="N2" s="402"/>
    </row>
    <row r="3" spans="1:14">
      <c r="A3" s="402"/>
      <c r="B3" s="402"/>
      <c r="C3" s="402"/>
      <c r="D3" s="402"/>
      <c r="E3" s="402"/>
      <c r="F3" s="402"/>
      <c r="G3" s="402"/>
      <c r="H3" s="402"/>
      <c r="I3" s="402"/>
      <c r="J3" s="402"/>
      <c r="K3" s="402"/>
      <c r="L3" s="402"/>
      <c r="M3" s="402"/>
      <c r="N3" s="402"/>
    </row>
    <row r="5" spans="1:14" ht="13.5" customHeight="1">
      <c r="A5" s="1911"/>
      <c r="B5" s="1911"/>
      <c r="C5" s="1911"/>
      <c r="D5" s="1911"/>
      <c r="E5" s="1911"/>
      <c r="F5" s="1911"/>
      <c r="G5" s="96"/>
      <c r="I5" s="1911"/>
      <c r="J5" s="1911"/>
      <c r="K5" s="1911"/>
      <c r="L5" s="1911"/>
      <c r="M5" s="1911"/>
      <c r="N5" s="1911"/>
    </row>
    <row r="6" spans="1:14" ht="30.75" customHeight="1">
      <c r="A6" s="1911" t="s">
        <v>3021</v>
      </c>
      <c r="B6" s="1911"/>
      <c r="C6" s="1911"/>
      <c r="D6" s="1911"/>
      <c r="E6" s="1911"/>
      <c r="F6" s="1911"/>
      <c r="G6" s="96"/>
      <c r="I6" s="1911" t="s">
        <v>2983</v>
      </c>
      <c r="J6" s="1911"/>
      <c r="K6" s="1911"/>
      <c r="L6" s="1911"/>
      <c r="M6" s="1911"/>
      <c r="N6" s="1911"/>
    </row>
    <row r="7" spans="1:14" ht="21" customHeight="1">
      <c r="A7" s="1917" t="s">
        <v>852</v>
      </c>
      <c r="B7" s="578" t="s">
        <v>608</v>
      </c>
      <c r="C7" s="367" t="s">
        <v>853</v>
      </c>
      <c r="D7" s="399" t="s">
        <v>854</v>
      </c>
      <c r="E7" s="400" t="s">
        <v>855</v>
      </c>
      <c r="F7" s="400" t="s">
        <v>856</v>
      </c>
      <c r="G7" s="98"/>
      <c r="I7" s="1917" t="s">
        <v>2984</v>
      </c>
      <c r="J7" s="578" t="s">
        <v>608</v>
      </c>
      <c r="K7" s="367" t="s">
        <v>853</v>
      </c>
      <c r="L7" s="399" t="s">
        <v>854</v>
      </c>
      <c r="M7" s="400" t="s">
        <v>855</v>
      </c>
      <c r="N7" s="400" t="s">
        <v>856</v>
      </c>
    </row>
    <row r="8" spans="1:14" ht="24" customHeight="1">
      <c r="A8" s="1918"/>
      <c r="B8" s="401" t="s">
        <v>2923</v>
      </c>
      <c r="C8" s="367"/>
      <c r="D8" s="374"/>
      <c r="E8" s="400"/>
      <c r="F8" s="400">
        <f>F9+F146</f>
        <v>0</v>
      </c>
      <c r="G8" s="98"/>
      <c r="I8" s="1918"/>
      <c r="J8" s="401" t="s">
        <v>2923</v>
      </c>
      <c r="K8" s="367"/>
      <c r="L8" s="374"/>
      <c r="M8" s="400"/>
      <c r="N8" s="400">
        <f>N9</f>
        <v>0</v>
      </c>
    </row>
    <row r="9" spans="1:14" ht="23.25" customHeight="1">
      <c r="A9" s="99" t="s">
        <v>857</v>
      </c>
      <c r="B9" s="99" t="s">
        <v>2924</v>
      </c>
      <c r="C9" s="100"/>
      <c r="D9" s="101"/>
      <c r="E9" s="101"/>
      <c r="F9" s="101">
        <f>SUM(F10,F14,F20,F22,F24,F30,F35,F42,F47,F51,F54,F57,F70,F86,F110)+F119</f>
        <v>0</v>
      </c>
      <c r="G9" s="102"/>
      <c r="I9" s="99" t="s">
        <v>857</v>
      </c>
      <c r="J9" s="99" t="s">
        <v>2924</v>
      </c>
      <c r="K9" s="100"/>
      <c r="L9" s="101"/>
      <c r="M9" s="101"/>
      <c r="N9" s="391">
        <f>SUM(N10,N14,N20,N22,N24,N35,N40,N47,N52,N56,N59,N62,N75,N91,N115)+N124</f>
        <v>0</v>
      </c>
    </row>
    <row r="10" spans="1:14" ht="18.75" customHeight="1">
      <c r="A10" s="103" t="s">
        <v>858</v>
      </c>
      <c r="B10" s="103" t="s">
        <v>1237</v>
      </c>
      <c r="C10" s="104"/>
      <c r="D10" s="378"/>
      <c r="E10" s="378"/>
      <c r="F10" s="381">
        <f>SUM(F11,F14,F20,F22,F24,F30,F35,F42,F47,F48,F51,F54,F57,F70,F86,F110)</f>
        <v>0</v>
      </c>
      <c r="G10" s="105"/>
      <c r="I10" s="103" t="s">
        <v>858</v>
      </c>
      <c r="J10" s="103" t="s">
        <v>1237</v>
      </c>
      <c r="K10" s="104"/>
      <c r="L10" s="381"/>
      <c r="M10" s="381"/>
      <c r="N10" s="382">
        <f>SUM(N11,N14,N20,N22,N24,N35,N40,N47,N52,N53,N56,N59,N62,N75,N91,N115)+N30+N32</f>
        <v>0</v>
      </c>
    </row>
    <row r="11" spans="1:14" ht="17.25" customHeight="1">
      <c r="A11" s="103" t="s">
        <v>860</v>
      </c>
      <c r="B11" s="103" t="s">
        <v>1238</v>
      </c>
      <c r="C11" s="104"/>
      <c r="D11" s="378"/>
      <c r="E11" s="378"/>
      <c r="F11" s="381">
        <f>SUM(F12,F13)</f>
        <v>0</v>
      </c>
      <c r="G11" s="105"/>
      <c r="I11" s="103" t="s">
        <v>860</v>
      </c>
      <c r="J11" s="103" t="s">
        <v>1238</v>
      </c>
      <c r="K11" s="104"/>
      <c r="L11" s="381"/>
      <c r="M11" s="381"/>
      <c r="N11" s="382">
        <f>SUM(N12,N13)</f>
        <v>0</v>
      </c>
    </row>
    <row r="12" spans="1:14" ht="17.25" customHeight="1">
      <c r="A12" s="103" t="s">
        <v>862</v>
      </c>
      <c r="B12" s="103" t="s">
        <v>1239</v>
      </c>
      <c r="C12" s="104" t="s">
        <v>22</v>
      </c>
      <c r="D12" s="378"/>
      <c r="E12" s="378"/>
      <c r="F12" s="381">
        <f>D12*E12</f>
        <v>0</v>
      </c>
      <c r="G12" s="105"/>
      <c r="I12" s="103" t="s">
        <v>862</v>
      </c>
      <c r="J12" s="103" t="s">
        <v>1239</v>
      </c>
      <c r="K12" s="104" t="s">
        <v>22</v>
      </c>
      <c r="L12" s="384"/>
      <c r="M12" s="384"/>
      <c r="N12" s="382">
        <f>L12*M12</f>
        <v>0</v>
      </c>
    </row>
    <row r="13" spans="1:14" ht="21.75" customHeight="1">
      <c r="A13" s="103" t="s">
        <v>1240</v>
      </c>
      <c r="B13" s="103" t="s">
        <v>2925</v>
      </c>
      <c r="C13" s="104" t="s">
        <v>22</v>
      </c>
      <c r="D13" s="378"/>
      <c r="E13" s="378"/>
      <c r="F13" s="381">
        <f>D13*E13</f>
        <v>0</v>
      </c>
      <c r="G13" s="105"/>
      <c r="I13" s="103" t="s">
        <v>1240</v>
      </c>
      <c r="J13" s="103" t="s">
        <v>2925</v>
      </c>
      <c r="K13" s="104" t="s">
        <v>22</v>
      </c>
      <c r="L13" s="384"/>
      <c r="M13" s="384"/>
      <c r="N13" s="382">
        <f>L13*M13</f>
        <v>0</v>
      </c>
    </row>
    <row r="14" spans="1:14" ht="17.25" customHeight="1">
      <c r="A14" s="103" t="s">
        <v>865</v>
      </c>
      <c r="B14" s="103" t="s">
        <v>1241</v>
      </c>
      <c r="C14" s="104"/>
      <c r="D14" s="378"/>
      <c r="E14" s="378"/>
      <c r="F14" s="381">
        <f>SUM(F15:F19)</f>
        <v>0</v>
      </c>
      <c r="G14" s="105"/>
      <c r="I14" s="103" t="s">
        <v>865</v>
      </c>
      <c r="J14" s="103" t="s">
        <v>1241</v>
      </c>
      <c r="K14" s="104"/>
      <c r="L14" s="382"/>
      <c r="M14" s="382"/>
      <c r="N14" s="382">
        <f>SUM(N15:N19)</f>
        <v>0</v>
      </c>
    </row>
    <row r="15" spans="1:14" ht="18" customHeight="1">
      <c r="A15" s="103" t="s">
        <v>867</v>
      </c>
      <c r="B15" s="103" t="s">
        <v>2926</v>
      </c>
      <c r="C15" s="104" t="s">
        <v>943</v>
      </c>
      <c r="D15" s="378"/>
      <c r="E15" s="378"/>
      <c r="F15" s="381">
        <f>D15*E15</f>
        <v>0</v>
      </c>
      <c r="G15" s="105"/>
      <c r="I15" s="103" t="s">
        <v>867</v>
      </c>
      <c r="J15" s="103" t="s">
        <v>2926</v>
      </c>
      <c r="K15" s="104" t="s">
        <v>943</v>
      </c>
      <c r="L15" s="384"/>
      <c r="M15" s="384"/>
      <c r="N15" s="382">
        <f>L15*M15</f>
        <v>0</v>
      </c>
    </row>
    <row r="16" spans="1:14" ht="20.25" customHeight="1">
      <c r="A16" s="103" t="s">
        <v>1242</v>
      </c>
      <c r="B16" s="103" t="s">
        <v>2927</v>
      </c>
      <c r="C16" s="104" t="s">
        <v>943</v>
      </c>
      <c r="D16" s="378"/>
      <c r="E16" s="378"/>
      <c r="F16" s="381">
        <f t="shared" ref="F16:F34" si="0">D16*E16</f>
        <v>0</v>
      </c>
      <c r="G16" s="105"/>
      <c r="I16" s="103" t="s">
        <v>1242</v>
      </c>
      <c r="J16" s="103" t="s">
        <v>2927</v>
      </c>
      <c r="K16" s="104" t="s">
        <v>943</v>
      </c>
      <c r="L16" s="384"/>
      <c r="M16" s="384"/>
      <c r="N16" s="382">
        <f>L16*M16</f>
        <v>0</v>
      </c>
    </row>
    <row r="17" spans="1:14" ht="24.75" customHeight="1">
      <c r="A17" s="103" t="s">
        <v>1243</v>
      </c>
      <c r="B17" s="103" t="s">
        <v>2928</v>
      </c>
      <c r="C17" s="104" t="s">
        <v>22</v>
      </c>
      <c r="D17" s="378"/>
      <c r="E17" s="378"/>
      <c r="F17" s="381">
        <f t="shared" si="0"/>
        <v>0</v>
      </c>
      <c r="G17" s="105"/>
      <c r="I17" s="103" t="s">
        <v>1243</v>
      </c>
      <c r="J17" s="103" t="s">
        <v>2928</v>
      </c>
      <c r="K17" s="104" t="s">
        <v>22</v>
      </c>
      <c r="L17" s="384"/>
      <c r="M17" s="384"/>
      <c r="N17" s="382">
        <f>L17*M17</f>
        <v>0</v>
      </c>
    </row>
    <row r="18" spans="1:14" ht="23.25" customHeight="1">
      <c r="A18" s="103" t="s">
        <v>1244</v>
      </c>
      <c r="B18" s="103" t="s">
        <v>1245</v>
      </c>
      <c r="C18" s="104" t="s">
        <v>943</v>
      </c>
      <c r="D18" s="378"/>
      <c r="E18" s="378"/>
      <c r="F18" s="381">
        <f t="shared" si="0"/>
        <v>0</v>
      </c>
      <c r="G18" s="105"/>
      <c r="I18" s="103" t="s">
        <v>1244</v>
      </c>
      <c r="J18" s="103" t="s">
        <v>1245</v>
      </c>
      <c r="K18" s="104" t="s">
        <v>943</v>
      </c>
      <c r="L18" s="384"/>
      <c r="M18" s="384"/>
      <c r="N18" s="382">
        <f>L18*M18</f>
        <v>0</v>
      </c>
    </row>
    <row r="19" spans="1:14" ht="25.5" customHeight="1">
      <c r="A19" s="103" t="s">
        <v>1246</v>
      </c>
      <c r="B19" s="103" t="s">
        <v>2929</v>
      </c>
      <c r="C19" s="104" t="s">
        <v>943</v>
      </c>
      <c r="D19" s="378"/>
      <c r="E19" s="378"/>
      <c r="F19" s="381">
        <f t="shared" si="0"/>
        <v>0</v>
      </c>
      <c r="G19" s="105"/>
      <c r="I19" s="103" t="s">
        <v>1246</v>
      </c>
      <c r="J19" s="103" t="s">
        <v>2929</v>
      </c>
      <c r="K19" s="104" t="s">
        <v>943</v>
      </c>
      <c r="L19" s="384"/>
      <c r="M19" s="384"/>
      <c r="N19" s="382">
        <f>L19*M19</f>
        <v>0</v>
      </c>
    </row>
    <row r="20" spans="1:14" ht="17.25" customHeight="1">
      <c r="A20" s="103" t="s">
        <v>869</v>
      </c>
      <c r="B20" s="103" t="s">
        <v>1247</v>
      </c>
      <c r="C20" s="104"/>
      <c r="D20" s="378"/>
      <c r="E20" s="378"/>
      <c r="F20" s="381">
        <f>F21</f>
        <v>0</v>
      </c>
      <c r="G20" s="105"/>
      <c r="I20" s="103" t="s">
        <v>869</v>
      </c>
      <c r="J20" s="103" t="s">
        <v>1247</v>
      </c>
      <c r="K20" s="104"/>
      <c r="L20" s="382"/>
      <c r="M20" s="382"/>
      <c r="N20" s="382">
        <f>N21</f>
        <v>0</v>
      </c>
    </row>
    <row r="21" spans="1:14" ht="14.25" customHeight="1">
      <c r="A21" s="103" t="s">
        <v>871</v>
      </c>
      <c r="B21" s="103" t="s">
        <v>1248</v>
      </c>
      <c r="C21" s="104" t="s">
        <v>22</v>
      </c>
      <c r="D21" s="378"/>
      <c r="E21" s="378"/>
      <c r="F21" s="381">
        <f t="shared" si="0"/>
        <v>0</v>
      </c>
      <c r="G21" s="105"/>
      <c r="I21" s="103" t="s">
        <v>871</v>
      </c>
      <c r="J21" s="103" t="s">
        <v>1248</v>
      </c>
      <c r="K21" s="104" t="s">
        <v>22</v>
      </c>
      <c r="L21" s="384"/>
      <c r="M21" s="384"/>
      <c r="N21" s="382">
        <f>L21*M21</f>
        <v>0</v>
      </c>
    </row>
    <row r="22" spans="1:14" ht="13.5" customHeight="1">
      <c r="A22" s="103" t="s">
        <v>876</v>
      </c>
      <c r="B22" s="103" t="s">
        <v>1249</v>
      </c>
      <c r="C22" s="104"/>
      <c r="D22" s="378"/>
      <c r="E22" s="378"/>
      <c r="F22" s="381">
        <f>F23</f>
        <v>0</v>
      </c>
      <c r="G22" s="105"/>
      <c r="I22" s="103" t="s">
        <v>876</v>
      </c>
      <c r="J22" s="103" t="s">
        <v>1249</v>
      </c>
      <c r="K22" s="104"/>
      <c r="L22" s="382"/>
      <c r="M22" s="382"/>
      <c r="N22" s="382">
        <f>N23</f>
        <v>0</v>
      </c>
    </row>
    <row r="23" spans="1:14" ht="18" customHeight="1">
      <c r="A23" s="103" t="s">
        <v>878</v>
      </c>
      <c r="B23" s="103" t="s">
        <v>1250</v>
      </c>
      <c r="C23" s="104" t="s">
        <v>22</v>
      </c>
      <c r="D23" s="378"/>
      <c r="E23" s="378"/>
      <c r="F23" s="381">
        <f t="shared" si="0"/>
        <v>0</v>
      </c>
      <c r="G23" s="105"/>
      <c r="I23" s="103" t="s">
        <v>878</v>
      </c>
      <c r="J23" s="103" t="s">
        <v>1250</v>
      </c>
      <c r="K23" s="104" t="s">
        <v>22</v>
      </c>
      <c r="L23" s="384"/>
      <c r="M23" s="384"/>
      <c r="N23" s="382">
        <f>L23*M23</f>
        <v>0</v>
      </c>
    </row>
    <row r="24" spans="1:14" ht="15.75" customHeight="1">
      <c r="A24" s="103" t="s">
        <v>882</v>
      </c>
      <c r="B24" s="103" t="s">
        <v>1251</v>
      </c>
      <c r="C24" s="104"/>
      <c r="D24" s="378"/>
      <c r="E24" s="378"/>
      <c r="F24" s="381">
        <f>SUM(F25:F29)</f>
        <v>0</v>
      </c>
      <c r="G24" s="105"/>
      <c r="I24" s="103" t="s">
        <v>882</v>
      </c>
      <c r="J24" s="103" t="s">
        <v>1251</v>
      </c>
      <c r="K24" s="104"/>
      <c r="L24" s="384"/>
      <c r="M24" s="384"/>
      <c r="N24" s="382">
        <f>SUM(N25:N29)</f>
        <v>0</v>
      </c>
    </row>
    <row r="25" spans="1:14" ht="14.25" customHeight="1">
      <c r="A25" s="103" t="s">
        <v>883</v>
      </c>
      <c r="B25" s="103" t="s">
        <v>1252</v>
      </c>
      <c r="C25" s="104" t="s">
        <v>943</v>
      </c>
      <c r="D25" s="378"/>
      <c r="E25" s="378"/>
      <c r="F25" s="381">
        <f t="shared" si="0"/>
        <v>0</v>
      </c>
      <c r="G25" s="105"/>
      <c r="I25" s="103" t="s">
        <v>883</v>
      </c>
      <c r="J25" s="103" t="s">
        <v>1252</v>
      </c>
      <c r="K25" s="104" t="s">
        <v>943</v>
      </c>
      <c r="L25" s="384"/>
      <c r="M25" s="384"/>
      <c r="N25" s="382">
        <f>L25*M25</f>
        <v>0</v>
      </c>
    </row>
    <row r="26" spans="1:14" ht="24.75" customHeight="1">
      <c r="A26" s="103" t="s">
        <v>1253</v>
      </c>
      <c r="B26" s="103" t="s">
        <v>1254</v>
      </c>
      <c r="C26" s="104" t="s">
        <v>983</v>
      </c>
      <c r="D26" s="378"/>
      <c r="E26" s="378"/>
      <c r="F26" s="381">
        <f t="shared" si="0"/>
        <v>0</v>
      </c>
      <c r="G26" s="105"/>
      <c r="I26" s="103" t="s">
        <v>1253</v>
      </c>
      <c r="J26" s="103" t="s">
        <v>1254</v>
      </c>
      <c r="K26" s="104" t="s">
        <v>983</v>
      </c>
      <c r="L26" s="384"/>
      <c r="M26" s="384"/>
      <c r="N26" s="382">
        <f>L26*M26</f>
        <v>0</v>
      </c>
    </row>
    <row r="27" spans="1:14" ht="21" customHeight="1">
      <c r="A27" s="103" t="s">
        <v>1255</v>
      </c>
      <c r="B27" s="103" t="s">
        <v>1256</v>
      </c>
      <c r="C27" s="104" t="s">
        <v>943</v>
      </c>
      <c r="D27" s="378"/>
      <c r="E27" s="378"/>
      <c r="F27" s="381">
        <f t="shared" si="0"/>
        <v>0</v>
      </c>
      <c r="G27" s="105"/>
      <c r="I27" s="103" t="s">
        <v>1255</v>
      </c>
      <c r="J27" s="103" t="s">
        <v>1256</v>
      </c>
      <c r="K27" s="104" t="s">
        <v>943</v>
      </c>
      <c r="L27" s="384"/>
      <c r="M27" s="384"/>
      <c r="N27" s="382">
        <f>L27*M27</f>
        <v>0</v>
      </c>
    </row>
    <row r="28" spans="1:14" ht="18" customHeight="1">
      <c r="A28" s="103" t="s">
        <v>1257</v>
      </c>
      <c r="B28" s="103" t="s">
        <v>1258</v>
      </c>
      <c r="C28" s="104" t="s">
        <v>983</v>
      </c>
      <c r="D28" s="378"/>
      <c r="E28" s="378"/>
      <c r="F28" s="381">
        <f t="shared" si="0"/>
        <v>0</v>
      </c>
      <c r="G28" s="105"/>
      <c r="I28" s="103" t="s">
        <v>1257</v>
      </c>
      <c r="J28" s="103" t="s">
        <v>1258</v>
      </c>
      <c r="K28" s="104" t="s">
        <v>983</v>
      </c>
      <c r="L28" s="384"/>
      <c r="M28" s="384"/>
      <c r="N28" s="382">
        <f>L28*M28</f>
        <v>0</v>
      </c>
    </row>
    <row r="29" spans="1:14" ht="18.75" customHeight="1">
      <c r="A29" s="103" t="s">
        <v>1259</v>
      </c>
      <c r="B29" s="103" t="s">
        <v>1260</v>
      </c>
      <c r="C29" s="104" t="s">
        <v>22</v>
      </c>
      <c r="D29" s="378"/>
      <c r="E29" s="378"/>
      <c r="F29" s="381">
        <f t="shared" si="0"/>
        <v>0</v>
      </c>
      <c r="G29" s="105"/>
      <c r="I29" s="103" t="s">
        <v>1259</v>
      </c>
      <c r="J29" s="103" t="s">
        <v>1260</v>
      </c>
      <c r="K29" s="104" t="s">
        <v>22</v>
      </c>
      <c r="L29" s="384"/>
      <c r="M29" s="384"/>
      <c r="N29" s="382">
        <f>L29*M29</f>
        <v>0</v>
      </c>
    </row>
    <row r="30" spans="1:14" ht="13.5" customHeight="1">
      <c r="A30" s="103" t="s">
        <v>884</v>
      </c>
      <c r="B30" s="103" t="s">
        <v>2930</v>
      </c>
      <c r="C30" s="104"/>
      <c r="D30" s="378"/>
      <c r="E30" s="378"/>
      <c r="F30" s="381">
        <f>SUM(F31:F34)</f>
        <v>0</v>
      </c>
      <c r="G30" s="105"/>
      <c r="I30" s="103" t="s">
        <v>884</v>
      </c>
      <c r="J30" s="103" t="s">
        <v>2977</v>
      </c>
      <c r="K30" s="104"/>
      <c r="L30" s="384"/>
      <c r="M30" s="384"/>
      <c r="N30" s="382">
        <f>N31</f>
        <v>0</v>
      </c>
    </row>
    <row r="31" spans="1:14" ht="15.75" customHeight="1">
      <c r="A31" s="103" t="s">
        <v>885</v>
      </c>
      <c r="B31" s="103" t="s">
        <v>1261</v>
      </c>
      <c r="C31" s="104" t="s">
        <v>22</v>
      </c>
      <c r="D31" s="378"/>
      <c r="E31" s="378"/>
      <c r="F31" s="381">
        <f t="shared" si="0"/>
        <v>0</v>
      </c>
      <c r="G31" s="105"/>
      <c r="I31" s="103" t="s">
        <v>885</v>
      </c>
      <c r="J31" s="103" t="s">
        <v>1262</v>
      </c>
      <c r="K31" s="104" t="s">
        <v>22</v>
      </c>
      <c r="L31" s="384"/>
      <c r="M31" s="384"/>
      <c r="N31" s="382">
        <f>L31*M31</f>
        <v>0</v>
      </c>
    </row>
    <row r="32" spans="1:14" ht="23.25" customHeight="1">
      <c r="A32" s="103" t="s">
        <v>1263</v>
      </c>
      <c r="B32" s="103" t="s">
        <v>2931</v>
      </c>
      <c r="C32" s="104" t="s">
        <v>22</v>
      </c>
      <c r="D32" s="378"/>
      <c r="E32" s="378"/>
      <c r="F32" s="381">
        <f t="shared" si="0"/>
        <v>0</v>
      </c>
      <c r="G32" s="105"/>
      <c r="I32" s="103" t="s">
        <v>886</v>
      </c>
      <c r="J32" s="103" t="s">
        <v>1265</v>
      </c>
      <c r="K32" s="104"/>
      <c r="L32" s="384"/>
      <c r="M32" s="384"/>
      <c r="N32" s="382">
        <f>SUM(N33:N34)</f>
        <v>0</v>
      </c>
    </row>
    <row r="33" spans="1:14" ht="17.25" customHeight="1">
      <c r="A33" s="103" t="s">
        <v>1266</v>
      </c>
      <c r="B33" s="103" t="s">
        <v>2932</v>
      </c>
      <c r="C33" s="104" t="s">
        <v>943</v>
      </c>
      <c r="D33" s="378"/>
      <c r="E33" s="378"/>
      <c r="F33" s="381">
        <f t="shared" si="0"/>
        <v>0</v>
      </c>
      <c r="G33" s="105"/>
      <c r="I33" s="103" t="s">
        <v>888</v>
      </c>
      <c r="J33" s="103" t="s">
        <v>1267</v>
      </c>
      <c r="K33" s="104" t="s">
        <v>22</v>
      </c>
      <c r="L33" s="384"/>
      <c r="M33" s="384"/>
      <c r="N33" s="382">
        <f>L33*M33</f>
        <v>0</v>
      </c>
    </row>
    <row r="34" spans="1:14" ht="17.25" customHeight="1">
      <c r="A34" s="103" t="s">
        <v>1268</v>
      </c>
      <c r="B34" s="103" t="s">
        <v>2933</v>
      </c>
      <c r="C34" s="104" t="s">
        <v>875</v>
      </c>
      <c r="D34" s="378"/>
      <c r="E34" s="378"/>
      <c r="F34" s="381">
        <f t="shared" si="0"/>
        <v>0</v>
      </c>
      <c r="G34" s="105"/>
      <c r="I34" s="103" t="s">
        <v>889</v>
      </c>
      <c r="J34" s="103" t="s">
        <v>1269</v>
      </c>
      <c r="K34" s="104" t="s">
        <v>22</v>
      </c>
      <c r="L34" s="384"/>
      <c r="M34" s="384"/>
      <c r="N34" s="382">
        <f>L34*M34</f>
        <v>0</v>
      </c>
    </row>
    <row r="35" spans="1:14" ht="16.5" customHeight="1">
      <c r="A35" s="103" t="s">
        <v>886</v>
      </c>
      <c r="B35" s="103" t="s">
        <v>1270</v>
      </c>
      <c r="C35" s="104"/>
      <c r="D35" s="378"/>
      <c r="E35" s="378"/>
      <c r="F35" s="381">
        <f>SUM(F36,F38)</f>
        <v>0</v>
      </c>
      <c r="G35" s="105"/>
      <c r="I35" s="103" t="s">
        <v>890</v>
      </c>
      <c r="J35" s="103" t="s">
        <v>2930</v>
      </c>
      <c r="K35" s="104"/>
      <c r="L35" s="384"/>
      <c r="M35" s="384"/>
      <c r="N35" s="382">
        <f>SUM(N36:N39)</f>
        <v>0</v>
      </c>
    </row>
    <row r="36" spans="1:14" ht="19.5" customHeight="1">
      <c r="A36" s="103" t="s">
        <v>888</v>
      </c>
      <c r="B36" s="103" t="s">
        <v>1271</v>
      </c>
      <c r="C36" s="104"/>
      <c r="D36" s="378"/>
      <c r="E36" s="378"/>
      <c r="F36" s="381">
        <f>F37</f>
        <v>0</v>
      </c>
      <c r="G36" s="105"/>
      <c r="I36" s="103" t="s">
        <v>892</v>
      </c>
      <c r="J36" s="103" t="s">
        <v>1261</v>
      </c>
      <c r="K36" s="104" t="s">
        <v>22</v>
      </c>
      <c r="L36" s="384"/>
      <c r="M36" s="384"/>
      <c r="N36" s="382">
        <f>L36*M36</f>
        <v>0</v>
      </c>
    </row>
    <row r="37" spans="1:14" ht="18" customHeight="1">
      <c r="A37" s="103" t="s">
        <v>1272</v>
      </c>
      <c r="B37" s="103" t="s">
        <v>2934</v>
      </c>
      <c r="C37" s="104" t="s">
        <v>22</v>
      </c>
      <c r="D37" s="378"/>
      <c r="E37" s="378"/>
      <c r="F37" s="381">
        <f>D37*E37</f>
        <v>0</v>
      </c>
      <c r="G37" s="105"/>
      <c r="I37" s="103" t="s">
        <v>895</v>
      </c>
      <c r="J37" s="103" t="s">
        <v>1264</v>
      </c>
      <c r="K37" s="104" t="s">
        <v>22</v>
      </c>
      <c r="L37" s="384"/>
      <c r="M37" s="384"/>
      <c r="N37" s="382">
        <f>L37*M37</f>
        <v>0</v>
      </c>
    </row>
    <row r="38" spans="1:14" ht="17.25" customHeight="1">
      <c r="A38" s="103" t="s">
        <v>889</v>
      </c>
      <c r="B38" s="103" t="s">
        <v>1273</v>
      </c>
      <c r="C38" s="104"/>
      <c r="D38" s="378"/>
      <c r="E38" s="378"/>
      <c r="F38" s="381">
        <f>SUM(F39:F41)</f>
        <v>0</v>
      </c>
      <c r="G38" s="105"/>
      <c r="I38" s="103" t="s">
        <v>1274</v>
      </c>
      <c r="J38" s="103" t="s">
        <v>2932</v>
      </c>
      <c r="K38" s="104" t="s">
        <v>943</v>
      </c>
      <c r="L38" s="384"/>
      <c r="M38" s="384"/>
      <c r="N38" s="382">
        <f>L38*M38</f>
        <v>0</v>
      </c>
    </row>
    <row r="39" spans="1:14" ht="16.5" customHeight="1">
      <c r="A39" s="103" t="s">
        <v>1275</v>
      </c>
      <c r="B39" s="103" t="s">
        <v>2935</v>
      </c>
      <c r="C39" s="104" t="s">
        <v>943</v>
      </c>
      <c r="D39" s="378"/>
      <c r="E39" s="378"/>
      <c r="F39" s="381">
        <f>D39*E39</f>
        <v>0</v>
      </c>
      <c r="G39" s="105"/>
      <c r="I39" s="103" t="s">
        <v>1276</v>
      </c>
      <c r="J39" s="103" t="s">
        <v>2933</v>
      </c>
      <c r="K39" s="104" t="s">
        <v>875</v>
      </c>
      <c r="L39" s="384"/>
      <c r="M39" s="384"/>
      <c r="N39" s="382">
        <f>L39*M39</f>
        <v>0</v>
      </c>
    </row>
    <row r="40" spans="1:14" ht="21" customHeight="1">
      <c r="A40" s="103" t="s">
        <v>1277</v>
      </c>
      <c r="B40" s="103" t="s">
        <v>2936</v>
      </c>
      <c r="C40" s="104" t="s">
        <v>22</v>
      </c>
      <c r="D40" s="378"/>
      <c r="E40" s="378"/>
      <c r="F40" s="381">
        <f>D40*E40</f>
        <v>0</v>
      </c>
      <c r="G40" s="105"/>
      <c r="I40" s="103" t="s">
        <v>897</v>
      </c>
      <c r="J40" s="103" t="s">
        <v>1270</v>
      </c>
      <c r="K40" s="104"/>
      <c r="L40" s="384"/>
      <c r="M40" s="384"/>
      <c r="N40" s="382">
        <f>SUM(N41,N43)</f>
        <v>0</v>
      </c>
    </row>
    <row r="41" spans="1:14" ht="23.25" customHeight="1">
      <c r="A41" s="103" t="s">
        <v>1278</v>
      </c>
      <c r="B41" s="103" t="s">
        <v>2937</v>
      </c>
      <c r="C41" s="104" t="s">
        <v>943</v>
      </c>
      <c r="D41" s="378"/>
      <c r="E41" s="378"/>
      <c r="F41" s="381">
        <f>D41*E41</f>
        <v>0</v>
      </c>
      <c r="G41" s="105"/>
      <c r="I41" s="103" t="s">
        <v>898</v>
      </c>
      <c r="J41" s="103" t="s">
        <v>1271</v>
      </c>
      <c r="K41" s="104"/>
      <c r="L41" s="384"/>
      <c r="M41" s="384"/>
      <c r="N41" s="382">
        <f>N42</f>
        <v>0</v>
      </c>
    </row>
    <row r="42" spans="1:14" ht="18" customHeight="1">
      <c r="A42" s="103" t="s">
        <v>890</v>
      </c>
      <c r="B42" s="103" t="s">
        <v>1279</v>
      </c>
      <c r="C42" s="104"/>
      <c r="D42" s="378"/>
      <c r="E42" s="378"/>
      <c r="F42" s="381">
        <f>SUM(F43:F46)</f>
        <v>0</v>
      </c>
      <c r="G42" s="105"/>
      <c r="I42" s="103" t="s">
        <v>1280</v>
      </c>
      <c r="J42" s="103" t="s">
        <v>2934</v>
      </c>
      <c r="K42" s="104" t="s">
        <v>22</v>
      </c>
      <c r="L42" s="384"/>
      <c r="M42" s="384"/>
      <c r="N42" s="382">
        <f>L42*M42</f>
        <v>0</v>
      </c>
    </row>
    <row r="43" spans="1:14" ht="21.75" customHeight="1">
      <c r="A43" s="103" t="s">
        <v>892</v>
      </c>
      <c r="B43" s="103" t="s">
        <v>1281</v>
      </c>
      <c r="C43" s="104" t="s">
        <v>943</v>
      </c>
      <c r="D43" s="378"/>
      <c r="E43" s="378"/>
      <c r="F43" s="381">
        <f>D43*E43</f>
        <v>0</v>
      </c>
      <c r="G43" s="105"/>
      <c r="I43" s="103" t="s">
        <v>900</v>
      </c>
      <c r="J43" s="103" t="s">
        <v>1273</v>
      </c>
      <c r="K43" s="104"/>
      <c r="L43" s="384"/>
      <c r="M43" s="384"/>
      <c r="N43" s="382">
        <f>SUM(N44:N46)</f>
        <v>0</v>
      </c>
    </row>
    <row r="44" spans="1:14" ht="19.5" customHeight="1">
      <c r="A44" s="103" t="s">
        <v>895</v>
      </c>
      <c r="B44" s="103" t="s">
        <v>1282</v>
      </c>
      <c r="C44" s="104" t="s">
        <v>22</v>
      </c>
      <c r="D44" s="378"/>
      <c r="E44" s="378"/>
      <c r="F44" s="381">
        <f>D44*E44</f>
        <v>0</v>
      </c>
      <c r="G44" s="105"/>
      <c r="I44" s="103" t="s">
        <v>1283</v>
      </c>
      <c r="J44" s="103" t="s">
        <v>2935</v>
      </c>
      <c r="K44" s="104" t="s">
        <v>943</v>
      </c>
      <c r="L44" s="384"/>
      <c r="M44" s="384"/>
      <c r="N44" s="382">
        <f>L44*M44</f>
        <v>0</v>
      </c>
    </row>
    <row r="45" spans="1:14" ht="24" customHeight="1">
      <c r="A45" s="103" t="s">
        <v>1274</v>
      </c>
      <c r="B45" s="103" t="s">
        <v>2938</v>
      </c>
      <c r="C45" s="104"/>
      <c r="D45" s="378">
        <v>0</v>
      </c>
      <c r="E45" s="378">
        <v>0</v>
      </c>
      <c r="F45" s="381">
        <f>D45*E45</f>
        <v>0</v>
      </c>
      <c r="G45" s="105"/>
      <c r="I45" s="103" t="s">
        <v>1285</v>
      </c>
      <c r="J45" s="103" t="s">
        <v>2936</v>
      </c>
      <c r="K45" s="104" t="s">
        <v>22</v>
      </c>
      <c r="L45" s="384"/>
      <c r="M45" s="384"/>
      <c r="N45" s="382">
        <f>L45*M45</f>
        <v>0</v>
      </c>
    </row>
    <row r="46" spans="1:14">
      <c r="A46" s="103" t="s">
        <v>1286</v>
      </c>
      <c r="B46" s="103" t="s">
        <v>1287</v>
      </c>
      <c r="C46" s="104"/>
      <c r="D46" s="378">
        <v>0</v>
      </c>
      <c r="E46" s="378">
        <v>0</v>
      </c>
      <c r="F46" s="381">
        <f>D46*E46</f>
        <v>0</v>
      </c>
      <c r="G46" s="105"/>
      <c r="I46" s="103" t="s">
        <v>1288</v>
      </c>
      <c r="J46" s="103" t="s">
        <v>2937</v>
      </c>
      <c r="K46" s="104" t="s">
        <v>943</v>
      </c>
      <c r="L46" s="384"/>
      <c r="M46" s="384"/>
      <c r="N46" s="382">
        <f>L46*M46</f>
        <v>0</v>
      </c>
    </row>
    <row r="47" spans="1:14" ht="18" customHeight="1">
      <c r="A47" s="103" t="s">
        <v>897</v>
      </c>
      <c r="B47" s="103" t="s">
        <v>2939</v>
      </c>
      <c r="C47" s="104" t="s">
        <v>875</v>
      </c>
      <c r="D47" s="378"/>
      <c r="E47" s="378"/>
      <c r="F47" s="381">
        <f>D47*E47</f>
        <v>0</v>
      </c>
      <c r="G47" s="105"/>
      <c r="I47" s="103" t="s">
        <v>902</v>
      </c>
      <c r="J47" s="103" t="s">
        <v>1279</v>
      </c>
      <c r="K47" s="104"/>
      <c r="L47" s="384"/>
      <c r="M47" s="384"/>
      <c r="N47" s="382">
        <f>SUM(N48:N51)</f>
        <v>0</v>
      </c>
    </row>
    <row r="48" spans="1:14">
      <c r="A48" s="103" t="s">
        <v>902</v>
      </c>
      <c r="B48" s="103" t="s">
        <v>1289</v>
      </c>
      <c r="C48" s="104"/>
      <c r="D48" s="378"/>
      <c r="E48" s="378"/>
      <c r="F48" s="381">
        <f>SUM(F49:F50)</f>
        <v>0</v>
      </c>
      <c r="G48" s="105"/>
      <c r="I48" s="103" t="s">
        <v>903</v>
      </c>
      <c r="J48" s="103" t="s">
        <v>1281</v>
      </c>
      <c r="K48" s="104" t="s">
        <v>943</v>
      </c>
      <c r="L48" s="384"/>
      <c r="M48" s="384"/>
      <c r="N48" s="382">
        <f>L48*M48</f>
        <v>0</v>
      </c>
    </row>
    <row r="49" spans="1:14" ht="24.75" customHeight="1">
      <c r="A49" s="103" t="s">
        <v>903</v>
      </c>
      <c r="B49" s="103" t="s">
        <v>1290</v>
      </c>
      <c r="C49" s="104" t="s">
        <v>22</v>
      </c>
      <c r="D49" s="378"/>
      <c r="E49" s="378"/>
      <c r="F49" s="381">
        <f>D49*E49</f>
        <v>0</v>
      </c>
      <c r="G49" s="105"/>
      <c r="I49" s="103" t="s">
        <v>1291</v>
      </c>
      <c r="J49" s="103" t="s">
        <v>1282</v>
      </c>
      <c r="K49" s="104" t="s">
        <v>22</v>
      </c>
      <c r="L49" s="384"/>
      <c r="M49" s="384"/>
      <c r="N49" s="382">
        <f>L49*M49</f>
        <v>0</v>
      </c>
    </row>
    <row r="50" spans="1:14" ht="23.25" customHeight="1">
      <c r="A50" s="103" t="s">
        <v>1291</v>
      </c>
      <c r="B50" s="103" t="s">
        <v>1292</v>
      </c>
      <c r="C50" s="104" t="s">
        <v>875</v>
      </c>
      <c r="D50" s="378"/>
      <c r="E50" s="378"/>
      <c r="F50" s="381">
        <f>D50*E50</f>
        <v>0</v>
      </c>
      <c r="G50" s="105"/>
      <c r="I50" s="103" t="s">
        <v>1293</v>
      </c>
      <c r="J50" s="103" t="s">
        <v>1284</v>
      </c>
      <c r="K50" s="104"/>
      <c r="L50" s="384"/>
      <c r="M50" s="384"/>
      <c r="N50" s="382">
        <f>L50*M50</f>
        <v>0</v>
      </c>
    </row>
    <row r="51" spans="1:14" ht="12.75" customHeight="1">
      <c r="A51" s="103" t="s">
        <v>905</v>
      </c>
      <c r="B51" s="103" t="s">
        <v>2940</v>
      </c>
      <c r="C51" s="104"/>
      <c r="D51" s="378"/>
      <c r="E51" s="378"/>
      <c r="F51" s="381">
        <f>SUM(F52:F53)</f>
        <v>0</v>
      </c>
      <c r="G51" s="105"/>
      <c r="I51" s="103" t="s">
        <v>1294</v>
      </c>
      <c r="J51" s="103" t="s">
        <v>1287</v>
      </c>
      <c r="K51" s="104"/>
      <c r="L51" s="384"/>
      <c r="M51" s="384"/>
      <c r="N51" s="382">
        <f>L51*M51</f>
        <v>0</v>
      </c>
    </row>
    <row r="52" spans="1:14" ht="13.5" customHeight="1">
      <c r="A52" s="103" t="s">
        <v>906</v>
      </c>
      <c r="B52" s="103" t="s">
        <v>2941</v>
      </c>
      <c r="C52" s="104" t="s">
        <v>875</v>
      </c>
      <c r="D52" s="378"/>
      <c r="E52" s="378"/>
      <c r="F52" s="381"/>
      <c r="G52" s="105"/>
      <c r="I52" s="103" t="s">
        <v>905</v>
      </c>
      <c r="J52" s="103" t="s">
        <v>2939</v>
      </c>
      <c r="K52" s="104" t="s">
        <v>875</v>
      </c>
      <c r="L52" s="384"/>
      <c r="M52" s="384"/>
      <c r="N52" s="382">
        <f>L52*M52</f>
        <v>0</v>
      </c>
    </row>
    <row r="53" spans="1:14" ht="15.75" customHeight="1">
      <c r="A53" s="103" t="s">
        <v>907</v>
      </c>
      <c r="B53" s="103" t="s">
        <v>2942</v>
      </c>
      <c r="C53" s="104" t="s">
        <v>875</v>
      </c>
      <c r="D53" s="378"/>
      <c r="E53" s="378"/>
      <c r="F53" s="381"/>
      <c r="G53" s="105"/>
      <c r="I53" s="103" t="s">
        <v>915</v>
      </c>
      <c r="J53" s="103" t="s">
        <v>1289</v>
      </c>
      <c r="K53" s="104"/>
      <c r="L53" s="384"/>
      <c r="M53" s="384"/>
      <c r="N53" s="382">
        <f>SUM(N54:N55)</f>
        <v>0</v>
      </c>
    </row>
    <row r="54" spans="1:14">
      <c r="A54" s="103" t="s">
        <v>915</v>
      </c>
      <c r="B54" s="103" t="s">
        <v>1295</v>
      </c>
      <c r="C54" s="104"/>
      <c r="D54" s="378"/>
      <c r="E54" s="378"/>
      <c r="F54" s="381">
        <f>SUM(F55:F56)</f>
        <v>0</v>
      </c>
      <c r="G54" s="105"/>
      <c r="I54" s="103" t="s">
        <v>917</v>
      </c>
      <c r="J54" s="103" t="s">
        <v>1290</v>
      </c>
      <c r="K54" s="104" t="s">
        <v>22</v>
      </c>
      <c r="L54" s="384"/>
      <c r="M54" s="384"/>
      <c r="N54" s="382">
        <f>L54*M54</f>
        <v>0</v>
      </c>
    </row>
    <row r="55" spans="1:14" ht="14.25" customHeight="1">
      <c r="A55" s="103" t="s">
        <v>917</v>
      </c>
      <c r="B55" s="103" t="s">
        <v>3288</v>
      </c>
      <c r="C55" s="104" t="s">
        <v>22</v>
      </c>
      <c r="D55" s="378"/>
      <c r="E55" s="378"/>
      <c r="F55" s="381">
        <f>D55*E55</f>
        <v>0</v>
      </c>
      <c r="G55" s="105"/>
      <c r="I55" s="103" t="s">
        <v>1296</v>
      </c>
      <c r="J55" s="103" t="s">
        <v>1292</v>
      </c>
      <c r="K55" s="104" t="s">
        <v>875</v>
      </c>
      <c r="L55" s="384"/>
      <c r="M55" s="384"/>
      <c r="N55" s="382">
        <f>L55*M55</f>
        <v>0</v>
      </c>
    </row>
    <row r="56" spans="1:14" ht="12.75" customHeight="1">
      <c r="A56" s="103" t="s">
        <v>1296</v>
      </c>
      <c r="B56" s="103" t="s">
        <v>3030</v>
      </c>
      <c r="C56" s="104" t="s">
        <v>22</v>
      </c>
      <c r="D56" s="378"/>
      <c r="E56" s="378"/>
      <c r="F56" s="381">
        <f>D56*E56</f>
        <v>0</v>
      </c>
      <c r="G56" s="105"/>
      <c r="I56" s="103" t="s">
        <v>919</v>
      </c>
      <c r="J56" s="103" t="s">
        <v>2940</v>
      </c>
      <c r="K56" s="104"/>
      <c r="L56" s="384"/>
      <c r="M56" s="384"/>
      <c r="N56" s="382">
        <f>SUM(N57:N58)</f>
        <v>0</v>
      </c>
    </row>
    <row r="57" spans="1:14" ht="14.25" customHeight="1">
      <c r="A57" s="103" t="s">
        <v>919</v>
      </c>
      <c r="B57" s="103" t="s">
        <v>2943</v>
      </c>
      <c r="C57" s="104"/>
      <c r="D57" s="378"/>
      <c r="E57" s="378"/>
      <c r="F57" s="381">
        <f>SUM(F58,F61,F66,F68)</f>
        <v>0</v>
      </c>
      <c r="G57" s="105"/>
      <c r="I57" s="103" t="s">
        <v>921</v>
      </c>
      <c r="J57" s="103" t="s">
        <v>2941</v>
      </c>
      <c r="K57" s="104" t="s">
        <v>875</v>
      </c>
      <c r="L57" s="384"/>
      <c r="M57" s="384"/>
      <c r="N57" s="382">
        <f>L57*M57</f>
        <v>0</v>
      </c>
    </row>
    <row r="58" spans="1:14" ht="12" customHeight="1">
      <c r="A58" s="103" t="s">
        <v>921</v>
      </c>
      <c r="B58" s="103" t="s">
        <v>1297</v>
      </c>
      <c r="C58" s="104"/>
      <c r="D58" s="378"/>
      <c r="E58" s="378"/>
      <c r="F58" s="381">
        <f>SUM(F59,F60)</f>
        <v>0</v>
      </c>
      <c r="G58" s="105"/>
      <c r="I58" s="103" t="s">
        <v>922</v>
      </c>
      <c r="J58" s="103" t="s">
        <v>2942</v>
      </c>
      <c r="K58" s="104" t="s">
        <v>875</v>
      </c>
      <c r="L58" s="384"/>
      <c r="M58" s="384"/>
      <c r="N58" s="382">
        <f>L58*M58</f>
        <v>0</v>
      </c>
    </row>
    <row r="59" spans="1:14" ht="16.5" customHeight="1">
      <c r="A59" s="103" t="s">
        <v>1298</v>
      </c>
      <c r="B59" s="103" t="s">
        <v>1299</v>
      </c>
      <c r="C59" s="104" t="s">
        <v>875</v>
      </c>
      <c r="D59" s="378"/>
      <c r="E59" s="378"/>
      <c r="F59" s="381">
        <f>D59*E59</f>
        <v>0</v>
      </c>
      <c r="G59" s="105"/>
      <c r="I59" s="103" t="s">
        <v>926</v>
      </c>
      <c r="J59" s="103" t="s">
        <v>1295</v>
      </c>
      <c r="K59" s="104"/>
      <c r="L59" s="384"/>
      <c r="M59" s="384"/>
      <c r="N59" s="382">
        <f>SUM(N60:N61)</f>
        <v>0</v>
      </c>
    </row>
    <row r="60" spans="1:14" ht="14.25" customHeight="1">
      <c r="A60" s="103" t="s">
        <v>1300</v>
      </c>
      <c r="B60" s="103" t="s">
        <v>2944</v>
      </c>
      <c r="C60" s="104" t="s">
        <v>875</v>
      </c>
      <c r="D60" s="378"/>
      <c r="E60" s="378"/>
      <c r="F60" s="381">
        <f>D60*E60</f>
        <v>0</v>
      </c>
      <c r="G60" s="105"/>
      <c r="I60" s="103" t="s">
        <v>927</v>
      </c>
      <c r="J60" s="103" t="s">
        <v>3288</v>
      </c>
      <c r="K60" s="104" t="s">
        <v>22</v>
      </c>
      <c r="L60" s="384"/>
      <c r="M60" s="384"/>
      <c r="N60" s="382">
        <f>L60*M60</f>
        <v>0</v>
      </c>
    </row>
    <row r="61" spans="1:14" ht="12" customHeight="1">
      <c r="A61" s="103" t="s">
        <v>922</v>
      </c>
      <c r="B61" s="103" t="s">
        <v>1301</v>
      </c>
      <c r="C61" s="104"/>
      <c r="D61" s="378"/>
      <c r="E61" s="378"/>
      <c r="F61" s="381">
        <f>SUM(F62,F63,F64,F65)</f>
        <v>0</v>
      </c>
      <c r="G61" s="105"/>
      <c r="I61" s="103" t="s">
        <v>928</v>
      </c>
      <c r="J61" s="103" t="s">
        <v>3030</v>
      </c>
      <c r="K61" s="104" t="s">
        <v>22</v>
      </c>
      <c r="L61" s="384"/>
      <c r="M61" s="384"/>
      <c r="N61" s="382">
        <f>L61*M61</f>
        <v>0</v>
      </c>
    </row>
    <row r="62" spans="1:14" ht="34.5" customHeight="1">
      <c r="A62" s="103" t="s">
        <v>1302</v>
      </c>
      <c r="B62" s="103" t="s">
        <v>2945</v>
      </c>
      <c r="C62" s="104" t="s">
        <v>875</v>
      </c>
      <c r="D62" s="378"/>
      <c r="E62" s="378"/>
      <c r="F62" s="381">
        <f>D62*E62</f>
        <v>0</v>
      </c>
      <c r="G62" s="105"/>
      <c r="I62" s="103" t="s">
        <v>1303</v>
      </c>
      <c r="J62" s="103" t="s">
        <v>2943</v>
      </c>
      <c r="K62" s="104"/>
      <c r="L62" s="384"/>
      <c r="M62" s="384"/>
      <c r="N62" s="382">
        <f>SUM(N63,N66,N71,N73)</f>
        <v>0</v>
      </c>
    </row>
    <row r="63" spans="1:14" ht="15" customHeight="1">
      <c r="A63" s="103" t="s">
        <v>1304</v>
      </c>
      <c r="B63" s="103" t="s">
        <v>2946</v>
      </c>
      <c r="C63" s="104" t="s">
        <v>875</v>
      </c>
      <c r="D63" s="378"/>
      <c r="E63" s="378"/>
      <c r="F63" s="381">
        <f>D63*E63</f>
        <v>0</v>
      </c>
      <c r="G63" s="105"/>
      <c r="I63" s="103" t="s">
        <v>1305</v>
      </c>
      <c r="J63" s="103" t="s">
        <v>1297</v>
      </c>
      <c r="K63" s="104"/>
      <c r="L63" s="384"/>
      <c r="M63" s="384"/>
      <c r="N63" s="382">
        <f>SUM(N64,N65)</f>
        <v>0</v>
      </c>
    </row>
    <row r="64" spans="1:14" ht="18" customHeight="1">
      <c r="A64" s="103" t="s">
        <v>1306</v>
      </c>
      <c r="B64" s="103" t="s">
        <v>1307</v>
      </c>
      <c r="C64" s="104" t="s">
        <v>875</v>
      </c>
      <c r="D64" s="378"/>
      <c r="E64" s="378"/>
      <c r="F64" s="381">
        <f>D64*E64</f>
        <v>0</v>
      </c>
      <c r="G64" s="105"/>
      <c r="I64" s="103" t="s">
        <v>1308</v>
      </c>
      <c r="J64" s="103" t="s">
        <v>1299</v>
      </c>
      <c r="K64" s="104" t="s">
        <v>875</v>
      </c>
      <c r="L64" s="384"/>
      <c r="M64" s="384"/>
      <c r="N64" s="382">
        <f>L64*M64</f>
        <v>0</v>
      </c>
    </row>
    <row r="65" spans="1:14" ht="15" customHeight="1">
      <c r="A65" s="103" t="s">
        <v>1309</v>
      </c>
      <c r="B65" s="103" t="s">
        <v>2947</v>
      </c>
      <c r="C65" s="104" t="s">
        <v>875</v>
      </c>
      <c r="D65" s="378"/>
      <c r="E65" s="378"/>
      <c r="F65" s="381">
        <f>D65*E65</f>
        <v>0</v>
      </c>
      <c r="G65" s="105"/>
      <c r="I65" s="103" t="s">
        <v>1310</v>
      </c>
      <c r="J65" s="103" t="s">
        <v>2944</v>
      </c>
      <c r="K65" s="104" t="s">
        <v>875</v>
      </c>
      <c r="L65" s="384"/>
      <c r="M65" s="384"/>
      <c r="N65" s="382">
        <f>L65*M65</f>
        <v>0</v>
      </c>
    </row>
    <row r="66" spans="1:14" ht="13.5" customHeight="1">
      <c r="A66" s="103" t="s">
        <v>924</v>
      </c>
      <c r="B66" s="103" t="s">
        <v>2948</v>
      </c>
      <c r="C66" s="104"/>
      <c r="D66" s="378"/>
      <c r="E66" s="378"/>
      <c r="F66" s="381">
        <f>F67</f>
        <v>0</v>
      </c>
      <c r="G66" s="105"/>
      <c r="I66" s="103" t="s">
        <v>1311</v>
      </c>
      <c r="J66" s="103" t="s">
        <v>1301</v>
      </c>
      <c r="K66" s="104"/>
      <c r="L66" s="384"/>
      <c r="M66" s="384"/>
      <c r="N66" s="382">
        <f>SUM(N67,N68,N69,N70)</f>
        <v>0</v>
      </c>
    </row>
    <row r="67" spans="1:14" ht="21.75" customHeight="1">
      <c r="A67" s="103" t="s">
        <v>1312</v>
      </c>
      <c r="B67" s="103" t="s">
        <v>2949</v>
      </c>
      <c r="C67" s="104" t="s">
        <v>875</v>
      </c>
      <c r="D67" s="378"/>
      <c r="E67" s="378"/>
      <c r="F67" s="381">
        <f>D67*E67</f>
        <v>0</v>
      </c>
      <c r="G67" s="105"/>
      <c r="I67" s="103" t="s">
        <v>1313</v>
      </c>
      <c r="J67" s="103" t="s">
        <v>2978</v>
      </c>
      <c r="K67" s="104" t="s">
        <v>875</v>
      </c>
      <c r="L67" s="384"/>
      <c r="M67" s="384"/>
      <c r="N67" s="382">
        <f>L67*M67</f>
        <v>0</v>
      </c>
    </row>
    <row r="68" spans="1:14">
      <c r="A68" s="103" t="s">
        <v>1314</v>
      </c>
      <c r="B68" s="103" t="s">
        <v>2950</v>
      </c>
      <c r="C68" s="104"/>
      <c r="D68" s="378"/>
      <c r="E68" s="378"/>
      <c r="F68" s="381">
        <f>F69</f>
        <v>0</v>
      </c>
      <c r="G68" s="105"/>
      <c r="I68" s="103" t="s">
        <v>1315</v>
      </c>
      <c r="J68" s="103" t="s">
        <v>2946</v>
      </c>
      <c r="K68" s="104" t="s">
        <v>875</v>
      </c>
      <c r="L68" s="384"/>
      <c r="M68" s="384"/>
      <c r="N68" s="382">
        <f>L68*M68</f>
        <v>0</v>
      </c>
    </row>
    <row r="69" spans="1:14" ht="21.75" customHeight="1">
      <c r="A69" s="103" t="s">
        <v>1316</v>
      </c>
      <c r="B69" s="103" t="s">
        <v>2951</v>
      </c>
      <c r="C69" s="104" t="s">
        <v>875</v>
      </c>
      <c r="D69" s="378"/>
      <c r="E69" s="378"/>
      <c r="F69" s="381">
        <f>D69*E69</f>
        <v>0</v>
      </c>
      <c r="G69" s="105"/>
      <c r="I69" s="103" t="s">
        <v>1317</v>
      </c>
      <c r="J69" s="103" t="s">
        <v>1307</v>
      </c>
      <c r="K69" s="104" t="s">
        <v>875</v>
      </c>
      <c r="L69" s="384"/>
      <c r="M69" s="384"/>
      <c r="N69" s="382">
        <f>L69*M69</f>
        <v>0</v>
      </c>
    </row>
    <row r="70" spans="1:14">
      <c r="A70" s="103" t="s">
        <v>926</v>
      </c>
      <c r="B70" s="103" t="s">
        <v>1318</v>
      </c>
      <c r="C70" s="104"/>
      <c r="D70" s="378"/>
      <c r="E70" s="378"/>
      <c r="F70" s="381">
        <f>SUM(F71,F74,F78,F80,F84)</f>
        <v>0</v>
      </c>
      <c r="G70" s="105"/>
      <c r="I70" s="103" t="s">
        <v>1319</v>
      </c>
      <c r="J70" s="103" t="s">
        <v>2947</v>
      </c>
      <c r="K70" s="104" t="s">
        <v>875</v>
      </c>
      <c r="L70" s="384"/>
      <c r="M70" s="384"/>
      <c r="N70" s="382">
        <f>L70*M70</f>
        <v>0</v>
      </c>
    </row>
    <row r="71" spans="1:14" ht="15" customHeight="1">
      <c r="A71" s="103" t="s">
        <v>927</v>
      </c>
      <c r="B71" s="103" t="s">
        <v>1271</v>
      </c>
      <c r="C71" s="104"/>
      <c r="D71" s="378"/>
      <c r="E71" s="378"/>
      <c r="F71" s="381">
        <f>SUM(F72:F73)</f>
        <v>0</v>
      </c>
      <c r="G71" s="105"/>
      <c r="I71" s="103" t="s">
        <v>1320</v>
      </c>
      <c r="J71" s="103" t="s">
        <v>2979</v>
      </c>
      <c r="K71" s="104"/>
      <c r="L71" s="384"/>
      <c r="M71" s="384"/>
      <c r="N71" s="382">
        <f>N72</f>
        <v>0</v>
      </c>
    </row>
    <row r="72" spans="1:14" ht="12.75" customHeight="1">
      <c r="A72" s="103" t="s">
        <v>1321</v>
      </c>
      <c r="B72" s="103" t="s">
        <v>1299</v>
      </c>
      <c r="C72" s="104" t="s">
        <v>22</v>
      </c>
      <c r="D72" s="378"/>
      <c r="E72" s="378"/>
      <c r="F72" s="381">
        <f>D72*E72</f>
        <v>0</v>
      </c>
      <c r="G72" s="105"/>
      <c r="I72" s="103" t="s">
        <v>1322</v>
      </c>
      <c r="J72" s="103" t="s">
        <v>2980</v>
      </c>
      <c r="K72" s="104" t="s">
        <v>875</v>
      </c>
      <c r="L72" s="384"/>
      <c r="M72" s="384"/>
      <c r="N72" s="382">
        <f>L72*M72</f>
        <v>0</v>
      </c>
    </row>
    <row r="73" spans="1:14" ht="15.75" customHeight="1">
      <c r="A73" s="103" t="s">
        <v>1323</v>
      </c>
      <c r="B73" s="103" t="s">
        <v>2934</v>
      </c>
      <c r="C73" s="104" t="s">
        <v>22</v>
      </c>
      <c r="D73" s="378"/>
      <c r="E73" s="378"/>
      <c r="F73" s="381">
        <f>D73*E73</f>
        <v>0</v>
      </c>
      <c r="G73" s="105"/>
      <c r="I73" s="103" t="s">
        <v>1324</v>
      </c>
      <c r="J73" s="103" t="s">
        <v>2950</v>
      </c>
      <c r="K73" s="104"/>
      <c r="L73" s="384"/>
      <c r="M73" s="384"/>
      <c r="N73" s="382">
        <f>N74</f>
        <v>0</v>
      </c>
    </row>
    <row r="74" spans="1:14" ht="15.75" customHeight="1">
      <c r="A74" s="103" t="s">
        <v>928</v>
      </c>
      <c r="B74" s="103" t="s">
        <v>1273</v>
      </c>
      <c r="C74" s="104"/>
      <c r="D74" s="378"/>
      <c r="E74" s="378"/>
      <c r="F74" s="381">
        <f>SUM(F75:F77)</f>
        <v>0</v>
      </c>
      <c r="G74" s="105"/>
      <c r="I74" s="103" t="s">
        <v>1325</v>
      </c>
      <c r="J74" s="103" t="s">
        <v>2951</v>
      </c>
      <c r="K74" s="104" t="s">
        <v>875</v>
      </c>
      <c r="L74" s="384"/>
      <c r="M74" s="384"/>
      <c r="N74" s="382">
        <f>L74*M74</f>
        <v>0</v>
      </c>
    </row>
    <row r="75" spans="1:14" ht="12" customHeight="1">
      <c r="A75" s="103" t="s">
        <v>1326</v>
      </c>
      <c r="B75" s="103" t="s">
        <v>2952</v>
      </c>
      <c r="C75" s="104" t="s">
        <v>943</v>
      </c>
      <c r="D75" s="378"/>
      <c r="E75" s="378"/>
      <c r="F75" s="381">
        <f>D75*E75</f>
        <v>0</v>
      </c>
      <c r="G75" s="105"/>
      <c r="I75" s="103" t="s">
        <v>1327</v>
      </c>
      <c r="J75" s="103" t="s">
        <v>1318</v>
      </c>
      <c r="K75" s="104"/>
      <c r="L75" s="384"/>
      <c r="M75" s="384"/>
      <c r="N75" s="382">
        <f>SUM(N76,N79,N83,N85,N89)</f>
        <v>0</v>
      </c>
    </row>
    <row r="76" spans="1:14" ht="24.75" customHeight="1">
      <c r="A76" s="103" t="s">
        <v>1328</v>
      </c>
      <c r="B76" s="103" t="s">
        <v>2936</v>
      </c>
      <c r="C76" s="104" t="s">
        <v>22</v>
      </c>
      <c r="D76" s="378"/>
      <c r="E76" s="378"/>
      <c r="F76" s="381">
        <f>D76*E76</f>
        <v>0</v>
      </c>
      <c r="G76" s="105"/>
      <c r="I76" s="103" t="s">
        <v>1329</v>
      </c>
      <c r="J76" s="103" t="s">
        <v>1271</v>
      </c>
      <c r="K76" s="104"/>
      <c r="L76" s="384"/>
      <c r="M76" s="384"/>
      <c r="N76" s="382">
        <f>SUM(N77:N78)</f>
        <v>0</v>
      </c>
    </row>
    <row r="77" spans="1:14" ht="25.5" customHeight="1">
      <c r="A77" s="103" t="s">
        <v>1330</v>
      </c>
      <c r="B77" s="103" t="s">
        <v>2937</v>
      </c>
      <c r="C77" s="104" t="s">
        <v>943</v>
      </c>
      <c r="D77" s="378"/>
      <c r="E77" s="378"/>
      <c r="F77" s="381">
        <f>D77*E77</f>
        <v>0</v>
      </c>
      <c r="G77" s="105"/>
      <c r="I77" s="103" t="s">
        <v>1331</v>
      </c>
      <c r="J77" s="103" t="s">
        <v>1299</v>
      </c>
      <c r="K77" s="104" t="s">
        <v>22</v>
      </c>
      <c r="L77" s="384"/>
      <c r="M77" s="384"/>
      <c r="N77" s="382">
        <f>L77*M77</f>
        <v>0</v>
      </c>
    </row>
    <row r="78" spans="1:14" ht="24.75" customHeight="1">
      <c r="A78" s="103" t="s">
        <v>929</v>
      </c>
      <c r="B78" s="103" t="s">
        <v>1332</v>
      </c>
      <c r="C78" s="104"/>
      <c r="D78" s="378"/>
      <c r="E78" s="378"/>
      <c r="F78" s="381">
        <f>F79</f>
        <v>0</v>
      </c>
      <c r="G78" s="105"/>
      <c r="I78" s="103" t="s">
        <v>1333</v>
      </c>
      <c r="J78" s="103" t="s">
        <v>2934</v>
      </c>
      <c r="K78" s="104" t="s">
        <v>22</v>
      </c>
      <c r="L78" s="384"/>
      <c r="M78" s="384"/>
      <c r="N78" s="382">
        <f>L78*M78</f>
        <v>0</v>
      </c>
    </row>
    <row r="79" spans="1:14" ht="19.5" customHeight="1">
      <c r="A79" s="103" t="s">
        <v>1334</v>
      </c>
      <c r="B79" s="103" t="s">
        <v>1335</v>
      </c>
      <c r="C79" s="104" t="s">
        <v>22</v>
      </c>
      <c r="D79" s="378"/>
      <c r="E79" s="378"/>
      <c r="F79" s="381">
        <f>D79*E79</f>
        <v>0</v>
      </c>
      <c r="G79" s="105"/>
      <c r="I79" s="103" t="s">
        <v>1336</v>
      </c>
      <c r="J79" s="103" t="s">
        <v>1273</v>
      </c>
      <c r="K79" s="104"/>
      <c r="L79" s="384"/>
      <c r="M79" s="384"/>
      <c r="N79" s="382">
        <f>SUM(N80:N82)</f>
        <v>0</v>
      </c>
    </row>
    <row r="80" spans="1:14">
      <c r="A80" s="103" t="s">
        <v>1337</v>
      </c>
      <c r="B80" s="103" t="s">
        <v>1338</v>
      </c>
      <c r="C80" s="104"/>
      <c r="D80" s="378"/>
      <c r="E80" s="378"/>
      <c r="F80" s="381">
        <f>SUM(F81:F83)</f>
        <v>0</v>
      </c>
      <c r="G80" s="105"/>
      <c r="I80" s="103" t="s">
        <v>1339</v>
      </c>
      <c r="J80" s="103" t="s">
        <v>2952</v>
      </c>
      <c r="K80" s="104" t="s">
        <v>943</v>
      </c>
      <c r="L80" s="384"/>
      <c r="M80" s="384"/>
      <c r="N80" s="382">
        <f>L80*M80</f>
        <v>0</v>
      </c>
    </row>
    <row r="81" spans="1:14" ht="20.25" customHeight="1">
      <c r="A81" s="103" t="s">
        <v>1340</v>
      </c>
      <c r="B81" s="103" t="s">
        <v>1341</v>
      </c>
      <c r="C81" s="104" t="s">
        <v>943</v>
      </c>
      <c r="D81" s="378"/>
      <c r="E81" s="378"/>
      <c r="F81" s="381">
        <f>D81*E81</f>
        <v>0</v>
      </c>
      <c r="G81" s="105"/>
      <c r="I81" s="103" t="s">
        <v>1342</v>
      </c>
      <c r="J81" s="103" t="s">
        <v>2936</v>
      </c>
      <c r="K81" s="104" t="s">
        <v>22</v>
      </c>
      <c r="L81" s="384"/>
      <c r="M81" s="384"/>
      <c r="N81" s="382">
        <f>L81*M81</f>
        <v>0</v>
      </c>
    </row>
    <row r="82" spans="1:14" ht="20.25" customHeight="1">
      <c r="A82" s="103" t="s">
        <v>1343</v>
      </c>
      <c r="B82" s="103" t="s">
        <v>1344</v>
      </c>
      <c r="C82" s="104" t="s">
        <v>22</v>
      </c>
      <c r="D82" s="378"/>
      <c r="E82" s="378"/>
      <c r="F82" s="381">
        <f>D82*E82</f>
        <v>0</v>
      </c>
      <c r="G82" s="105"/>
      <c r="I82" s="103" t="s">
        <v>1345</v>
      </c>
      <c r="J82" s="103" t="s">
        <v>2937</v>
      </c>
      <c r="K82" s="104" t="s">
        <v>943</v>
      </c>
      <c r="L82" s="384"/>
      <c r="M82" s="384"/>
      <c r="N82" s="382">
        <f>L82*M82</f>
        <v>0</v>
      </c>
    </row>
    <row r="83" spans="1:14" ht="18" customHeight="1">
      <c r="A83" s="103" t="s">
        <v>1346</v>
      </c>
      <c r="B83" s="103" t="s">
        <v>1347</v>
      </c>
      <c r="C83" s="104" t="s">
        <v>983</v>
      </c>
      <c r="D83" s="378"/>
      <c r="E83" s="378"/>
      <c r="F83" s="381">
        <f>D83*E83</f>
        <v>0</v>
      </c>
      <c r="G83" s="105"/>
      <c r="I83" s="103" t="s">
        <v>1348</v>
      </c>
      <c r="J83" s="103" t="s">
        <v>1332</v>
      </c>
      <c r="K83" s="104"/>
      <c r="L83" s="384"/>
      <c r="M83" s="384"/>
      <c r="N83" s="382">
        <f>N84</f>
        <v>0</v>
      </c>
    </row>
    <row r="84" spans="1:14">
      <c r="A84" s="103" t="s">
        <v>1349</v>
      </c>
      <c r="B84" s="103" t="s">
        <v>1284</v>
      </c>
      <c r="C84" s="104"/>
      <c r="D84" s="378"/>
      <c r="E84" s="378"/>
      <c r="F84" s="381">
        <f>F85</f>
        <v>0</v>
      </c>
      <c r="G84" s="105"/>
      <c r="I84" s="103" t="s">
        <v>1350</v>
      </c>
      <c r="J84" s="103" t="s">
        <v>1335</v>
      </c>
      <c r="K84" s="104" t="s">
        <v>22</v>
      </c>
      <c r="L84" s="384"/>
      <c r="M84" s="384"/>
      <c r="N84" s="382">
        <f>L84*M84</f>
        <v>0</v>
      </c>
    </row>
    <row r="85" spans="1:14" ht="19.5" customHeight="1">
      <c r="A85" s="103" t="s">
        <v>1351</v>
      </c>
      <c r="B85" s="103" t="s">
        <v>1352</v>
      </c>
      <c r="C85" s="104" t="s">
        <v>22</v>
      </c>
      <c r="D85" s="378"/>
      <c r="E85" s="378"/>
      <c r="F85" s="381">
        <f>D85*E85</f>
        <v>0</v>
      </c>
      <c r="G85" s="105"/>
      <c r="I85" s="103" t="s">
        <v>1353</v>
      </c>
      <c r="J85" s="103" t="s">
        <v>1338</v>
      </c>
      <c r="K85" s="104"/>
      <c r="L85" s="384"/>
      <c r="M85" s="384"/>
      <c r="N85" s="382">
        <f>SUM(N86:N88)</f>
        <v>0</v>
      </c>
    </row>
    <row r="86" spans="1:14" ht="17.25" customHeight="1">
      <c r="A86" s="103" t="s">
        <v>1303</v>
      </c>
      <c r="B86" s="103" t="s">
        <v>1354</v>
      </c>
      <c r="C86" s="104"/>
      <c r="D86" s="378"/>
      <c r="E86" s="378"/>
      <c r="F86" s="381">
        <f>SUM(F87,F90,F92,F95,F99,F104,F106,F108)</f>
        <v>0</v>
      </c>
      <c r="G86" s="105"/>
      <c r="I86" s="103" t="s">
        <v>1355</v>
      </c>
      <c r="J86" s="103" t="s">
        <v>1341</v>
      </c>
      <c r="K86" s="104" t="s">
        <v>943</v>
      </c>
      <c r="L86" s="384"/>
      <c r="M86" s="384"/>
      <c r="N86" s="382">
        <f>L86*M86</f>
        <v>0</v>
      </c>
    </row>
    <row r="87" spans="1:14" ht="17.25" customHeight="1">
      <c r="A87" s="103" t="s">
        <v>1305</v>
      </c>
      <c r="B87" s="103" t="s">
        <v>1271</v>
      </c>
      <c r="C87" s="104"/>
      <c r="D87" s="378"/>
      <c r="E87" s="378"/>
      <c r="F87" s="381">
        <f>SUM(F88,F89)</f>
        <v>0</v>
      </c>
      <c r="G87" s="105"/>
      <c r="I87" s="103" t="s">
        <v>1356</v>
      </c>
      <c r="J87" s="103" t="s">
        <v>1344</v>
      </c>
      <c r="K87" s="104" t="s">
        <v>22</v>
      </c>
      <c r="L87" s="384"/>
      <c r="M87" s="384"/>
      <c r="N87" s="382">
        <f>L87*M87</f>
        <v>0</v>
      </c>
    </row>
    <row r="88" spans="1:14" ht="15.75" customHeight="1">
      <c r="A88" s="103" t="s">
        <v>1308</v>
      </c>
      <c r="B88" s="103" t="s">
        <v>1299</v>
      </c>
      <c r="C88" s="104" t="s">
        <v>22</v>
      </c>
      <c r="D88" s="378"/>
      <c r="E88" s="378"/>
      <c r="F88" s="381">
        <f>D88*E88</f>
        <v>0</v>
      </c>
      <c r="G88" s="105"/>
      <c r="I88" s="103" t="s">
        <v>1357</v>
      </c>
      <c r="J88" s="103" t="s">
        <v>1347</v>
      </c>
      <c r="K88" s="104" t="s">
        <v>983</v>
      </c>
      <c r="L88" s="384"/>
      <c r="M88" s="384"/>
      <c r="N88" s="382">
        <f>L88*M88</f>
        <v>0</v>
      </c>
    </row>
    <row r="89" spans="1:14" ht="17.25" customHeight="1">
      <c r="A89" s="103" t="s">
        <v>1310</v>
      </c>
      <c r="B89" s="103" t="s">
        <v>2934</v>
      </c>
      <c r="C89" s="104" t="s">
        <v>22</v>
      </c>
      <c r="D89" s="378"/>
      <c r="E89" s="378"/>
      <c r="F89" s="381">
        <f>D89*E89</f>
        <v>0</v>
      </c>
      <c r="G89" s="105"/>
      <c r="I89" s="103" t="s">
        <v>1358</v>
      </c>
      <c r="J89" s="103" t="s">
        <v>1284</v>
      </c>
      <c r="K89" s="104"/>
      <c r="L89" s="384"/>
      <c r="M89" s="384"/>
      <c r="N89" s="382"/>
    </row>
    <row r="90" spans="1:14" ht="12" customHeight="1">
      <c r="A90" s="103" t="s">
        <v>1311</v>
      </c>
      <c r="B90" s="103" t="s">
        <v>1273</v>
      </c>
      <c r="C90" s="104"/>
      <c r="D90" s="378"/>
      <c r="E90" s="378"/>
      <c r="F90" s="381">
        <f>F91</f>
        <v>0</v>
      </c>
      <c r="G90" s="105"/>
      <c r="I90" s="103" t="s">
        <v>1359</v>
      </c>
      <c r="J90" s="103" t="s">
        <v>1352</v>
      </c>
      <c r="K90" s="104" t="s">
        <v>22</v>
      </c>
      <c r="L90" s="384"/>
      <c r="M90" s="384"/>
      <c r="N90" s="382">
        <f>L90*M90</f>
        <v>0</v>
      </c>
    </row>
    <row r="91" spans="1:14" ht="23.25" customHeight="1">
      <c r="A91" s="103" t="s">
        <v>1313</v>
      </c>
      <c r="B91" s="103" t="s">
        <v>2936</v>
      </c>
      <c r="C91" s="104" t="s">
        <v>22</v>
      </c>
      <c r="D91" s="378"/>
      <c r="E91" s="378"/>
      <c r="F91" s="381">
        <f>D91*E91</f>
        <v>0</v>
      </c>
      <c r="G91" s="105"/>
      <c r="I91" s="103" t="s">
        <v>1360</v>
      </c>
      <c r="J91" s="103" t="s">
        <v>1354</v>
      </c>
      <c r="K91" s="104"/>
      <c r="L91" s="384"/>
      <c r="M91" s="384"/>
      <c r="N91" s="382">
        <f>SUM(N92,N95,N97,N100,N104,N109,N111,N113)</f>
        <v>0</v>
      </c>
    </row>
    <row r="92" spans="1:14" ht="18" customHeight="1">
      <c r="A92" s="103" t="s">
        <v>1320</v>
      </c>
      <c r="B92" s="103" t="s">
        <v>1332</v>
      </c>
      <c r="C92" s="104"/>
      <c r="D92" s="378"/>
      <c r="E92" s="378"/>
      <c r="F92" s="381">
        <f>SUM(F93,F94)</f>
        <v>0</v>
      </c>
      <c r="G92" s="105"/>
      <c r="I92" s="103" t="s">
        <v>1361</v>
      </c>
      <c r="J92" s="103" t="s">
        <v>1271</v>
      </c>
      <c r="K92" s="104"/>
      <c r="L92" s="384"/>
      <c r="M92" s="384"/>
      <c r="N92" s="382">
        <f>SUM(N93,N94)</f>
        <v>0</v>
      </c>
    </row>
    <row r="93" spans="1:14" ht="19.5" customHeight="1">
      <c r="A93" s="103" t="s">
        <v>1322</v>
      </c>
      <c r="B93" s="103" t="s">
        <v>1362</v>
      </c>
      <c r="C93" s="104" t="s">
        <v>943</v>
      </c>
      <c r="D93" s="378"/>
      <c r="E93" s="378"/>
      <c r="F93" s="381">
        <f>D93*E93</f>
        <v>0</v>
      </c>
      <c r="G93" s="105"/>
      <c r="I93" s="103" t="s">
        <v>1363</v>
      </c>
      <c r="J93" s="103" t="s">
        <v>1299</v>
      </c>
      <c r="K93" s="104" t="s">
        <v>22</v>
      </c>
      <c r="L93" s="384"/>
      <c r="M93" s="384"/>
      <c r="N93" s="382">
        <f>L93*M93</f>
        <v>0</v>
      </c>
    </row>
    <row r="94" spans="1:14" ht="24" customHeight="1">
      <c r="A94" s="103" t="s">
        <v>1364</v>
      </c>
      <c r="B94" s="103" t="s">
        <v>1365</v>
      </c>
      <c r="C94" s="104" t="s">
        <v>22</v>
      </c>
      <c r="D94" s="378"/>
      <c r="E94" s="378"/>
      <c r="F94" s="381">
        <f>D94*E94</f>
        <v>0</v>
      </c>
      <c r="G94" s="105"/>
      <c r="I94" s="103" t="s">
        <v>1366</v>
      </c>
      <c r="J94" s="103" t="s">
        <v>2934</v>
      </c>
      <c r="K94" s="104" t="s">
        <v>22</v>
      </c>
      <c r="L94" s="384"/>
      <c r="M94" s="384"/>
      <c r="N94" s="382">
        <f>L94*M94</f>
        <v>0</v>
      </c>
    </row>
    <row r="95" spans="1:14" ht="22.5" customHeight="1">
      <c r="A95" s="103" t="s">
        <v>1324</v>
      </c>
      <c r="B95" s="103" t="s">
        <v>1338</v>
      </c>
      <c r="C95" s="104"/>
      <c r="D95" s="378"/>
      <c r="E95" s="378"/>
      <c r="F95" s="381">
        <f>SUM(F96,F97,F98)</f>
        <v>0</v>
      </c>
      <c r="G95" s="105"/>
      <c r="I95" s="103" t="s">
        <v>1367</v>
      </c>
      <c r="J95" s="103" t="s">
        <v>1273</v>
      </c>
      <c r="K95" s="104"/>
      <c r="L95" s="384"/>
      <c r="M95" s="384"/>
      <c r="N95" s="382">
        <f>N96</f>
        <v>0</v>
      </c>
    </row>
    <row r="96" spans="1:14" ht="19.5" customHeight="1">
      <c r="A96" s="103" t="s">
        <v>1325</v>
      </c>
      <c r="B96" s="103" t="s">
        <v>1368</v>
      </c>
      <c r="C96" s="104" t="s">
        <v>983</v>
      </c>
      <c r="D96" s="378"/>
      <c r="E96" s="378"/>
      <c r="F96" s="381">
        <f>D96*E96</f>
        <v>0</v>
      </c>
      <c r="G96" s="105"/>
      <c r="I96" s="103" t="s">
        <v>1369</v>
      </c>
      <c r="J96" s="103" t="s">
        <v>2936</v>
      </c>
      <c r="K96" s="104" t="s">
        <v>22</v>
      </c>
      <c r="L96" s="384"/>
      <c r="M96" s="384"/>
      <c r="N96" s="382">
        <f>L96*M96</f>
        <v>0</v>
      </c>
    </row>
    <row r="97" spans="1:14" ht="20.25" customHeight="1">
      <c r="A97" s="103" t="s">
        <v>1370</v>
      </c>
      <c r="B97" s="103" t="s">
        <v>1371</v>
      </c>
      <c r="C97" s="104" t="s">
        <v>943</v>
      </c>
      <c r="D97" s="378"/>
      <c r="E97" s="378"/>
      <c r="F97" s="381">
        <f>D97*E97</f>
        <v>0</v>
      </c>
      <c r="G97" s="105"/>
      <c r="I97" s="103" t="s">
        <v>1372</v>
      </c>
      <c r="J97" s="103" t="s">
        <v>1332</v>
      </c>
      <c r="K97" s="104"/>
      <c r="L97" s="384"/>
      <c r="M97" s="384"/>
      <c r="N97" s="382">
        <f>SUM(N98,N99)</f>
        <v>0</v>
      </c>
    </row>
    <row r="98" spans="1:14" ht="17.25" customHeight="1">
      <c r="A98" s="103" t="s">
        <v>1373</v>
      </c>
      <c r="B98" s="103" t="s">
        <v>1374</v>
      </c>
      <c r="C98" s="104" t="s">
        <v>22</v>
      </c>
      <c r="D98" s="378"/>
      <c r="E98" s="378"/>
      <c r="F98" s="381">
        <f>D98*E98</f>
        <v>0</v>
      </c>
      <c r="G98" s="105"/>
      <c r="I98" s="103" t="s">
        <v>1375</v>
      </c>
      <c r="J98" s="103" t="s">
        <v>1362</v>
      </c>
      <c r="K98" s="104" t="s">
        <v>943</v>
      </c>
      <c r="L98" s="384"/>
      <c r="M98" s="384"/>
      <c r="N98" s="382">
        <f>L98*M98</f>
        <v>0</v>
      </c>
    </row>
    <row r="99" spans="1:14" ht="15.75" customHeight="1">
      <c r="A99" s="103" t="s">
        <v>1376</v>
      </c>
      <c r="B99" s="103" t="s">
        <v>1284</v>
      </c>
      <c r="C99" s="104"/>
      <c r="D99" s="378"/>
      <c r="E99" s="378"/>
      <c r="F99" s="381">
        <f>SUM(F100,F101,F102,F103)</f>
        <v>0</v>
      </c>
      <c r="G99" s="105"/>
      <c r="I99" s="103" t="s">
        <v>1377</v>
      </c>
      <c r="J99" s="103" t="s">
        <v>1365</v>
      </c>
      <c r="K99" s="104" t="s">
        <v>22</v>
      </c>
      <c r="L99" s="384"/>
      <c r="M99" s="384"/>
      <c r="N99" s="382">
        <f>L99*M99</f>
        <v>0</v>
      </c>
    </row>
    <row r="100" spans="1:14" ht="20.25" customHeight="1">
      <c r="A100" s="103" t="s">
        <v>1378</v>
      </c>
      <c r="B100" s="103" t="s">
        <v>1379</v>
      </c>
      <c r="C100" s="104" t="s">
        <v>22</v>
      </c>
      <c r="D100" s="378"/>
      <c r="E100" s="378"/>
      <c r="F100" s="381">
        <f>D100*E100</f>
        <v>0</v>
      </c>
      <c r="G100" s="105"/>
      <c r="I100" s="103" t="s">
        <v>1380</v>
      </c>
      <c r="J100" s="103" t="s">
        <v>1338</v>
      </c>
      <c r="K100" s="104"/>
      <c r="L100" s="384"/>
      <c r="M100" s="384"/>
      <c r="N100" s="382">
        <f>SUM(N101,N102,N103)</f>
        <v>0</v>
      </c>
    </row>
    <row r="101" spans="1:14" ht="18.75" customHeight="1">
      <c r="A101" s="103" t="s">
        <v>1381</v>
      </c>
      <c r="B101" s="103" t="s">
        <v>1382</v>
      </c>
      <c r="C101" s="104" t="s">
        <v>22</v>
      </c>
      <c r="D101" s="378"/>
      <c r="E101" s="378"/>
      <c r="F101" s="381">
        <f>D101*E101</f>
        <v>0</v>
      </c>
      <c r="G101" s="105"/>
      <c r="I101" s="103" t="s">
        <v>1383</v>
      </c>
      <c r="J101" s="103" t="s">
        <v>1368</v>
      </c>
      <c r="K101" s="104" t="s">
        <v>983</v>
      </c>
      <c r="L101" s="384"/>
      <c r="M101" s="384"/>
      <c r="N101" s="382">
        <f>L101*M101</f>
        <v>0</v>
      </c>
    </row>
    <row r="102" spans="1:14" ht="19.5" customHeight="1">
      <c r="A102" s="103" t="s">
        <v>1384</v>
      </c>
      <c r="B102" s="103" t="s">
        <v>1385</v>
      </c>
      <c r="C102" s="104" t="s">
        <v>22</v>
      </c>
      <c r="D102" s="378"/>
      <c r="E102" s="378"/>
      <c r="F102" s="381">
        <f>D102*E102</f>
        <v>0</v>
      </c>
      <c r="G102" s="105"/>
      <c r="I102" s="103" t="s">
        <v>1386</v>
      </c>
      <c r="J102" s="103" t="s">
        <v>1371</v>
      </c>
      <c r="K102" s="104" t="s">
        <v>943</v>
      </c>
      <c r="L102" s="384"/>
      <c r="M102" s="384"/>
      <c r="N102" s="382">
        <f>L102*M102</f>
        <v>0</v>
      </c>
    </row>
    <row r="103" spans="1:14" ht="24" customHeight="1">
      <c r="A103" s="103" t="s">
        <v>1387</v>
      </c>
      <c r="B103" s="103" t="s">
        <v>1388</v>
      </c>
      <c r="C103" s="104" t="s">
        <v>22</v>
      </c>
      <c r="D103" s="378"/>
      <c r="E103" s="378"/>
      <c r="F103" s="381">
        <f>D103*E103</f>
        <v>0</v>
      </c>
      <c r="G103" s="105"/>
      <c r="I103" s="103" t="s">
        <v>1389</v>
      </c>
      <c r="J103" s="103" t="s">
        <v>1374</v>
      </c>
      <c r="K103" s="104" t="s">
        <v>22</v>
      </c>
      <c r="L103" s="384"/>
      <c r="M103" s="384"/>
      <c r="N103" s="382">
        <f>L103*M103</f>
        <v>0</v>
      </c>
    </row>
    <row r="104" spans="1:14">
      <c r="A104" s="103" t="s">
        <v>1390</v>
      </c>
      <c r="B104" s="103" t="s">
        <v>1391</v>
      </c>
      <c r="C104" s="104"/>
      <c r="D104" s="378"/>
      <c r="E104" s="378"/>
      <c r="F104" s="381">
        <f>F105</f>
        <v>0</v>
      </c>
      <c r="G104" s="105"/>
      <c r="I104" s="103" t="s">
        <v>1392</v>
      </c>
      <c r="J104" s="103" t="s">
        <v>1284</v>
      </c>
      <c r="K104" s="104"/>
      <c r="L104" s="384"/>
      <c r="M104" s="384"/>
      <c r="N104" s="382">
        <f>SUM(N105,N106,N107,N108)</f>
        <v>0</v>
      </c>
    </row>
    <row r="105" spans="1:14" ht="18.75" customHeight="1">
      <c r="A105" s="103" t="s">
        <v>1393</v>
      </c>
      <c r="B105" s="103" t="s">
        <v>1394</v>
      </c>
      <c r="C105" s="104" t="s">
        <v>22</v>
      </c>
      <c r="D105" s="378"/>
      <c r="E105" s="378"/>
      <c r="F105" s="381">
        <f>D105*E105</f>
        <v>0</v>
      </c>
      <c r="G105" s="105"/>
      <c r="I105" s="103" t="s">
        <v>1395</v>
      </c>
      <c r="J105" s="103" t="s">
        <v>1379</v>
      </c>
      <c r="K105" s="104" t="s">
        <v>22</v>
      </c>
      <c r="L105" s="384"/>
      <c r="M105" s="384"/>
      <c r="N105" s="382">
        <f>L105*M105</f>
        <v>0</v>
      </c>
    </row>
    <row r="106" spans="1:14">
      <c r="A106" s="103" t="s">
        <v>1396</v>
      </c>
      <c r="B106" s="103" t="s">
        <v>1397</v>
      </c>
      <c r="C106" s="104"/>
      <c r="D106" s="378"/>
      <c r="E106" s="378"/>
      <c r="F106" s="381">
        <f>F107</f>
        <v>0</v>
      </c>
      <c r="G106" s="105"/>
      <c r="I106" s="103" t="s">
        <v>1398</v>
      </c>
      <c r="J106" s="103" t="s">
        <v>1382</v>
      </c>
      <c r="K106" s="104" t="s">
        <v>22</v>
      </c>
      <c r="L106" s="384"/>
      <c r="M106" s="384"/>
      <c r="N106" s="382">
        <f>L106*M106</f>
        <v>0</v>
      </c>
    </row>
    <row r="107" spans="1:14" ht="10.5" customHeight="1">
      <c r="A107" s="103" t="s">
        <v>1399</v>
      </c>
      <c r="B107" s="103" t="s">
        <v>1400</v>
      </c>
      <c r="C107" s="104" t="s">
        <v>472</v>
      </c>
      <c r="D107" s="378"/>
      <c r="E107" s="378"/>
      <c r="F107" s="381"/>
      <c r="G107" s="105"/>
      <c r="I107" s="103" t="s">
        <v>1401</v>
      </c>
      <c r="J107" s="103" t="s">
        <v>1385</v>
      </c>
      <c r="K107" s="104" t="s">
        <v>22</v>
      </c>
      <c r="L107" s="384"/>
      <c r="M107" s="384"/>
      <c r="N107" s="382">
        <f>L107*M107</f>
        <v>0</v>
      </c>
    </row>
    <row r="108" spans="1:14" ht="13.5" customHeight="1">
      <c r="A108" s="103" t="s">
        <v>1402</v>
      </c>
      <c r="B108" s="103" t="s">
        <v>2953</v>
      </c>
      <c r="C108" s="104"/>
      <c r="D108" s="378"/>
      <c r="E108" s="378"/>
      <c r="F108" s="381">
        <f>F109</f>
        <v>0</v>
      </c>
      <c r="G108" s="105"/>
      <c r="I108" s="103" t="s">
        <v>1403</v>
      </c>
      <c r="J108" s="103" t="s">
        <v>1388</v>
      </c>
      <c r="K108" s="104" t="s">
        <v>22</v>
      </c>
      <c r="L108" s="384"/>
      <c r="M108" s="384"/>
      <c r="N108" s="382">
        <f>L108*M108</f>
        <v>0</v>
      </c>
    </row>
    <row r="109" spans="1:14" ht="15.75" customHeight="1">
      <c r="A109" s="103" t="s">
        <v>1404</v>
      </c>
      <c r="B109" s="103" t="s">
        <v>1405</v>
      </c>
      <c r="C109" s="104" t="s">
        <v>1406</v>
      </c>
      <c r="D109" s="378"/>
      <c r="E109" s="378"/>
      <c r="F109" s="381">
        <f>D109*E109</f>
        <v>0</v>
      </c>
      <c r="G109" s="105"/>
      <c r="I109" s="103" t="s">
        <v>1407</v>
      </c>
      <c r="J109" s="103" t="s">
        <v>1391</v>
      </c>
      <c r="K109" s="104"/>
      <c r="L109" s="384"/>
      <c r="M109" s="384"/>
      <c r="N109" s="382">
        <f>N110</f>
        <v>0</v>
      </c>
    </row>
    <row r="110" spans="1:14" ht="21" customHeight="1">
      <c r="A110" s="103" t="s">
        <v>1327</v>
      </c>
      <c r="B110" s="103" t="s">
        <v>2954</v>
      </c>
      <c r="C110" s="104"/>
      <c r="D110" s="378"/>
      <c r="E110" s="378"/>
      <c r="F110" s="381">
        <f>SUM(F111,F112,F113,F114,F115,F116,F117,F118)</f>
        <v>0</v>
      </c>
      <c r="G110" s="105"/>
      <c r="I110" s="103" t="s">
        <v>1408</v>
      </c>
      <c r="J110" s="103" t="s">
        <v>2981</v>
      </c>
      <c r="K110" s="104" t="s">
        <v>22</v>
      </c>
      <c r="L110" s="384"/>
      <c r="M110" s="384"/>
      <c r="N110" s="382">
        <f>L110*M110</f>
        <v>0</v>
      </c>
    </row>
    <row r="111" spans="1:14" ht="18" customHeight="1">
      <c r="A111" s="103" t="s">
        <v>1329</v>
      </c>
      <c r="B111" s="103" t="s">
        <v>1409</v>
      </c>
      <c r="C111" s="104" t="s">
        <v>1000</v>
      </c>
      <c r="D111" s="378"/>
      <c r="E111" s="378"/>
      <c r="F111" s="381">
        <f>D111*E111</f>
        <v>0</v>
      </c>
      <c r="G111" s="105"/>
      <c r="I111" s="103" t="s">
        <v>1410</v>
      </c>
      <c r="J111" s="103" t="s">
        <v>1397</v>
      </c>
      <c r="K111" s="104"/>
      <c r="L111" s="384"/>
      <c r="M111" s="384"/>
      <c r="N111" s="382">
        <f>N112</f>
        <v>0</v>
      </c>
    </row>
    <row r="112" spans="1:14" ht="15.75" customHeight="1">
      <c r="A112" s="103" t="s">
        <v>1336</v>
      </c>
      <c r="B112" s="103" t="s">
        <v>1411</v>
      </c>
      <c r="C112" s="104" t="s">
        <v>1000</v>
      </c>
      <c r="D112" s="378"/>
      <c r="E112" s="378"/>
      <c r="F112" s="381">
        <f t="shared" ref="F112:F118" si="1">D112*E112</f>
        <v>0</v>
      </c>
      <c r="G112" s="105"/>
      <c r="I112" s="103" t="s">
        <v>1412</v>
      </c>
      <c r="J112" s="103" t="s">
        <v>1400</v>
      </c>
      <c r="K112" s="104" t="s">
        <v>472</v>
      </c>
      <c r="L112" s="384"/>
      <c r="M112" s="384"/>
      <c r="N112" s="382">
        <f>L112*M112</f>
        <v>0</v>
      </c>
    </row>
    <row r="113" spans="1:14" ht="20.25" customHeight="1">
      <c r="A113" s="103" t="s">
        <v>1348</v>
      </c>
      <c r="B113" s="103" t="s">
        <v>1413</v>
      </c>
      <c r="C113" s="104" t="s">
        <v>472</v>
      </c>
      <c r="D113" s="378"/>
      <c r="E113" s="378"/>
      <c r="F113" s="381">
        <f t="shared" si="1"/>
        <v>0</v>
      </c>
      <c r="G113" s="105"/>
      <c r="I113" s="103" t="s">
        <v>1414</v>
      </c>
      <c r="J113" s="103" t="s">
        <v>2953</v>
      </c>
      <c r="K113" s="104"/>
      <c r="L113" s="384"/>
      <c r="M113" s="384"/>
      <c r="N113" s="382">
        <f>N114</f>
        <v>0</v>
      </c>
    </row>
    <row r="114" spans="1:14" ht="18.75" customHeight="1">
      <c r="A114" s="103" t="s">
        <v>1353</v>
      </c>
      <c r="B114" s="103" t="s">
        <v>1415</v>
      </c>
      <c r="C114" s="104" t="s">
        <v>472</v>
      </c>
      <c r="D114" s="378"/>
      <c r="E114" s="378"/>
      <c r="F114" s="381">
        <f t="shared" si="1"/>
        <v>0</v>
      </c>
      <c r="G114" s="105"/>
      <c r="I114" s="103" t="s">
        <v>1416</v>
      </c>
      <c r="J114" s="103" t="s">
        <v>2982</v>
      </c>
      <c r="K114" s="104" t="s">
        <v>1406</v>
      </c>
      <c r="L114" s="384"/>
      <c r="M114" s="384"/>
      <c r="N114" s="382">
        <f>L114*M114</f>
        <v>0</v>
      </c>
    </row>
    <row r="115" spans="1:14" ht="20.25" customHeight="1">
      <c r="A115" s="103" t="s">
        <v>1358</v>
      </c>
      <c r="B115" s="103" t="s">
        <v>2955</v>
      </c>
      <c r="C115" s="104" t="s">
        <v>472</v>
      </c>
      <c r="D115" s="378"/>
      <c r="E115" s="378"/>
      <c r="F115" s="381">
        <f t="shared" si="1"/>
        <v>0</v>
      </c>
      <c r="G115" s="105"/>
      <c r="I115" s="103" t="s">
        <v>1417</v>
      </c>
      <c r="J115" s="103" t="s">
        <v>2954</v>
      </c>
      <c r="K115" s="104"/>
      <c r="L115" s="384"/>
      <c r="M115" s="384"/>
      <c r="N115" s="382">
        <f>SUM(N116,N117,N118,N119,N120,N121,N122,N123)</f>
        <v>0</v>
      </c>
    </row>
    <row r="116" spans="1:14" ht="20.25" customHeight="1">
      <c r="A116" s="103" t="s">
        <v>1418</v>
      </c>
      <c r="B116" s="103" t="s">
        <v>1419</v>
      </c>
      <c r="C116" s="104" t="s">
        <v>875</v>
      </c>
      <c r="D116" s="378"/>
      <c r="E116" s="378"/>
      <c r="F116" s="381">
        <f t="shared" si="1"/>
        <v>0</v>
      </c>
      <c r="G116" s="105"/>
      <c r="I116" s="103" t="s">
        <v>1420</v>
      </c>
      <c r="J116" s="103" t="s">
        <v>1409</v>
      </c>
      <c r="K116" s="104" t="s">
        <v>1000</v>
      </c>
      <c r="L116" s="384"/>
      <c r="M116" s="384"/>
      <c r="N116" s="382">
        <f>L116*M116</f>
        <v>0</v>
      </c>
    </row>
    <row r="117" spans="1:14" ht="17.25" customHeight="1">
      <c r="A117" s="103" t="s">
        <v>1421</v>
      </c>
      <c r="B117" s="103" t="s">
        <v>1422</v>
      </c>
      <c r="C117" s="104" t="s">
        <v>875</v>
      </c>
      <c r="D117" s="378"/>
      <c r="E117" s="378"/>
      <c r="F117" s="381">
        <f t="shared" si="1"/>
        <v>0</v>
      </c>
      <c r="G117" s="105"/>
      <c r="I117" s="103" t="s">
        <v>1423</v>
      </c>
      <c r="J117" s="103" t="s">
        <v>1411</v>
      </c>
      <c r="K117" s="104" t="s">
        <v>1000</v>
      </c>
      <c r="L117" s="384"/>
      <c r="M117" s="384"/>
      <c r="N117" s="382">
        <f t="shared" ref="N117:N123" si="2">L117*M117</f>
        <v>0</v>
      </c>
    </row>
    <row r="118" spans="1:14" ht="12.75" customHeight="1">
      <c r="A118" s="103" t="s">
        <v>1424</v>
      </c>
      <c r="B118" s="103" t="s">
        <v>2956</v>
      </c>
      <c r="C118" s="104" t="s">
        <v>1406</v>
      </c>
      <c r="D118" s="378"/>
      <c r="E118" s="378"/>
      <c r="F118" s="381">
        <f t="shared" si="1"/>
        <v>0</v>
      </c>
      <c r="G118" s="105"/>
      <c r="I118" s="103" t="s">
        <v>1425</v>
      </c>
      <c r="J118" s="103" t="s">
        <v>1413</v>
      </c>
      <c r="K118" s="104" t="s">
        <v>472</v>
      </c>
      <c r="L118" s="384"/>
      <c r="M118" s="384"/>
      <c r="N118" s="382">
        <f t="shared" si="2"/>
        <v>0</v>
      </c>
    </row>
    <row r="119" spans="1:14">
      <c r="A119" s="106">
        <v>1.02</v>
      </c>
      <c r="B119" s="99" t="s">
        <v>2957</v>
      </c>
      <c r="C119" s="103"/>
      <c r="D119" s="378"/>
      <c r="E119" s="378"/>
      <c r="F119" s="381">
        <f>SUM(F120,F121)</f>
        <v>0</v>
      </c>
      <c r="G119" s="105"/>
      <c r="I119" s="103" t="s">
        <v>1426</v>
      </c>
      <c r="J119" s="103" t="s">
        <v>1415</v>
      </c>
      <c r="K119" s="104" t="s">
        <v>472</v>
      </c>
      <c r="L119" s="384"/>
      <c r="M119" s="384"/>
      <c r="N119" s="382">
        <f t="shared" si="2"/>
        <v>0</v>
      </c>
    </row>
    <row r="120" spans="1:14" ht="22.5">
      <c r="A120" s="103" t="s">
        <v>933</v>
      </c>
      <c r="B120" s="103" t="s">
        <v>1290</v>
      </c>
      <c r="C120" s="104" t="s">
        <v>22</v>
      </c>
      <c r="D120" s="378"/>
      <c r="E120" s="378"/>
      <c r="F120" s="381">
        <f>D120*E120</f>
        <v>0</v>
      </c>
      <c r="G120" s="105"/>
      <c r="I120" s="103" t="s">
        <v>1427</v>
      </c>
      <c r="J120" s="103" t="s">
        <v>2955</v>
      </c>
      <c r="K120" s="104" t="s">
        <v>472</v>
      </c>
      <c r="L120" s="384"/>
      <c r="M120" s="384"/>
      <c r="N120" s="382">
        <f t="shared" si="2"/>
        <v>0</v>
      </c>
    </row>
    <row r="121" spans="1:14">
      <c r="A121" s="103" t="s">
        <v>938</v>
      </c>
      <c r="B121" s="99" t="s">
        <v>2958</v>
      </c>
      <c r="C121" s="104"/>
      <c r="D121" s="378"/>
      <c r="E121" s="378"/>
      <c r="F121" s="381">
        <f>SUM(F122:F145)</f>
        <v>0</v>
      </c>
      <c r="G121" s="105"/>
      <c r="I121" s="103" t="s">
        <v>1428</v>
      </c>
      <c r="J121" s="103" t="s">
        <v>1419</v>
      </c>
      <c r="K121" s="104" t="s">
        <v>875</v>
      </c>
      <c r="L121" s="384"/>
      <c r="M121" s="384"/>
      <c r="N121" s="382">
        <f t="shared" si="2"/>
        <v>0</v>
      </c>
    </row>
    <row r="122" spans="1:14">
      <c r="A122" s="103" t="s">
        <v>940</v>
      </c>
      <c r="B122" s="103" t="s">
        <v>2959</v>
      </c>
      <c r="C122" s="104" t="s">
        <v>472</v>
      </c>
      <c r="D122" s="378"/>
      <c r="E122" s="378"/>
      <c r="F122" s="381">
        <f>D122*E122</f>
        <v>0</v>
      </c>
      <c r="G122" s="105"/>
      <c r="I122" s="103" t="s">
        <v>1429</v>
      </c>
      <c r="J122" s="103" t="s">
        <v>1422</v>
      </c>
      <c r="K122" s="104" t="s">
        <v>875</v>
      </c>
      <c r="L122" s="384"/>
      <c r="M122" s="384"/>
      <c r="N122" s="382">
        <f t="shared" si="2"/>
        <v>0</v>
      </c>
    </row>
    <row r="123" spans="1:14">
      <c r="A123" s="103" t="s">
        <v>947</v>
      </c>
      <c r="B123" s="103" t="s">
        <v>2960</v>
      </c>
      <c r="C123" s="104" t="s">
        <v>472</v>
      </c>
      <c r="D123" s="378"/>
      <c r="E123" s="378"/>
      <c r="F123" s="381">
        <f t="shared" ref="F123:F145" si="3">D123*E123</f>
        <v>0</v>
      </c>
      <c r="G123" s="105"/>
      <c r="I123" s="103" t="s">
        <v>1430</v>
      </c>
      <c r="J123" s="103" t="s">
        <v>2956</v>
      </c>
      <c r="K123" s="104" t="s">
        <v>1406</v>
      </c>
      <c r="L123" s="384"/>
      <c r="M123" s="384"/>
      <c r="N123" s="382">
        <f t="shared" si="2"/>
        <v>0</v>
      </c>
    </row>
    <row r="124" spans="1:14">
      <c r="A124" s="103" t="s">
        <v>951</v>
      </c>
      <c r="B124" s="103" t="s">
        <v>2961</v>
      </c>
      <c r="C124" s="104" t="s">
        <v>22</v>
      </c>
      <c r="D124" s="378"/>
      <c r="E124" s="378"/>
      <c r="F124" s="381">
        <f t="shared" si="3"/>
        <v>0</v>
      </c>
      <c r="G124" s="105"/>
      <c r="I124" s="106">
        <v>1.02</v>
      </c>
      <c r="J124" s="99" t="s">
        <v>2957</v>
      </c>
      <c r="K124" s="104"/>
      <c r="L124" s="384"/>
      <c r="M124" s="384"/>
      <c r="N124" s="382">
        <f>SUM(N125,N126)</f>
        <v>0</v>
      </c>
    </row>
    <row r="125" spans="1:14">
      <c r="A125" s="103" t="s">
        <v>1431</v>
      </c>
      <c r="B125" s="103" t="s">
        <v>1432</v>
      </c>
      <c r="C125" s="104" t="s">
        <v>1433</v>
      </c>
      <c r="D125" s="378"/>
      <c r="E125" s="378"/>
      <c r="F125" s="381">
        <f t="shared" si="3"/>
        <v>0</v>
      </c>
      <c r="G125" s="105"/>
      <c r="I125" s="103" t="s">
        <v>933</v>
      </c>
      <c r="J125" s="103" t="s">
        <v>1290</v>
      </c>
      <c r="K125" s="104" t="s">
        <v>22</v>
      </c>
      <c r="L125" s="384"/>
      <c r="M125" s="384"/>
      <c r="N125" s="382">
        <f>L125*M125</f>
        <v>0</v>
      </c>
    </row>
    <row r="126" spans="1:14">
      <c r="A126" s="103" t="s">
        <v>1434</v>
      </c>
      <c r="B126" s="103" t="s">
        <v>1435</v>
      </c>
      <c r="C126" s="104" t="s">
        <v>1433</v>
      </c>
      <c r="D126" s="378"/>
      <c r="E126" s="378"/>
      <c r="F126" s="381">
        <f t="shared" si="3"/>
        <v>0</v>
      </c>
      <c r="G126" s="105"/>
      <c r="I126" s="103" t="s">
        <v>938</v>
      </c>
      <c r="J126" s="99" t="s">
        <v>2958</v>
      </c>
      <c r="K126" s="104"/>
      <c r="L126" s="384"/>
      <c r="M126" s="384"/>
      <c r="N126" s="382">
        <f>SUM(N127:N150)</f>
        <v>0</v>
      </c>
    </row>
    <row r="127" spans="1:14">
      <c r="A127" s="103" t="s">
        <v>1436</v>
      </c>
      <c r="B127" s="103" t="s">
        <v>1437</v>
      </c>
      <c r="C127" s="104" t="s">
        <v>1433</v>
      </c>
      <c r="D127" s="378"/>
      <c r="E127" s="378"/>
      <c r="F127" s="381">
        <f t="shared" si="3"/>
        <v>0</v>
      </c>
      <c r="G127" s="105"/>
      <c r="I127" s="103" t="s">
        <v>940</v>
      </c>
      <c r="J127" s="103" t="s">
        <v>2959</v>
      </c>
      <c r="K127" s="104" t="s">
        <v>472</v>
      </c>
      <c r="L127" s="384"/>
      <c r="M127" s="384"/>
      <c r="N127" s="382">
        <f>L127*M127</f>
        <v>0</v>
      </c>
    </row>
    <row r="128" spans="1:14">
      <c r="A128" s="103" t="s">
        <v>1438</v>
      </c>
      <c r="B128" s="103" t="s">
        <v>2962</v>
      </c>
      <c r="C128" s="104" t="s">
        <v>1433</v>
      </c>
      <c r="D128" s="378"/>
      <c r="E128" s="378"/>
      <c r="F128" s="381">
        <f t="shared" si="3"/>
        <v>0</v>
      </c>
      <c r="G128" s="105"/>
      <c r="I128" s="103" t="s">
        <v>947</v>
      </c>
      <c r="J128" s="103" t="s">
        <v>2960</v>
      </c>
      <c r="K128" s="104" t="s">
        <v>472</v>
      </c>
      <c r="L128" s="384"/>
      <c r="M128" s="384"/>
      <c r="N128" s="382">
        <f t="shared" ref="N128:N150" si="4">L128*M128</f>
        <v>0</v>
      </c>
    </row>
    <row r="129" spans="1:14">
      <c r="A129" s="103" t="s">
        <v>1440</v>
      </c>
      <c r="B129" s="103" t="s">
        <v>1441</v>
      </c>
      <c r="C129" s="104" t="s">
        <v>472</v>
      </c>
      <c r="D129" s="378"/>
      <c r="E129" s="378"/>
      <c r="F129" s="381">
        <f t="shared" si="3"/>
        <v>0</v>
      </c>
      <c r="G129" s="105"/>
      <c r="I129" s="103" t="s">
        <v>951</v>
      </c>
      <c r="J129" s="103" t="s">
        <v>2961</v>
      </c>
      <c r="K129" s="104" t="s">
        <v>22</v>
      </c>
      <c r="L129" s="384"/>
      <c r="M129" s="384"/>
      <c r="N129" s="382">
        <f t="shared" si="4"/>
        <v>0</v>
      </c>
    </row>
    <row r="130" spans="1:14">
      <c r="A130" s="103" t="s">
        <v>1442</v>
      </c>
      <c r="B130" s="103" t="s">
        <v>1443</v>
      </c>
      <c r="C130" s="104" t="s">
        <v>1433</v>
      </c>
      <c r="D130" s="378"/>
      <c r="E130" s="378"/>
      <c r="F130" s="381">
        <f t="shared" si="3"/>
        <v>0</v>
      </c>
      <c r="G130" s="105"/>
      <c r="I130" s="103" t="s">
        <v>1431</v>
      </c>
      <c r="J130" s="103" t="s">
        <v>1432</v>
      </c>
      <c r="K130" s="104" t="s">
        <v>1433</v>
      </c>
      <c r="L130" s="384"/>
      <c r="M130" s="384"/>
      <c r="N130" s="382">
        <f t="shared" si="4"/>
        <v>0</v>
      </c>
    </row>
    <row r="131" spans="1:14">
      <c r="A131" s="103" t="s">
        <v>1444</v>
      </c>
      <c r="B131" s="103" t="s">
        <v>1445</v>
      </c>
      <c r="C131" s="104" t="s">
        <v>22</v>
      </c>
      <c r="D131" s="378"/>
      <c r="E131" s="378"/>
      <c r="F131" s="381">
        <f t="shared" si="3"/>
        <v>0</v>
      </c>
      <c r="G131" s="105"/>
      <c r="I131" s="103" t="s">
        <v>1434</v>
      </c>
      <c r="J131" s="103" t="s">
        <v>1435</v>
      </c>
      <c r="K131" s="104" t="s">
        <v>1433</v>
      </c>
      <c r="L131" s="384"/>
      <c r="M131" s="384"/>
      <c r="N131" s="382">
        <f t="shared" si="4"/>
        <v>0</v>
      </c>
    </row>
    <row r="132" spans="1:14">
      <c r="A132" s="103" t="s">
        <v>1446</v>
      </c>
      <c r="B132" s="103" t="s">
        <v>1447</v>
      </c>
      <c r="C132" s="104" t="s">
        <v>472</v>
      </c>
      <c r="D132" s="378"/>
      <c r="E132" s="378"/>
      <c r="F132" s="381">
        <f t="shared" si="3"/>
        <v>0</v>
      </c>
      <c r="G132" s="105"/>
      <c r="I132" s="103" t="s">
        <v>1436</v>
      </c>
      <c r="J132" s="103" t="s">
        <v>1437</v>
      </c>
      <c r="K132" s="104" t="s">
        <v>1433</v>
      </c>
      <c r="L132" s="384"/>
      <c r="M132" s="384"/>
      <c r="N132" s="382">
        <f t="shared" si="4"/>
        <v>0</v>
      </c>
    </row>
    <row r="133" spans="1:14">
      <c r="A133" s="103" t="s">
        <v>1448</v>
      </c>
      <c r="B133" s="103" t="s">
        <v>2963</v>
      </c>
      <c r="C133" s="104" t="s">
        <v>472</v>
      </c>
      <c r="D133" s="378"/>
      <c r="E133" s="378"/>
      <c r="F133" s="381">
        <f t="shared" si="3"/>
        <v>0</v>
      </c>
      <c r="G133" s="105"/>
      <c r="I133" s="103" t="s">
        <v>1438</v>
      </c>
      <c r="J133" s="103" t="s">
        <v>2962</v>
      </c>
      <c r="K133" s="104" t="s">
        <v>1433</v>
      </c>
      <c r="L133" s="384"/>
      <c r="M133" s="384"/>
      <c r="N133" s="382">
        <f t="shared" si="4"/>
        <v>0</v>
      </c>
    </row>
    <row r="134" spans="1:14">
      <c r="A134" s="103" t="s">
        <v>1449</v>
      </c>
      <c r="B134" s="103" t="s">
        <v>2964</v>
      </c>
      <c r="C134" s="104" t="s">
        <v>472</v>
      </c>
      <c r="D134" s="378"/>
      <c r="E134" s="378"/>
      <c r="F134" s="381">
        <f t="shared" si="3"/>
        <v>0</v>
      </c>
      <c r="G134" s="105"/>
      <c r="I134" s="103" t="s">
        <v>1440</v>
      </c>
      <c r="J134" s="103" t="s">
        <v>1441</v>
      </c>
      <c r="K134" s="104" t="s">
        <v>472</v>
      </c>
      <c r="L134" s="384"/>
      <c r="M134" s="384"/>
      <c r="N134" s="382">
        <f t="shared" si="4"/>
        <v>0</v>
      </c>
    </row>
    <row r="135" spans="1:14">
      <c r="A135" s="103" t="s">
        <v>1451</v>
      </c>
      <c r="B135" s="103" t="s">
        <v>1452</v>
      </c>
      <c r="C135" s="104" t="s">
        <v>22</v>
      </c>
      <c r="D135" s="378"/>
      <c r="E135" s="378"/>
      <c r="F135" s="381">
        <f t="shared" si="3"/>
        <v>0</v>
      </c>
      <c r="G135" s="105"/>
      <c r="I135" s="103" t="s">
        <v>1442</v>
      </c>
      <c r="J135" s="103" t="s">
        <v>1443</v>
      </c>
      <c r="K135" s="104" t="s">
        <v>1433</v>
      </c>
      <c r="L135" s="384"/>
      <c r="M135" s="384"/>
      <c r="N135" s="382">
        <f t="shared" si="4"/>
        <v>0</v>
      </c>
    </row>
    <row r="136" spans="1:14">
      <c r="A136" s="103" t="s">
        <v>1453</v>
      </c>
      <c r="B136" s="103" t="s">
        <v>2965</v>
      </c>
      <c r="C136" s="104" t="s">
        <v>472</v>
      </c>
      <c r="D136" s="378"/>
      <c r="E136" s="378"/>
      <c r="F136" s="381">
        <f t="shared" si="3"/>
        <v>0</v>
      </c>
      <c r="G136" s="105"/>
      <c r="I136" s="103" t="s">
        <v>1444</v>
      </c>
      <c r="J136" s="103" t="s">
        <v>1445</v>
      </c>
      <c r="K136" s="104" t="s">
        <v>22</v>
      </c>
      <c r="L136" s="384"/>
      <c r="M136" s="384"/>
      <c r="N136" s="382">
        <f t="shared" si="4"/>
        <v>0</v>
      </c>
    </row>
    <row r="137" spans="1:14">
      <c r="A137" s="103" t="s">
        <v>1454</v>
      </c>
      <c r="B137" s="103" t="s">
        <v>2966</v>
      </c>
      <c r="C137" s="104" t="s">
        <v>472</v>
      </c>
      <c r="D137" s="378"/>
      <c r="E137" s="378"/>
      <c r="F137" s="381">
        <f t="shared" si="3"/>
        <v>0</v>
      </c>
      <c r="G137" s="105"/>
      <c r="I137" s="103" t="s">
        <v>1446</v>
      </c>
      <c r="J137" s="103" t="s">
        <v>3028</v>
      </c>
      <c r="K137" s="104" t="s">
        <v>472</v>
      </c>
      <c r="L137" s="384"/>
      <c r="M137" s="384"/>
      <c r="N137" s="382">
        <f t="shared" si="4"/>
        <v>0</v>
      </c>
    </row>
    <row r="138" spans="1:14">
      <c r="A138" s="103" t="s">
        <v>1455</v>
      </c>
      <c r="B138" s="103" t="s">
        <v>2967</v>
      </c>
      <c r="C138" s="104" t="s">
        <v>472</v>
      </c>
      <c r="D138" s="378"/>
      <c r="E138" s="378"/>
      <c r="F138" s="381">
        <f t="shared" si="3"/>
        <v>0</v>
      </c>
      <c r="G138" s="105"/>
      <c r="I138" s="103" t="s">
        <v>1448</v>
      </c>
      <c r="J138" s="103" t="s">
        <v>2963</v>
      </c>
      <c r="K138" s="104" t="s">
        <v>472</v>
      </c>
      <c r="L138" s="384"/>
      <c r="M138" s="384"/>
      <c r="N138" s="382">
        <f t="shared" si="4"/>
        <v>0</v>
      </c>
    </row>
    <row r="139" spans="1:14">
      <c r="A139" s="103" t="s">
        <v>1456</v>
      </c>
      <c r="B139" s="103" t="s">
        <v>1457</v>
      </c>
      <c r="C139" s="104" t="s">
        <v>22</v>
      </c>
      <c r="D139" s="378"/>
      <c r="E139" s="378"/>
      <c r="F139" s="381">
        <f t="shared" si="3"/>
        <v>0</v>
      </c>
      <c r="G139" s="105"/>
      <c r="I139" s="103" t="s">
        <v>1449</v>
      </c>
      <c r="J139" s="103" t="s">
        <v>2964</v>
      </c>
      <c r="K139" s="104" t="s">
        <v>472</v>
      </c>
      <c r="L139" s="384"/>
      <c r="M139" s="384"/>
      <c r="N139" s="382">
        <f t="shared" si="4"/>
        <v>0</v>
      </c>
    </row>
    <row r="140" spans="1:14">
      <c r="A140" s="103" t="s">
        <v>1458</v>
      </c>
      <c r="B140" s="103" t="s">
        <v>2968</v>
      </c>
      <c r="C140" s="104" t="s">
        <v>472</v>
      </c>
      <c r="D140" s="378"/>
      <c r="E140" s="378"/>
      <c r="F140" s="381">
        <f t="shared" si="3"/>
        <v>0</v>
      </c>
      <c r="G140" s="105"/>
      <c r="I140" s="103" t="s">
        <v>1451</v>
      </c>
      <c r="J140" s="103" t="s">
        <v>1452</v>
      </c>
      <c r="K140" s="104" t="s">
        <v>22</v>
      </c>
      <c r="L140" s="384"/>
      <c r="M140" s="384"/>
      <c r="N140" s="382">
        <f t="shared" si="4"/>
        <v>0</v>
      </c>
    </row>
    <row r="141" spans="1:14">
      <c r="A141" s="103" t="s">
        <v>1459</v>
      </c>
      <c r="B141" s="103" t="s">
        <v>2969</v>
      </c>
      <c r="C141" s="104" t="s">
        <v>472</v>
      </c>
      <c r="D141" s="378"/>
      <c r="E141" s="378"/>
      <c r="F141" s="381">
        <f t="shared" si="3"/>
        <v>0</v>
      </c>
      <c r="G141" s="105"/>
      <c r="I141" s="103" t="s">
        <v>1453</v>
      </c>
      <c r="J141" s="103" t="s">
        <v>2965</v>
      </c>
      <c r="K141" s="104" t="s">
        <v>472</v>
      </c>
      <c r="L141" s="384"/>
      <c r="M141" s="384"/>
      <c r="N141" s="382">
        <f t="shared" si="4"/>
        <v>0</v>
      </c>
    </row>
    <row r="142" spans="1:14">
      <c r="A142" s="103" t="s">
        <v>1460</v>
      </c>
      <c r="B142" s="103" t="s">
        <v>2970</v>
      </c>
      <c r="C142" s="104" t="s">
        <v>472</v>
      </c>
      <c r="D142" s="378"/>
      <c r="E142" s="378"/>
      <c r="F142" s="381">
        <f t="shared" si="3"/>
        <v>0</v>
      </c>
      <c r="G142" s="105"/>
      <c r="I142" s="103" t="s">
        <v>1454</v>
      </c>
      <c r="J142" s="103" t="s">
        <v>2966</v>
      </c>
      <c r="K142" s="104" t="s">
        <v>472</v>
      </c>
      <c r="L142" s="384"/>
      <c r="M142" s="384"/>
      <c r="N142" s="382">
        <f t="shared" si="4"/>
        <v>0</v>
      </c>
    </row>
    <row r="143" spans="1:14" ht="22.5">
      <c r="A143" s="103" t="s">
        <v>1461</v>
      </c>
      <c r="B143" s="103" t="s">
        <v>1462</v>
      </c>
      <c r="C143" s="104" t="s">
        <v>22</v>
      </c>
      <c r="D143" s="378"/>
      <c r="E143" s="378"/>
      <c r="F143" s="381">
        <f t="shared" si="3"/>
        <v>0</v>
      </c>
      <c r="G143" s="105"/>
      <c r="I143" s="103" t="s">
        <v>1455</v>
      </c>
      <c r="J143" s="103" t="s">
        <v>2967</v>
      </c>
      <c r="K143" s="104" t="s">
        <v>472</v>
      </c>
      <c r="L143" s="384"/>
      <c r="M143" s="384"/>
      <c r="N143" s="382">
        <f t="shared" si="4"/>
        <v>0</v>
      </c>
    </row>
    <row r="144" spans="1:14">
      <c r="A144" s="103" t="s">
        <v>1463</v>
      </c>
      <c r="B144" s="103" t="s">
        <v>2971</v>
      </c>
      <c r="C144" s="104" t="s">
        <v>472</v>
      </c>
      <c r="D144" s="378"/>
      <c r="E144" s="378"/>
      <c r="F144" s="381">
        <f t="shared" si="3"/>
        <v>0</v>
      </c>
      <c r="G144" s="105"/>
      <c r="I144" s="103" t="s">
        <v>1456</v>
      </c>
      <c r="J144" s="103" t="s">
        <v>1457</v>
      </c>
      <c r="K144" s="104" t="s">
        <v>22</v>
      </c>
      <c r="L144" s="384"/>
      <c r="M144" s="384"/>
      <c r="N144" s="382">
        <f t="shared" si="4"/>
        <v>0</v>
      </c>
    </row>
    <row r="145" spans="1:14">
      <c r="A145" s="103" t="s">
        <v>1464</v>
      </c>
      <c r="B145" s="103" t="s">
        <v>2972</v>
      </c>
      <c r="C145" s="104" t="s">
        <v>472</v>
      </c>
      <c r="D145" s="378"/>
      <c r="E145" s="378"/>
      <c r="F145" s="381">
        <f t="shared" si="3"/>
        <v>0</v>
      </c>
      <c r="G145" s="105"/>
      <c r="I145" s="103" t="s">
        <v>1458</v>
      </c>
      <c r="J145" s="103" t="s">
        <v>2968</v>
      </c>
      <c r="K145" s="104" t="s">
        <v>472</v>
      </c>
      <c r="L145" s="384"/>
      <c r="M145" s="384"/>
      <c r="N145" s="382">
        <f t="shared" si="4"/>
        <v>0</v>
      </c>
    </row>
    <row r="146" spans="1:14">
      <c r="A146" s="107">
        <v>2</v>
      </c>
      <c r="B146" s="108" t="s">
        <v>1221</v>
      </c>
      <c r="C146" s="109"/>
      <c r="D146" s="379"/>
      <c r="E146" s="379"/>
      <c r="F146" s="392">
        <f>SUM(F147:F151)</f>
        <v>0</v>
      </c>
      <c r="G146" s="110"/>
      <c r="I146" s="103" t="s">
        <v>1459</v>
      </c>
      <c r="J146" s="103" t="s">
        <v>2969</v>
      </c>
      <c r="K146" s="104" t="s">
        <v>472</v>
      </c>
      <c r="L146" s="384"/>
      <c r="M146" s="384"/>
      <c r="N146" s="382">
        <f t="shared" si="4"/>
        <v>0</v>
      </c>
    </row>
    <row r="147" spans="1:14">
      <c r="A147" s="111">
        <v>2.0099999999999998</v>
      </c>
      <c r="B147" s="112" t="s">
        <v>2973</v>
      </c>
      <c r="C147" s="113" t="s">
        <v>22</v>
      </c>
      <c r="D147" s="380"/>
      <c r="E147" s="114"/>
      <c r="F147" s="393">
        <f>D147*E147</f>
        <v>0</v>
      </c>
      <c r="G147" s="115"/>
      <c r="I147" s="103" t="s">
        <v>1460</v>
      </c>
      <c r="J147" s="103" t="s">
        <v>2970</v>
      </c>
      <c r="K147" s="104" t="s">
        <v>472</v>
      </c>
      <c r="L147" s="384"/>
      <c r="M147" s="384"/>
      <c r="N147" s="382">
        <f t="shared" si="4"/>
        <v>0</v>
      </c>
    </row>
    <row r="148" spans="1:14" ht="22.5">
      <c r="A148" s="111">
        <v>2.02</v>
      </c>
      <c r="B148" s="112" t="s">
        <v>2974</v>
      </c>
      <c r="C148" s="113" t="s">
        <v>141</v>
      </c>
      <c r="D148" s="380"/>
      <c r="E148" s="114"/>
      <c r="F148" s="393">
        <f>D148*E148</f>
        <v>0</v>
      </c>
      <c r="G148" s="115"/>
      <c r="I148" s="103" t="s">
        <v>1461</v>
      </c>
      <c r="J148" s="103" t="s">
        <v>1462</v>
      </c>
      <c r="K148" s="104" t="s">
        <v>22</v>
      </c>
      <c r="L148" s="384"/>
      <c r="M148" s="384"/>
      <c r="N148" s="382">
        <f t="shared" si="4"/>
        <v>0</v>
      </c>
    </row>
    <row r="149" spans="1:14">
      <c r="A149" s="111">
        <v>2.0299999999999998</v>
      </c>
      <c r="B149" s="112" t="s">
        <v>2975</v>
      </c>
      <c r="C149" s="113" t="s">
        <v>472</v>
      </c>
      <c r="D149" s="380"/>
      <c r="E149" s="114"/>
      <c r="F149" s="393">
        <f>D149*E149</f>
        <v>0</v>
      </c>
      <c r="G149" s="115"/>
      <c r="I149" s="103" t="s">
        <v>1463</v>
      </c>
      <c r="J149" s="103" t="s">
        <v>2971</v>
      </c>
      <c r="K149" s="104" t="s">
        <v>472</v>
      </c>
      <c r="L149" s="384"/>
      <c r="M149" s="384"/>
      <c r="N149" s="382">
        <f t="shared" si="4"/>
        <v>0</v>
      </c>
    </row>
    <row r="150" spans="1:14">
      <c r="A150" s="111">
        <v>2.04</v>
      </c>
      <c r="B150" s="112" t="s">
        <v>1226</v>
      </c>
      <c r="C150" s="113" t="s">
        <v>141</v>
      </c>
      <c r="D150" s="380"/>
      <c r="E150" s="114"/>
      <c r="F150" s="393">
        <f>D150*E150</f>
        <v>0</v>
      </c>
      <c r="G150" s="115"/>
      <c r="I150" s="103" t="s">
        <v>1464</v>
      </c>
      <c r="J150" s="103" t="s">
        <v>1465</v>
      </c>
      <c r="K150" s="104" t="s">
        <v>472</v>
      </c>
      <c r="L150" s="384"/>
      <c r="M150" s="384"/>
      <c r="N150" s="382">
        <f t="shared" si="4"/>
        <v>0</v>
      </c>
    </row>
    <row r="151" spans="1:14">
      <c r="A151" s="111">
        <v>2.0499999999999998</v>
      </c>
      <c r="B151" s="112" t="s">
        <v>2976</v>
      </c>
      <c r="C151" s="113" t="s">
        <v>1128</v>
      </c>
      <c r="D151" s="380"/>
      <c r="E151" s="114"/>
      <c r="F151" s="393">
        <f>D151*E151</f>
        <v>0</v>
      </c>
      <c r="G151" s="115"/>
      <c r="I151" s="107">
        <v>2</v>
      </c>
      <c r="J151" s="108" t="s">
        <v>1221</v>
      </c>
      <c r="K151" s="109"/>
      <c r="L151" s="379"/>
      <c r="M151" s="379"/>
      <c r="N151" s="394">
        <f>SUM(N152:N156)</f>
        <v>0</v>
      </c>
    </row>
    <row r="152" spans="1:14">
      <c r="A152" s="1916" t="s">
        <v>1228</v>
      </c>
      <c r="B152" s="1916"/>
      <c r="C152" s="1916"/>
      <c r="D152" s="1916"/>
      <c r="E152" s="1916"/>
      <c r="F152" s="395">
        <f>SUM(F146,F9)</f>
        <v>0</v>
      </c>
      <c r="G152" s="110"/>
      <c r="I152" s="111">
        <v>2.0099999999999998</v>
      </c>
      <c r="J152" s="112" t="s">
        <v>2973</v>
      </c>
      <c r="K152" s="113" t="s">
        <v>22</v>
      </c>
      <c r="L152" s="385"/>
      <c r="M152" s="156"/>
      <c r="N152" s="383">
        <f>L152*M152</f>
        <v>0</v>
      </c>
    </row>
    <row r="153" spans="1:14">
      <c r="I153" s="111">
        <v>2.02</v>
      </c>
      <c r="J153" s="112" t="s">
        <v>2974</v>
      </c>
      <c r="K153" s="113" t="s">
        <v>141</v>
      </c>
      <c r="L153" s="385"/>
      <c r="M153" s="156"/>
      <c r="N153" s="383">
        <f>L153*M153</f>
        <v>0</v>
      </c>
    </row>
    <row r="154" spans="1:14">
      <c r="I154" s="111">
        <v>2.0299999999999998</v>
      </c>
      <c r="J154" s="112" t="s">
        <v>2975</v>
      </c>
      <c r="K154" s="113" t="s">
        <v>894</v>
      </c>
      <c r="L154" s="385"/>
      <c r="M154" s="156"/>
      <c r="N154" s="383">
        <f>L154*M154</f>
        <v>0</v>
      </c>
    </row>
    <row r="155" spans="1:14">
      <c r="I155" s="111">
        <v>2.04</v>
      </c>
      <c r="J155" s="112" t="s">
        <v>1226</v>
      </c>
      <c r="K155" s="113" t="s">
        <v>141</v>
      </c>
      <c r="L155" s="385"/>
      <c r="M155" s="156"/>
      <c r="N155" s="383">
        <f>L155*M155</f>
        <v>0</v>
      </c>
    </row>
    <row r="156" spans="1:14" ht="27" customHeight="1">
      <c r="A156" s="387" t="s">
        <v>73</v>
      </c>
      <c r="B156" s="388" t="s">
        <v>72</v>
      </c>
      <c r="C156" s="117"/>
      <c r="D156" s="118"/>
      <c r="E156" s="119"/>
      <c r="I156" s="111">
        <v>2.0499999999999998</v>
      </c>
      <c r="J156" s="112" t="s">
        <v>2976</v>
      </c>
      <c r="K156" s="113" t="s">
        <v>1128</v>
      </c>
      <c r="L156" s="385"/>
      <c r="M156" s="156"/>
      <c r="N156" s="383">
        <f>L156*M156</f>
        <v>0</v>
      </c>
    </row>
    <row r="157" spans="1:14">
      <c r="A157" s="120" t="s">
        <v>1229</v>
      </c>
      <c r="B157" s="386"/>
      <c r="C157" s="121"/>
      <c r="D157" s="122"/>
      <c r="E157" s="119"/>
      <c r="I157" s="1916" t="s">
        <v>1228</v>
      </c>
      <c r="J157" s="1916"/>
      <c r="K157" s="1916"/>
      <c r="L157" s="1916"/>
      <c r="M157" s="1916"/>
      <c r="N157" s="397">
        <f>SUM(N151,N9)</f>
        <v>0</v>
      </c>
    </row>
    <row r="158" spans="1:14">
      <c r="A158" s="120" t="s">
        <v>1230</v>
      </c>
      <c r="B158" s="386"/>
      <c r="C158" s="121"/>
      <c r="D158" s="122"/>
      <c r="E158" s="119"/>
    </row>
    <row r="159" spans="1:14">
      <c r="A159" s="120" t="s">
        <v>1231</v>
      </c>
      <c r="B159" s="386"/>
      <c r="C159" s="121"/>
      <c r="D159" s="122"/>
      <c r="E159" s="119"/>
    </row>
    <row r="160" spans="1:14">
      <c r="A160" s="123"/>
      <c r="B160" s="124"/>
      <c r="C160" s="125"/>
      <c r="D160" s="126"/>
      <c r="E160" s="89"/>
    </row>
    <row r="161" spans="1:15">
      <c r="A161" s="123"/>
      <c r="B161" s="388" t="s">
        <v>1232</v>
      </c>
      <c r="C161" s="388" t="s">
        <v>1231</v>
      </c>
      <c r="D161" s="388" t="s">
        <v>10</v>
      </c>
      <c r="E161" s="89"/>
      <c r="I161" s="387" t="s">
        <v>73</v>
      </c>
      <c r="J161" s="388" t="s">
        <v>72</v>
      </c>
      <c r="K161" s="117"/>
      <c r="L161" s="118"/>
      <c r="M161" s="119"/>
    </row>
    <row r="162" spans="1:15">
      <c r="A162" s="227" t="s">
        <v>1233</v>
      </c>
      <c r="B162" s="127">
        <f>F152</f>
        <v>0</v>
      </c>
      <c r="C162" s="128">
        <f>B162*B159</f>
        <v>0</v>
      </c>
      <c r="D162" s="389">
        <f>SUM(B162:C162)</f>
        <v>0</v>
      </c>
      <c r="E162" s="130"/>
      <c r="I162" s="120" t="s">
        <v>1229</v>
      </c>
      <c r="J162" s="386"/>
      <c r="K162" s="121"/>
      <c r="L162" s="122"/>
      <c r="M162" s="119"/>
    </row>
    <row r="163" spans="1:15" ht="25.5" customHeight="1">
      <c r="A163" s="227" t="s">
        <v>3243</v>
      </c>
      <c r="B163" s="128">
        <f>B162*B157</f>
        <v>0</v>
      </c>
      <c r="C163" s="131">
        <f>B163*B159</f>
        <v>0</v>
      </c>
      <c r="D163" s="131">
        <f>+B163+C163</f>
        <v>0</v>
      </c>
      <c r="E163" s="89"/>
      <c r="I163" s="120" t="s">
        <v>1230</v>
      </c>
      <c r="J163" s="386"/>
      <c r="K163" s="121"/>
      <c r="L163" s="122"/>
      <c r="M163" s="119"/>
    </row>
    <row r="164" spans="1:15">
      <c r="A164" s="227" t="s">
        <v>3244</v>
      </c>
      <c r="B164" s="128">
        <f>B162*B158</f>
        <v>0</v>
      </c>
      <c r="C164" s="131">
        <f>B164*B159</f>
        <v>0</v>
      </c>
      <c r="D164" s="131">
        <f>+B164+C164</f>
        <v>0</v>
      </c>
      <c r="E164" s="89"/>
      <c r="I164" s="120" t="s">
        <v>1231</v>
      </c>
      <c r="J164" s="386"/>
      <c r="K164" s="121"/>
      <c r="L164" s="122"/>
      <c r="M164" s="119"/>
    </row>
    <row r="165" spans="1:15">
      <c r="A165" s="227" t="s">
        <v>1236</v>
      </c>
      <c r="B165" s="127">
        <f>SUM(B162:B164)</f>
        <v>0</v>
      </c>
      <c r="C165" s="127">
        <f>SUM(C162:C164)</f>
        <v>0</v>
      </c>
      <c r="D165" s="389">
        <f>+SUM(D162:D164)</f>
        <v>0</v>
      </c>
      <c r="E165" s="89"/>
      <c r="I165" s="123"/>
      <c r="J165" s="124"/>
      <c r="K165" s="125"/>
      <c r="L165" s="126"/>
      <c r="M165" s="89"/>
    </row>
    <row r="166" spans="1:15">
      <c r="I166" s="123"/>
      <c r="J166" s="388" t="s">
        <v>1232</v>
      </c>
      <c r="K166" s="388" t="s">
        <v>1231</v>
      </c>
      <c r="L166" s="388" t="s">
        <v>10</v>
      </c>
      <c r="M166" s="89"/>
    </row>
    <row r="167" spans="1:15">
      <c r="I167" s="227" t="s">
        <v>1233</v>
      </c>
      <c r="J167" s="127">
        <f>N157</f>
        <v>0</v>
      </c>
      <c r="K167" s="128">
        <f>J167*J164</f>
        <v>0</v>
      </c>
      <c r="L167" s="389">
        <f>SUM(J167:K167)</f>
        <v>0</v>
      </c>
      <c r="M167" s="130"/>
    </row>
    <row r="168" spans="1:15" ht="24.75" customHeight="1">
      <c r="I168" s="227" t="s">
        <v>3243</v>
      </c>
      <c r="J168" s="128">
        <f>J167*J162</f>
        <v>0</v>
      </c>
      <c r="K168" s="131">
        <f>J168*J164</f>
        <v>0</v>
      </c>
      <c r="L168" s="131">
        <f>+J168+K168</f>
        <v>0</v>
      </c>
      <c r="M168" s="89"/>
    </row>
    <row r="169" spans="1:15">
      <c r="I169" s="227" t="s">
        <v>3244</v>
      </c>
      <c r="J169" s="128">
        <f>J167*J163</f>
        <v>0</v>
      </c>
      <c r="K169" s="131">
        <f>J169*J164</f>
        <v>0</v>
      </c>
      <c r="L169" s="131">
        <f>+J169+K169</f>
        <v>0</v>
      </c>
      <c r="M169" s="89"/>
    </row>
    <row r="170" spans="1:15">
      <c r="I170" s="227" t="s">
        <v>1236</v>
      </c>
      <c r="J170" s="127">
        <f>SUM(J167:J169)</f>
        <v>0</v>
      </c>
      <c r="K170" s="127">
        <f>SUM(K167:K169)</f>
        <v>0</v>
      </c>
      <c r="L170" s="389">
        <f>+SUM(L167:L169)</f>
        <v>0</v>
      </c>
      <c r="M170" s="89"/>
    </row>
    <row r="172" spans="1:15" ht="15" customHeight="1">
      <c r="A172" s="402"/>
      <c r="B172" s="402"/>
      <c r="C172" s="402"/>
      <c r="D172" s="520"/>
      <c r="E172" s="520"/>
      <c r="F172" s="520"/>
      <c r="G172" s="520"/>
      <c r="H172" s="402"/>
      <c r="I172" s="402"/>
      <c r="J172" s="402"/>
      <c r="K172" s="520"/>
      <c r="L172" s="520"/>
      <c r="M172" s="520"/>
      <c r="N172" s="520"/>
    </row>
    <row r="173" spans="1:15">
      <c r="A173" s="402"/>
      <c r="B173" s="402"/>
      <c r="C173" s="402"/>
      <c r="D173" s="520"/>
      <c r="E173" s="520"/>
      <c r="F173" s="520"/>
      <c r="G173" s="520"/>
      <c r="H173" s="402"/>
      <c r="I173" s="402"/>
      <c r="J173" s="402"/>
      <c r="K173" s="520"/>
      <c r="L173" s="520"/>
      <c r="M173" s="520"/>
      <c r="N173" s="520"/>
    </row>
    <row r="174" spans="1:15">
      <c r="A174" s="402"/>
      <c r="B174" s="402"/>
      <c r="C174" s="402"/>
      <c r="D174" s="520"/>
      <c r="E174" s="520"/>
      <c r="F174" s="520"/>
      <c r="G174" s="520"/>
      <c r="H174" s="402"/>
      <c r="I174" s="402"/>
      <c r="J174" s="402"/>
      <c r="K174" s="520"/>
      <c r="L174" s="520"/>
      <c r="M174" s="520"/>
      <c r="N174" s="520"/>
      <c r="O174" s="398"/>
    </row>
    <row r="175" spans="1:15">
      <c r="A175" s="402"/>
      <c r="B175" s="402"/>
      <c r="C175" s="402"/>
      <c r="D175" s="402"/>
      <c r="E175" s="402"/>
      <c r="F175" s="402"/>
      <c r="G175" s="402"/>
      <c r="H175" s="402"/>
      <c r="I175" s="402"/>
      <c r="J175" s="402"/>
      <c r="K175" s="402"/>
      <c r="L175" s="402"/>
      <c r="M175" s="402"/>
      <c r="N175" s="402"/>
      <c r="O175" s="398"/>
    </row>
    <row r="176" spans="1:15">
      <c r="A176" s="402"/>
      <c r="B176" s="402"/>
      <c r="C176" s="402"/>
      <c r="D176" s="402"/>
      <c r="E176" s="402"/>
      <c r="F176" s="402"/>
      <c r="G176" s="402"/>
      <c r="H176" s="402"/>
      <c r="I176" s="402"/>
      <c r="J176" s="402"/>
      <c r="K176" s="402"/>
      <c r="L176" s="402"/>
      <c r="M176" s="402"/>
      <c r="N176" s="402"/>
      <c r="O176" s="398"/>
    </row>
  </sheetData>
  <mergeCells count="9">
    <mergeCell ref="A1:G1"/>
    <mergeCell ref="A152:E152"/>
    <mergeCell ref="I157:M157"/>
    <mergeCell ref="A5:F5"/>
    <mergeCell ref="I5:N5"/>
    <mergeCell ref="A6:F6"/>
    <mergeCell ref="I6:N6"/>
    <mergeCell ref="A7:A8"/>
    <mergeCell ref="I7:I8"/>
  </mergeCells>
  <pageMargins left="0.7" right="0.7" top="0.75" bottom="0.75" header="0.3" footer="0.3"/>
  <pageSetup paperSize="9" scale="45" orientation="portrait" r:id="rId1"/>
  <rowBreaks count="1" manualBreakCount="1">
    <brk id="77" max="13" man="1"/>
  </rowBreaks>
  <colBreaks count="1" manualBreakCount="1">
    <brk id="7" max="172" man="1"/>
  </colBreaks>
  <drawing r:id="rId2"/>
  <legacyDrawing r:id="rId3"/>
  <controls>
    <mc:AlternateContent xmlns:mc="http://schemas.openxmlformats.org/markup-compatibility/2006">
      <mc:Choice Requires="x14">
        <control shapeId="107529" r:id="rId4" name="CommandButton7">
          <controlPr defaultSize="0" autoLine="0" r:id="rId5">
            <anchor moveWithCells="1" sizeWithCells="1">
              <from>
                <xdr:col>0</xdr:col>
                <xdr:colOff>1400175</xdr:colOff>
                <xdr:row>174</xdr:row>
                <xdr:rowOff>0</xdr:rowOff>
              </from>
              <to>
                <xdr:col>1</xdr:col>
                <xdr:colOff>3190875</xdr:colOff>
                <xdr:row>175</xdr:row>
                <xdr:rowOff>104775</xdr:rowOff>
              </to>
            </anchor>
          </controlPr>
        </control>
      </mc:Choice>
      <mc:Fallback>
        <control shapeId="107529" r:id="rId4" name="CommandButton7"/>
      </mc:Fallback>
    </mc:AlternateContent>
    <mc:AlternateContent xmlns:mc="http://schemas.openxmlformats.org/markup-compatibility/2006">
      <mc:Choice Requires="x14">
        <control shapeId="107521" r:id="rId6" name="CommandButton1">
          <controlPr defaultSize="0" autoLine="0" r:id="rId7">
            <anchor moveWithCells="1" sizeWithCells="1">
              <from>
                <xdr:col>0</xdr:col>
                <xdr:colOff>57150</xdr:colOff>
                <xdr:row>1</xdr:row>
                <xdr:rowOff>209550</xdr:rowOff>
              </from>
              <to>
                <xdr:col>0</xdr:col>
                <xdr:colOff>1238250</xdr:colOff>
                <xdr:row>2</xdr:row>
                <xdr:rowOff>142875</xdr:rowOff>
              </to>
            </anchor>
          </controlPr>
        </control>
      </mc:Choice>
      <mc:Fallback>
        <control shapeId="107521" r:id="rId6" name="CommandButton1"/>
      </mc:Fallback>
    </mc:AlternateContent>
    <mc:AlternateContent xmlns:mc="http://schemas.openxmlformats.org/markup-compatibility/2006">
      <mc:Choice Requires="x14">
        <control shapeId="107522" r:id="rId8" name="CommandButton2">
          <controlPr defaultSize="0" autoLine="0" r:id="rId9">
            <anchor moveWithCells="1" sizeWithCells="1">
              <from>
                <xdr:col>0</xdr:col>
                <xdr:colOff>57150</xdr:colOff>
                <xdr:row>174</xdr:row>
                <xdr:rowOff>9525</xdr:rowOff>
              </from>
              <to>
                <xdr:col>0</xdr:col>
                <xdr:colOff>1362075</xdr:colOff>
                <xdr:row>175</xdr:row>
                <xdr:rowOff>114300</xdr:rowOff>
              </to>
            </anchor>
          </controlPr>
        </control>
      </mc:Choice>
      <mc:Fallback>
        <control shapeId="107522" r:id="rId8" name="CommandButton2"/>
      </mc:Fallback>
    </mc:AlternateContent>
    <mc:AlternateContent xmlns:mc="http://schemas.openxmlformats.org/markup-compatibility/2006">
      <mc:Choice Requires="x14">
        <control shapeId="107526" r:id="rId10" name="CommandButton3">
          <controlPr defaultSize="0" autoLine="0" r:id="rId11">
            <anchor moveWithCells="1" sizeWithCells="1">
              <from>
                <xdr:col>0</xdr:col>
                <xdr:colOff>1266825</xdr:colOff>
                <xdr:row>1</xdr:row>
                <xdr:rowOff>200025</xdr:rowOff>
              </from>
              <to>
                <xdr:col>1</xdr:col>
                <xdr:colOff>2733675</xdr:colOff>
                <xdr:row>2</xdr:row>
                <xdr:rowOff>142875</xdr:rowOff>
              </to>
            </anchor>
          </controlPr>
        </control>
      </mc:Choice>
      <mc:Fallback>
        <control shapeId="107526" r:id="rId10" name="CommandButton3"/>
      </mc:Fallback>
    </mc:AlternateContent>
    <mc:AlternateContent xmlns:mc="http://schemas.openxmlformats.org/markup-compatibility/2006">
      <mc:Choice Requires="x14">
        <control shapeId="107527" r:id="rId12" name="CommandButton5">
          <controlPr defaultSize="0" autoLine="0" r:id="rId13">
            <anchor moveWithCells="1">
              <from>
                <xdr:col>1</xdr:col>
                <xdr:colOff>3200400</xdr:colOff>
                <xdr:row>174</xdr:row>
                <xdr:rowOff>0</xdr:rowOff>
              </from>
              <to>
                <xdr:col>4</xdr:col>
                <xdr:colOff>0</xdr:colOff>
                <xdr:row>175</xdr:row>
                <xdr:rowOff>104775</xdr:rowOff>
              </to>
            </anchor>
          </controlPr>
        </control>
      </mc:Choice>
      <mc:Fallback>
        <control shapeId="107527" r:id="rId12" name="CommandButton5"/>
      </mc:Fallback>
    </mc:AlternateContent>
    <mc:AlternateContent xmlns:mc="http://schemas.openxmlformats.org/markup-compatibility/2006">
      <mc:Choice Requires="x14">
        <control shapeId="107528" r:id="rId14" name="CommandButton6">
          <controlPr defaultSize="0" autoLine="0" r:id="rId15">
            <anchor moveWithCells="1">
              <from>
                <xdr:col>1</xdr:col>
                <xdr:colOff>2771775</xdr:colOff>
                <xdr:row>1</xdr:row>
                <xdr:rowOff>200025</xdr:rowOff>
              </from>
              <to>
                <xdr:col>4</xdr:col>
                <xdr:colOff>9525</xdr:colOff>
                <xdr:row>2</xdr:row>
                <xdr:rowOff>142875</xdr:rowOff>
              </to>
            </anchor>
          </controlPr>
        </control>
      </mc:Choice>
      <mc:Fallback>
        <control shapeId="107528" r:id="rId14" name="CommandButton6"/>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dimension ref="A1:G272"/>
  <sheetViews>
    <sheetView showZeros="0" view="pageBreakPreview" topLeftCell="A142" zoomScale="115" zoomScaleNormal="100" zoomScaleSheetLayoutView="115" workbookViewId="0">
      <selection activeCell="F177" sqref="F177"/>
    </sheetView>
  </sheetViews>
  <sheetFormatPr baseColWidth="10" defaultColWidth="11.42578125" defaultRowHeight="12.75"/>
  <cols>
    <col min="1" max="1" width="11.42578125" style="1"/>
    <col min="2" max="2" width="67.42578125" style="1" customWidth="1"/>
    <col min="3" max="16384" width="11.42578125" style="1"/>
  </cols>
  <sheetData>
    <row r="1" spans="1:7" ht="19.5">
      <c r="A1" s="1920" t="s">
        <v>3264</v>
      </c>
      <c r="B1" s="1920"/>
      <c r="C1" s="1920"/>
      <c r="D1" s="1920"/>
      <c r="E1" s="1920"/>
      <c r="F1" s="1920"/>
      <c r="G1" s="1920"/>
    </row>
    <row r="2" spans="1:7">
      <c r="A2" s="431"/>
      <c r="B2" s="431"/>
      <c r="C2" s="431"/>
      <c r="D2" s="431"/>
      <c r="E2" s="431"/>
      <c r="F2" s="431"/>
      <c r="G2" s="431"/>
    </row>
    <row r="3" spans="1:7">
      <c r="A3" s="431"/>
      <c r="B3" s="431"/>
      <c r="C3" s="431"/>
      <c r="D3" s="431"/>
      <c r="E3" s="431"/>
      <c r="F3" s="431"/>
      <c r="G3" s="431"/>
    </row>
    <row r="5" spans="1:7">
      <c r="A5" s="1911"/>
      <c r="B5" s="1911"/>
      <c r="C5" s="1911"/>
      <c r="D5" s="1911"/>
      <c r="E5" s="1911"/>
      <c r="F5" s="1911"/>
    </row>
    <row r="6" spans="1:7">
      <c r="A6" s="418" t="s">
        <v>852</v>
      </c>
      <c r="B6" s="368" t="s">
        <v>608</v>
      </c>
      <c r="C6" s="367" t="s">
        <v>853</v>
      </c>
      <c r="D6" s="439" t="s">
        <v>854</v>
      </c>
      <c r="E6" s="400" t="s">
        <v>3265</v>
      </c>
      <c r="F6" s="400" t="s">
        <v>3266</v>
      </c>
    </row>
    <row r="7" spans="1:7">
      <c r="A7" s="401">
        <v>5.0999999999999996</v>
      </c>
      <c r="B7" s="401" t="s">
        <v>3081</v>
      </c>
      <c r="C7" s="367"/>
      <c r="D7" s="367"/>
      <c r="E7" s="400"/>
      <c r="F7" s="400">
        <f>E265</f>
        <v>0</v>
      </c>
    </row>
    <row r="8" spans="1:7">
      <c r="A8" s="71" t="s">
        <v>857</v>
      </c>
      <c r="B8" s="71" t="s">
        <v>3082</v>
      </c>
      <c r="C8" s="72"/>
      <c r="D8" s="73"/>
      <c r="E8" s="73"/>
      <c r="F8" s="432">
        <f>F9+F51+F84+F129</f>
        <v>0</v>
      </c>
    </row>
    <row r="9" spans="1:7">
      <c r="A9" s="71" t="s">
        <v>858</v>
      </c>
      <c r="B9" s="71" t="s">
        <v>859</v>
      </c>
      <c r="C9" s="72"/>
      <c r="D9" s="73"/>
      <c r="E9" s="73"/>
      <c r="F9" s="432">
        <f>F10+F12+F14+F17+F20+F22+F24+F27+F30+F33+F35+F41+F43+F47</f>
        <v>0</v>
      </c>
    </row>
    <row r="10" spans="1:7">
      <c r="A10" s="74" t="s">
        <v>860</v>
      </c>
      <c r="B10" s="74" t="s">
        <v>861</v>
      </c>
      <c r="C10" s="75"/>
      <c r="D10" s="76"/>
      <c r="E10" s="76"/>
      <c r="F10" s="77">
        <f>SUM(F11)</f>
        <v>0</v>
      </c>
    </row>
    <row r="11" spans="1:7">
      <c r="A11" s="78" t="s">
        <v>862</v>
      </c>
      <c r="B11" s="78" t="s">
        <v>863</v>
      </c>
      <c r="C11" s="79" t="s">
        <v>864</v>
      </c>
      <c r="D11" s="440"/>
      <c r="E11" s="440"/>
      <c r="F11" s="433">
        <f>D11*E11</f>
        <v>0</v>
      </c>
    </row>
    <row r="12" spans="1:7">
      <c r="A12" s="74" t="s">
        <v>865</v>
      </c>
      <c r="B12" s="74" t="s">
        <v>866</v>
      </c>
      <c r="C12" s="75"/>
      <c r="D12" s="76"/>
      <c r="E12" s="76"/>
      <c r="F12" s="77">
        <f>F13</f>
        <v>0</v>
      </c>
    </row>
    <row r="13" spans="1:7">
      <c r="A13" s="78" t="s">
        <v>867</v>
      </c>
      <c r="B13" s="78" t="s">
        <v>868</v>
      </c>
      <c r="C13" s="79" t="s">
        <v>22</v>
      </c>
      <c r="D13" s="440"/>
      <c r="E13" s="440"/>
      <c r="F13" s="433">
        <f>D13*E13</f>
        <v>0</v>
      </c>
    </row>
    <row r="14" spans="1:7">
      <c r="A14" s="74" t="s">
        <v>869</v>
      </c>
      <c r="B14" s="74" t="s">
        <v>870</v>
      </c>
      <c r="C14" s="75"/>
      <c r="D14" s="76"/>
      <c r="E14" s="76"/>
      <c r="F14" s="77">
        <f>SUM(F15:F16)</f>
        <v>0</v>
      </c>
    </row>
    <row r="15" spans="1:7">
      <c r="A15" s="78" t="s">
        <v>871</v>
      </c>
      <c r="B15" s="78" t="s">
        <v>872</v>
      </c>
      <c r="C15" s="79" t="s">
        <v>22</v>
      </c>
      <c r="D15" s="440"/>
      <c r="E15" s="440"/>
      <c r="F15" s="433">
        <f>D15*E15</f>
        <v>0</v>
      </c>
    </row>
    <row r="16" spans="1:7">
      <c r="A16" s="78" t="s">
        <v>873</v>
      </c>
      <c r="B16" s="78" t="s">
        <v>874</v>
      </c>
      <c r="C16" s="79" t="s">
        <v>875</v>
      </c>
      <c r="D16" s="440"/>
      <c r="E16" s="440"/>
      <c r="F16" s="433">
        <f>D16*E16</f>
        <v>0</v>
      </c>
    </row>
    <row r="17" spans="1:6">
      <c r="A17" s="74" t="s">
        <v>876</v>
      </c>
      <c r="B17" s="74" t="s">
        <v>877</v>
      </c>
      <c r="C17" s="75"/>
      <c r="D17" s="76"/>
      <c r="E17" s="76"/>
      <c r="F17" s="77">
        <f>SUM(F18:F19)</f>
        <v>0</v>
      </c>
    </row>
    <row r="18" spans="1:6">
      <c r="A18" s="80" t="s">
        <v>878</v>
      </c>
      <c r="B18" s="78" t="s">
        <v>879</v>
      </c>
      <c r="C18" s="79" t="s">
        <v>22</v>
      </c>
      <c r="D18" s="440"/>
      <c r="E18" s="440"/>
      <c r="F18" s="433">
        <f>D18*E18</f>
        <v>0</v>
      </c>
    </row>
    <row r="19" spans="1:6">
      <c r="A19" s="78" t="s">
        <v>880</v>
      </c>
      <c r="B19" s="78" t="s">
        <v>881</v>
      </c>
      <c r="C19" s="79" t="s">
        <v>22</v>
      </c>
      <c r="D19" s="440"/>
      <c r="E19" s="440"/>
      <c r="F19" s="433">
        <f>D19*E19</f>
        <v>0</v>
      </c>
    </row>
    <row r="20" spans="1:6">
      <c r="A20" s="74" t="s">
        <v>882</v>
      </c>
      <c r="B20" s="74" t="s">
        <v>3083</v>
      </c>
      <c r="C20" s="75"/>
      <c r="D20" s="76"/>
      <c r="E20" s="76"/>
      <c r="F20" s="77">
        <f>F21</f>
        <v>0</v>
      </c>
    </row>
    <row r="21" spans="1:6">
      <c r="A21" s="78" t="s">
        <v>883</v>
      </c>
      <c r="B21" s="78" t="s">
        <v>3084</v>
      </c>
      <c r="C21" s="79" t="s">
        <v>875</v>
      </c>
      <c r="D21" s="440"/>
      <c r="E21" s="440"/>
      <c r="F21" s="433">
        <f>D21*E21</f>
        <v>0</v>
      </c>
    </row>
    <row r="22" spans="1:6">
      <c r="A22" s="74" t="s">
        <v>884</v>
      </c>
      <c r="B22" s="74" t="s">
        <v>3085</v>
      </c>
      <c r="C22" s="75"/>
      <c r="D22" s="76"/>
      <c r="E22" s="76"/>
      <c r="F22" s="77">
        <f>F23</f>
        <v>0</v>
      </c>
    </row>
    <row r="23" spans="1:6">
      <c r="A23" s="78" t="s">
        <v>885</v>
      </c>
      <c r="B23" s="78" t="s">
        <v>3086</v>
      </c>
      <c r="C23" s="79" t="s">
        <v>22</v>
      </c>
      <c r="D23" s="440"/>
      <c r="E23" s="440"/>
      <c r="F23" s="433">
        <f>D23*E23</f>
        <v>0</v>
      </c>
    </row>
    <row r="24" spans="1:6">
      <c r="A24" s="74" t="s">
        <v>886</v>
      </c>
      <c r="B24" s="74" t="s">
        <v>887</v>
      </c>
      <c r="C24" s="75"/>
      <c r="D24" s="76"/>
      <c r="E24" s="76"/>
      <c r="F24" s="77">
        <f>SUM(F25:F26)</f>
        <v>0</v>
      </c>
    </row>
    <row r="25" spans="1:6">
      <c r="A25" s="78" t="s">
        <v>888</v>
      </c>
      <c r="B25" s="78" t="s">
        <v>3286</v>
      </c>
      <c r="C25" s="79" t="s">
        <v>22</v>
      </c>
      <c r="D25" s="440"/>
      <c r="E25" s="440"/>
      <c r="F25" s="433">
        <f>D25*E25</f>
        <v>0</v>
      </c>
    </row>
    <row r="26" spans="1:6">
      <c r="A26" s="78" t="s">
        <v>889</v>
      </c>
      <c r="B26" s="78" t="s">
        <v>3287</v>
      </c>
      <c r="C26" s="79" t="s">
        <v>22</v>
      </c>
      <c r="D26" s="440"/>
      <c r="E26" s="440"/>
      <c r="F26" s="433">
        <f>D26*E26</f>
        <v>0</v>
      </c>
    </row>
    <row r="27" spans="1:6">
      <c r="A27" s="74" t="s">
        <v>890</v>
      </c>
      <c r="B27" s="74" t="s">
        <v>3047</v>
      </c>
      <c r="C27" s="75"/>
      <c r="D27" s="76"/>
      <c r="E27" s="76"/>
      <c r="F27" s="77">
        <f>SUM(F28:F29)</f>
        <v>0</v>
      </c>
    </row>
    <row r="28" spans="1:6">
      <c r="A28" s="78" t="s">
        <v>892</v>
      </c>
      <c r="B28" s="78" t="s">
        <v>893</v>
      </c>
      <c r="C28" s="79" t="s">
        <v>472</v>
      </c>
      <c r="D28" s="440"/>
      <c r="E28" s="440"/>
      <c r="F28" s="433">
        <f>D28*E28</f>
        <v>0</v>
      </c>
    </row>
    <row r="29" spans="1:6">
      <c r="A29" s="78" t="s">
        <v>895</v>
      </c>
      <c r="B29" s="78" t="s">
        <v>896</v>
      </c>
      <c r="C29" s="79" t="s">
        <v>472</v>
      </c>
      <c r="D29" s="440"/>
      <c r="E29" s="440"/>
      <c r="F29" s="433">
        <f>D29*E29</f>
        <v>0</v>
      </c>
    </row>
    <row r="30" spans="1:6">
      <c r="A30" s="74" t="s">
        <v>897</v>
      </c>
      <c r="B30" s="74" t="s">
        <v>3040</v>
      </c>
      <c r="C30" s="75"/>
      <c r="D30" s="76"/>
      <c r="E30" s="76"/>
      <c r="F30" s="77">
        <f>SUM(F31:F32)</f>
        <v>0</v>
      </c>
    </row>
    <row r="31" spans="1:6">
      <c r="A31" s="78" t="s">
        <v>898</v>
      </c>
      <c r="B31" s="78" t="s">
        <v>899</v>
      </c>
      <c r="C31" s="79" t="s">
        <v>472</v>
      </c>
      <c r="D31" s="440"/>
      <c r="E31" s="440"/>
      <c r="F31" s="433">
        <f>D31*E31</f>
        <v>0</v>
      </c>
    </row>
    <row r="32" spans="1:6">
      <c r="A32" s="78" t="s">
        <v>900</v>
      </c>
      <c r="B32" s="78" t="s">
        <v>901</v>
      </c>
      <c r="C32" s="79" t="s">
        <v>472</v>
      </c>
      <c r="D32" s="440"/>
      <c r="E32" s="440"/>
      <c r="F32" s="433">
        <f>D32*E32</f>
        <v>0</v>
      </c>
    </row>
    <row r="33" spans="1:6">
      <c r="A33" s="74" t="s">
        <v>902</v>
      </c>
      <c r="B33" s="74" t="s">
        <v>3087</v>
      </c>
      <c r="C33" s="75"/>
      <c r="D33" s="76"/>
      <c r="E33" s="76"/>
      <c r="F33" s="77">
        <f>F34</f>
        <v>0</v>
      </c>
    </row>
    <row r="34" spans="1:6">
      <c r="A34" s="78" t="s">
        <v>903</v>
      </c>
      <c r="B34" s="78" t="s">
        <v>904</v>
      </c>
      <c r="C34" s="79" t="s">
        <v>472</v>
      </c>
      <c r="D34" s="440"/>
      <c r="E34" s="440"/>
      <c r="F34" s="433">
        <f>D34*E34</f>
        <v>0</v>
      </c>
    </row>
    <row r="35" spans="1:6">
      <c r="A35" s="74" t="s">
        <v>905</v>
      </c>
      <c r="B35" s="74" t="s">
        <v>3067</v>
      </c>
      <c r="C35" s="75"/>
      <c r="D35" s="76"/>
      <c r="E35" s="76"/>
      <c r="F35" s="77">
        <f>SUM(F36:F40)</f>
        <v>0</v>
      </c>
    </row>
    <row r="36" spans="1:6">
      <c r="A36" s="78" t="s">
        <v>906</v>
      </c>
      <c r="B36" s="78" t="s">
        <v>3088</v>
      </c>
      <c r="C36" s="79" t="s">
        <v>472</v>
      </c>
      <c r="D36" s="440"/>
      <c r="E36" s="440"/>
      <c r="F36" s="433">
        <f>D36*E36</f>
        <v>0</v>
      </c>
    </row>
    <row r="37" spans="1:6">
      <c r="A37" s="78" t="s">
        <v>907</v>
      </c>
      <c r="B37" s="78" t="s">
        <v>908</v>
      </c>
      <c r="C37" s="79" t="s">
        <v>472</v>
      </c>
      <c r="D37" s="440"/>
      <c r="E37" s="440"/>
      <c r="F37" s="433">
        <f>D37*E37</f>
        <v>0</v>
      </c>
    </row>
    <row r="38" spans="1:6">
      <c r="A38" s="78" t="s">
        <v>909</v>
      </c>
      <c r="B38" s="78" t="s">
        <v>910</v>
      </c>
      <c r="C38" s="79" t="s">
        <v>472</v>
      </c>
      <c r="D38" s="440"/>
      <c r="E38" s="440"/>
      <c r="F38" s="433">
        <f>D38*E38</f>
        <v>0</v>
      </c>
    </row>
    <row r="39" spans="1:6">
      <c r="A39" s="78" t="s">
        <v>911</v>
      </c>
      <c r="B39" s="78" t="s">
        <v>912</v>
      </c>
      <c r="C39" s="79" t="s">
        <v>472</v>
      </c>
      <c r="D39" s="440"/>
      <c r="E39" s="440"/>
      <c r="F39" s="433">
        <f>D39*E39</f>
        <v>0</v>
      </c>
    </row>
    <row r="40" spans="1:6">
      <c r="A40" s="78" t="s">
        <v>913</v>
      </c>
      <c r="B40" s="78" t="s">
        <v>914</v>
      </c>
      <c r="C40" s="79" t="s">
        <v>22</v>
      </c>
      <c r="D40" s="440"/>
      <c r="E40" s="440"/>
      <c r="F40" s="433">
        <f>D40*E40</f>
        <v>0</v>
      </c>
    </row>
    <row r="41" spans="1:6">
      <c r="A41" s="74" t="s">
        <v>915</v>
      </c>
      <c r="B41" s="74" t="s">
        <v>916</v>
      </c>
      <c r="C41" s="75"/>
      <c r="D41" s="76"/>
      <c r="E41" s="76"/>
      <c r="F41" s="77">
        <f>F42</f>
        <v>0</v>
      </c>
    </row>
    <row r="42" spans="1:6">
      <c r="A42" s="78" t="s">
        <v>917</v>
      </c>
      <c r="B42" s="78" t="s">
        <v>918</v>
      </c>
      <c r="C42" s="79" t="s">
        <v>22</v>
      </c>
      <c r="D42" s="440"/>
      <c r="E42" s="440"/>
      <c r="F42" s="433">
        <f>D42*E42</f>
        <v>0</v>
      </c>
    </row>
    <row r="43" spans="1:6">
      <c r="A43" s="74" t="s">
        <v>919</v>
      </c>
      <c r="B43" s="74" t="s">
        <v>920</v>
      </c>
      <c r="C43" s="75"/>
      <c r="D43" s="76"/>
      <c r="E43" s="76"/>
      <c r="F43" s="77">
        <f>SUM(F44:F46)</f>
        <v>0</v>
      </c>
    </row>
    <row r="44" spans="1:6">
      <c r="A44" s="78" t="s">
        <v>921</v>
      </c>
      <c r="B44" s="78" t="s">
        <v>3089</v>
      </c>
      <c r="C44" s="79" t="s">
        <v>472</v>
      </c>
      <c r="D44" s="440"/>
      <c r="E44" s="440"/>
      <c r="F44" s="433">
        <f>D44*E44</f>
        <v>0</v>
      </c>
    </row>
    <row r="45" spans="1:6">
      <c r="A45" s="78" t="s">
        <v>922</v>
      </c>
      <c r="B45" s="78" t="s">
        <v>923</v>
      </c>
      <c r="C45" s="79" t="s">
        <v>472</v>
      </c>
      <c r="D45" s="440"/>
      <c r="E45" s="440"/>
      <c r="F45" s="433">
        <f>D45*E45</f>
        <v>0</v>
      </c>
    </row>
    <row r="46" spans="1:6">
      <c r="A46" s="78" t="s">
        <v>924</v>
      </c>
      <c r="B46" s="78" t="s">
        <v>925</v>
      </c>
      <c r="C46" s="79" t="s">
        <v>472</v>
      </c>
      <c r="D46" s="440"/>
      <c r="E46" s="440"/>
      <c r="F46" s="433">
        <f>D46*E46</f>
        <v>0</v>
      </c>
    </row>
    <row r="47" spans="1:6">
      <c r="A47" s="74" t="s">
        <v>926</v>
      </c>
      <c r="B47" s="74" t="s">
        <v>3090</v>
      </c>
      <c r="C47" s="75"/>
      <c r="D47" s="76"/>
      <c r="E47" s="76"/>
      <c r="F47" s="77">
        <f>SUM(F48:F50)</f>
        <v>0</v>
      </c>
    </row>
    <row r="48" spans="1:6">
      <c r="A48" s="78" t="s">
        <v>927</v>
      </c>
      <c r="B48" s="78" t="s">
        <v>3091</v>
      </c>
      <c r="C48" s="79" t="s">
        <v>472</v>
      </c>
      <c r="D48" s="440"/>
      <c r="E48" s="440"/>
      <c r="F48" s="433">
        <f>D48*E48</f>
        <v>0</v>
      </c>
    </row>
    <row r="49" spans="1:6">
      <c r="A49" s="78" t="s">
        <v>928</v>
      </c>
      <c r="B49" s="78" t="s">
        <v>3092</v>
      </c>
      <c r="C49" s="79" t="s">
        <v>472</v>
      </c>
      <c r="D49" s="440"/>
      <c r="E49" s="440"/>
      <c r="F49" s="433">
        <f>D49*E49</f>
        <v>0</v>
      </c>
    </row>
    <row r="50" spans="1:6">
      <c r="A50" s="78" t="s">
        <v>929</v>
      </c>
      <c r="B50" s="78" t="s">
        <v>930</v>
      </c>
      <c r="C50" s="79" t="s">
        <v>472</v>
      </c>
      <c r="D50" s="440"/>
      <c r="E50" s="440"/>
      <c r="F50" s="433">
        <f>D50*E50</f>
        <v>0</v>
      </c>
    </row>
    <row r="51" spans="1:6">
      <c r="A51" s="71" t="s">
        <v>931</v>
      </c>
      <c r="B51" s="71" t="s">
        <v>932</v>
      </c>
      <c r="C51" s="72"/>
      <c r="D51" s="73"/>
      <c r="E51" s="73"/>
      <c r="F51" s="432">
        <f>F52+F55+F65+F75+F82</f>
        <v>0</v>
      </c>
    </row>
    <row r="52" spans="1:6">
      <c r="A52" s="74" t="s">
        <v>933</v>
      </c>
      <c r="B52" s="74" t="s">
        <v>934</v>
      </c>
      <c r="C52" s="75"/>
      <c r="D52" s="76"/>
      <c r="E52" s="76"/>
      <c r="F52" s="77">
        <f>SUM(F53:F54)</f>
        <v>0</v>
      </c>
    </row>
    <row r="53" spans="1:6">
      <c r="A53" s="78" t="s">
        <v>935</v>
      </c>
      <c r="B53" s="78" t="s">
        <v>3093</v>
      </c>
      <c r="C53" s="79" t="s">
        <v>22</v>
      </c>
      <c r="D53" s="440"/>
      <c r="E53" s="440"/>
      <c r="F53" s="433">
        <f>D53*E53</f>
        <v>0</v>
      </c>
    </row>
    <row r="54" spans="1:6">
      <c r="A54" s="78" t="s">
        <v>936</v>
      </c>
      <c r="B54" s="78" t="s">
        <v>937</v>
      </c>
      <c r="C54" s="79" t="s">
        <v>22</v>
      </c>
      <c r="D54" s="440"/>
      <c r="E54" s="440"/>
      <c r="F54" s="433">
        <f>D54*E54</f>
        <v>0</v>
      </c>
    </row>
    <row r="55" spans="1:6">
      <c r="A55" s="74" t="s">
        <v>938</v>
      </c>
      <c r="B55" s="74" t="s">
        <v>939</v>
      </c>
      <c r="C55" s="75"/>
      <c r="D55" s="76"/>
      <c r="E55" s="76"/>
      <c r="F55" s="77">
        <f>F56+F60+F62</f>
        <v>0</v>
      </c>
    </row>
    <row r="56" spans="1:6">
      <c r="A56" s="81" t="s">
        <v>940</v>
      </c>
      <c r="B56" s="81" t="s">
        <v>941</v>
      </c>
      <c r="C56" s="82"/>
      <c r="D56" s="83"/>
      <c r="E56" s="83"/>
      <c r="F56" s="434">
        <f>SUM(F57:F59)</f>
        <v>0</v>
      </c>
    </row>
    <row r="57" spans="1:6">
      <c r="A57" s="78" t="s">
        <v>942</v>
      </c>
      <c r="B57" s="78" t="s">
        <v>3094</v>
      </c>
      <c r="C57" s="79" t="s">
        <v>943</v>
      </c>
      <c r="D57" s="440"/>
      <c r="E57" s="440"/>
      <c r="F57" s="433">
        <f>D57*E57</f>
        <v>0</v>
      </c>
    </row>
    <row r="58" spans="1:6">
      <c r="A58" s="78" t="s">
        <v>944</v>
      </c>
      <c r="B58" s="78" t="s">
        <v>3095</v>
      </c>
      <c r="C58" s="79" t="s">
        <v>943</v>
      </c>
      <c r="D58" s="440"/>
      <c r="E58" s="440"/>
      <c r="F58" s="433">
        <f>D58*E58</f>
        <v>0</v>
      </c>
    </row>
    <row r="59" spans="1:6">
      <c r="A59" s="78" t="s">
        <v>945</v>
      </c>
      <c r="B59" s="78" t="s">
        <v>946</v>
      </c>
      <c r="C59" s="79" t="s">
        <v>943</v>
      </c>
      <c r="D59" s="440"/>
      <c r="E59" s="440"/>
      <c r="F59" s="433">
        <f>D59*E59</f>
        <v>0</v>
      </c>
    </row>
    <row r="60" spans="1:6">
      <c r="A60" s="81" t="s">
        <v>947</v>
      </c>
      <c r="B60" s="81" t="s">
        <v>948</v>
      </c>
      <c r="C60" s="82"/>
      <c r="D60" s="83"/>
      <c r="E60" s="83"/>
      <c r="F60" s="434">
        <f>F61</f>
        <v>0</v>
      </c>
    </row>
    <row r="61" spans="1:6">
      <c r="A61" s="78" t="s">
        <v>949</v>
      </c>
      <c r="B61" s="78" t="s">
        <v>950</v>
      </c>
      <c r="C61" s="79" t="s">
        <v>943</v>
      </c>
      <c r="D61" s="440"/>
      <c r="E61" s="440"/>
      <c r="F61" s="433">
        <f>D61*E61</f>
        <v>0</v>
      </c>
    </row>
    <row r="62" spans="1:6">
      <c r="A62" s="81" t="s">
        <v>951</v>
      </c>
      <c r="B62" s="81" t="s">
        <v>952</v>
      </c>
      <c r="C62" s="82"/>
      <c r="D62" s="83"/>
      <c r="E62" s="83"/>
      <c r="F62" s="434">
        <f>SUM(F63:F64)</f>
        <v>0</v>
      </c>
    </row>
    <row r="63" spans="1:6">
      <c r="A63" s="78" t="s">
        <v>953</v>
      </c>
      <c r="B63" s="78" t="s">
        <v>954</v>
      </c>
      <c r="C63" s="79" t="s">
        <v>943</v>
      </c>
      <c r="D63" s="440"/>
      <c r="E63" s="440"/>
      <c r="F63" s="433">
        <f>D63*E63</f>
        <v>0</v>
      </c>
    </row>
    <row r="64" spans="1:6">
      <c r="A64" s="78" t="s">
        <v>955</v>
      </c>
      <c r="B64" s="78" t="s">
        <v>3096</v>
      </c>
      <c r="C64" s="79" t="s">
        <v>943</v>
      </c>
      <c r="D64" s="440"/>
      <c r="E64" s="440"/>
      <c r="F64" s="433">
        <f>D64*E64</f>
        <v>0</v>
      </c>
    </row>
    <row r="65" spans="1:6">
      <c r="A65" s="74" t="s">
        <v>956</v>
      </c>
      <c r="B65" s="74" t="s">
        <v>957</v>
      </c>
      <c r="C65" s="75"/>
      <c r="D65" s="76"/>
      <c r="E65" s="76"/>
      <c r="F65" s="77">
        <f>SUM(F66:F74)</f>
        <v>0</v>
      </c>
    </row>
    <row r="66" spans="1:6">
      <c r="A66" s="78" t="s">
        <v>958</v>
      </c>
      <c r="B66" s="78" t="s">
        <v>959</v>
      </c>
      <c r="C66" s="79" t="s">
        <v>943</v>
      </c>
      <c r="D66" s="440"/>
      <c r="E66" s="440"/>
      <c r="F66" s="433">
        <f t="shared" ref="F66:F74" si="0">D66*E66</f>
        <v>0</v>
      </c>
    </row>
    <row r="67" spans="1:6">
      <c r="A67" s="78" t="s">
        <v>960</v>
      </c>
      <c r="B67" s="78" t="s">
        <v>961</v>
      </c>
      <c r="C67" s="79" t="s">
        <v>943</v>
      </c>
      <c r="D67" s="440"/>
      <c r="E67" s="440"/>
      <c r="F67" s="433">
        <f t="shared" si="0"/>
        <v>0</v>
      </c>
    </row>
    <row r="68" spans="1:6">
      <c r="A68" s="78" t="s">
        <v>962</v>
      </c>
      <c r="B68" s="78" t="s">
        <v>963</v>
      </c>
      <c r="C68" s="79" t="s">
        <v>22</v>
      </c>
      <c r="D68" s="440"/>
      <c r="E68" s="440"/>
      <c r="F68" s="433">
        <f t="shared" si="0"/>
        <v>0</v>
      </c>
    </row>
    <row r="69" spans="1:6">
      <c r="A69" s="78" t="s">
        <v>964</v>
      </c>
      <c r="B69" s="78" t="s">
        <v>965</v>
      </c>
      <c r="C69" s="79" t="s">
        <v>943</v>
      </c>
      <c r="D69" s="440"/>
      <c r="E69" s="440"/>
      <c r="F69" s="433">
        <f t="shared" si="0"/>
        <v>0</v>
      </c>
    </row>
    <row r="70" spans="1:6">
      <c r="A70" s="78" t="s">
        <v>966</v>
      </c>
      <c r="B70" s="78" t="s">
        <v>967</v>
      </c>
      <c r="C70" s="79" t="s">
        <v>22</v>
      </c>
      <c r="D70" s="440"/>
      <c r="E70" s="440"/>
      <c r="F70" s="433">
        <f t="shared" si="0"/>
        <v>0</v>
      </c>
    </row>
    <row r="71" spans="1:6">
      <c r="A71" s="78" t="s">
        <v>968</v>
      </c>
      <c r="B71" s="78" t="s">
        <v>3097</v>
      </c>
      <c r="C71" s="79" t="s">
        <v>943</v>
      </c>
      <c r="D71" s="440"/>
      <c r="E71" s="440"/>
      <c r="F71" s="433">
        <f t="shared" si="0"/>
        <v>0</v>
      </c>
    </row>
    <row r="72" spans="1:6">
      <c r="A72" s="78" t="s">
        <v>969</v>
      </c>
      <c r="B72" s="78" t="s">
        <v>970</v>
      </c>
      <c r="C72" s="79" t="s">
        <v>22</v>
      </c>
      <c r="D72" s="440"/>
      <c r="E72" s="440"/>
      <c r="F72" s="433">
        <f t="shared" si="0"/>
        <v>0</v>
      </c>
    </row>
    <row r="73" spans="1:6">
      <c r="A73" s="78" t="s">
        <v>971</v>
      </c>
      <c r="B73" s="78" t="s">
        <v>3098</v>
      </c>
      <c r="C73" s="79" t="s">
        <v>943</v>
      </c>
      <c r="D73" s="440"/>
      <c r="E73" s="440"/>
      <c r="F73" s="433">
        <f t="shared" si="0"/>
        <v>0</v>
      </c>
    </row>
    <row r="74" spans="1:6">
      <c r="A74" s="78" t="s">
        <v>972</v>
      </c>
      <c r="B74" s="78" t="s">
        <v>3099</v>
      </c>
      <c r="C74" s="79" t="s">
        <v>943</v>
      </c>
      <c r="D74" s="440"/>
      <c r="E74" s="440"/>
      <c r="F74" s="433">
        <f t="shared" si="0"/>
        <v>0</v>
      </c>
    </row>
    <row r="75" spans="1:6">
      <c r="A75" s="74" t="s">
        <v>973</v>
      </c>
      <c r="B75" s="74" t="s">
        <v>974</v>
      </c>
      <c r="C75" s="75"/>
      <c r="D75" s="76"/>
      <c r="E75" s="76"/>
      <c r="F75" s="77">
        <f>SUM(F76:F81)</f>
        <v>0</v>
      </c>
    </row>
    <row r="76" spans="1:6">
      <c r="A76" s="81" t="s">
        <v>975</v>
      </c>
      <c r="B76" s="81" t="s">
        <v>976</v>
      </c>
      <c r="C76" s="82"/>
      <c r="D76" s="83"/>
      <c r="E76" s="83"/>
      <c r="F76" s="433">
        <f t="shared" ref="F76:F81" si="1">D76*E76</f>
        <v>0</v>
      </c>
    </row>
    <row r="77" spans="1:6">
      <c r="A77" s="78" t="s">
        <v>977</v>
      </c>
      <c r="B77" s="78" t="s">
        <v>978</v>
      </c>
      <c r="C77" s="79" t="s">
        <v>22</v>
      </c>
      <c r="D77" s="440"/>
      <c r="E77" s="440"/>
      <c r="F77" s="433">
        <f t="shared" si="1"/>
        <v>0</v>
      </c>
    </row>
    <row r="78" spans="1:6">
      <c r="A78" s="78" t="s">
        <v>979</v>
      </c>
      <c r="B78" s="78" t="s">
        <v>980</v>
      </c>
      <c r="C78" s="79" t="s">
        <v>22</v>
      </c>
      <c r="D78" s="440"/>
      <c r="E78" s="440"/>
      <c r="F78" s="433">
        <f t="shared" si="1"/>
        <v>0</v>
      </c>
    </row>
    <row r="79" spans="1:6">
      <c r="A79" s="78" t="s">
        <v>981</v>
      </c>
      <c r="B79" s="78" t="s">
        <v>982</v>
      </c>
      <c r="C79" s="79" t="s">
        <v>983</v>
      </c>
      <c r="D79" s="440"/>
      <c r="E79" s="440"/>
      <c r="F79" s="433">
        <f t="shared" si="1"/>
        <v>0</v>
      </c>
    </row>
    <row r="80" spans="1:6">
      <c r="A80" s="78" t="s">
        <v>984</v>
      </c>
      <c r="B80" s="78" t="s">
        <v>985</v>
      </c>
      <c r="C80" s="79" t="s">
        <v>22</v>
      </c>
      <c r="D80" s="440"/>
      <c r="E80" s="440"/>
      <c r="F80" s="433">
        <f t="shared" si="1"/>
        <v>0</v>
      </c>
    </row>
    <row r="81" spans="1:6">
      <c r="A81" s="78" t="s">
        <v>986</v>
      </c>
      <c r="B81" s="78" t="s">
        <v>987</v>
      </c>
      <c r="C81" s="79" t="s">
        <v>943</v>
      </c>
      <c r="D81" s="440"/>
      <c r="E81" s="440"/>
      <c r="F81" s="433">
        <f t="shared" si="1"/>
        <v>0</v>
      </c>
    </row>
    <row r="82" spans="1:6">
      <c r="A82" s="74" t="s">
        <v>988</v>
      </c>
      <c r="B82" s="74" t="s">
        <v>989</v>
      </c>
      <c r="C82" s="75"/>
      <c r="D82" s="76"/>
      <c r="E82" s="76"/>
      <c r="F82" s="77">
        <f>F83</f>
        <v>0</v>
      </c>
    </row>
    <row r="83" spans="1:6">
      <c r="A83" s="78" t="s">
        <v>990</v>
      </c>
      <c r="B83" s="78" t="s">
        <v>991</v>
      </c>
      <c r="C83" s="79" t="s">
        <v>141</v>
      </c>
      <c r="D83" s="440"/>
      <c r="E83" s="440"/>
      <c r="F83" s="433">
        <f>D83*E83</f>
        <v>0</v>
      </c>
    </row>
    <row r="84" spans="1:6">
      <c r="A84" s="71" t="s">
        <v>992</v>
      </c>
      <c r="B84" s="71" t="s">
        <v>993</v>
      </c>
      <c r="C84" s="72"/>
      <c r="D84" s="73"/>
      <c r="E84" s="73"/>
      <c r="F84" s="432">
        <f>F85+F105+F125</f>
        <v>0</v>
      </c>
    </row>
    <row r="85" spans="1:6">
      <c r="A85" s="74" t="s">
        <v>994</v>
      </c>
      <c r="B85" s="74" t="s">
        <v>995</v>
      </c>
      <c r="C85" s="75"/>
      <c r="D85" s="76"/>
      <c r="E85" s="76"/>
      <c r="F85" s="77">
        <f>F86+F90+F93+F97</f>
        <v>0</v>
      </c>
    </row>
    <row r="86" spans="1:6">
      <c r="A86" s="74" t="s">
        <v>996</v>
      </c>
      <c r="B86" s="74" t="s">
        <v>997</v>
      </c>
      <c r="C86" s="75"/>
      <c r="D86" s="76"/>
      <c r="E86" s="76"/>
      <c r="F86" s="77">
        <f>SUM(F87:F89)</f>
        <v>0</v>
      </c>
    </row>
    <row r="87" spans="1:6">
      <c r="A87" s="78" t="s">
        <v>998</v>
      </c>
      <c r="B87" s="78" t="s">
        <v>999</v>
      </c>
      <c r="C87" s="79" t="s">
        <v>1000</v>
      </c>
      <c r="D87" s="440"/>
      <c r="E87" s="440"/>
      <c r="F87" s="433">
        <f>D87*E87</f>
        <v>0</v>
      </c>
    </row>
    <row r="88" spans="1:6">
      <c r="A88" s="78" t="s">
        <v>1001</v>
      </c>
      <c r="B88" s="78" t="s">
        <v>1002</v>
      </c>
      <c r="C88" s="79" t="s">
        <v>1000</v>
      </c>
      <c r="D88" s="440"/>
      <c r="E88" s="440"/>
      <c r="F88" s="433">
        <f>D88*E88</f>
        <v>0</v>
      </c>
    </row>
    <row r="89" spans="1:6">
      <c r="A89" s="78" t="s">
        <v>1003</v>
      </c>
      <c r="B89" s="78" t="s">
        <v>3100</v>
      </c>
      <c r="C89" s="79" t="s">
        <v>1000</v>
      </c>
      <c r="D89" s="440"/>
      <c r="E89" s="440"/>
      <c r="F89" s="433">
        <f>D89*E89</f>
        <v>0</v>
      </c>
    </row>
    <row r="90" spans="1:6">
      <c r="A90" s="74" t="s">
        <v>1004</v>
      </c>
      <c r="B90" s="74" t="s">
        <v>3101</v>
      </c>
      <c r="C90" s="75"/>
      <c r="D90" s="76"/>
      <c r="E90" s="76"/>
      <c r="F90" s="77">
        <f>SUM(F91:F92)</f>
        <v>0</v>
      </c>
    </row>
    <row r="91" spans="1:6">
      <c r="A91" s="78" t="s">
        <v>1005</v>
      </c>
      <c r="B91" s="78" t="s">
        <v>3102</v>
      </c>
      <c r="C91" s="79" t="s">
        <v>875</v>
      </c>
      <c r="D91" s="440"/>
      <c r="E91" s="440"/>
      <c r="F91" s="433">
        <f>D91*E91</f>
        <v>0</v>
      </c>
    </row>
    <row r="92" spans="1:6">
      <c r="A92" s="78" t="s">
        <v>1006</v>
      </c>
      <c r="B92" s="78" t="s">
        <v>3103</v>
      </c>
      <c r="C92" s="79" t="s">
        <v>875</v>
      </c>
      <c r="D92" s="440"/>
      <c r="E92" s="440"/>
      <c r="F92" s="433">
        <f>D92*E92</f>
        <v>0</v>
      </c>
    </row>
    <row r="93" spans="1:6">
      <c r="A93" s="74" t="s">
        <v>1007</v>
      </c>
      <c r="B93" s="74" t="s">
        <v>1008</v>
      </c>
      <c r="C93" s="75"/>
      <c r="D93" s="76"/>
      <c r="E93" s="76"/>
      <c r="F93" s="77">
        <f>SUM(F94:F96)</f>
        <v>0</v>
      </c>
    </row>
    <row r="94" spans="1:6">
      <c r="A94" s="78" t="s">
        <v>1009</v>
      </c>
      <c r="B94" s="78" t="s">
        <v>3104</v>
      </c>
      <c r="C94" s="79" t="s">
        <v>1010</v>
      </c>
      <c r="D94" s="440"/>
      <c r="E94" s="440"/>
      <c r="F94" s="433">
        <f>D94*E94</f>
        <v>0</v>
      </c>
    </row>
    <row r="95" spans="1:6">
      <c r="A95" s="78" t="s">
        <v>1011</v>
      </c>
      <c r="B95" s="78" t="s">
        <v>3105</v>
      </c>
      <c r="C95" s="79" t="s">
        <v>1010</v>
      </c>
      <c r="D95" s="440"/>
      <c r="E95" s="440"/>
      <c r="F95" s="433">
        <f>D95*E95</f>
        <v>0</v>
      </c>
    </row>
    <row r="96" spans="1:6">
      <c r="A96" s="78" t="s">
        <v>1012</v>
      </c>
      <c r="B96" s="78" t="s">
        <v>3106</v>
      </c>
      <c r="C96" s="79" t="s">
        <v>1010</v>
      </c>
      <c r="D96" s="440"/>
      <c r="E96" s="440"/>
      <c r="F96" s="433">
        <f>D96*E96</f>
        <v>0</v>
      </c>
    </row>
    <row r="97" spans="1:6">
      <c r="A97" s="74" t="s">
        <v>1013</v>
      </c>
      <c r="B97" s="74" t="s">
        <v>1014</v>
      </c>
      <c r="C97" s="75"/>
      <c r="D97" s="76"/>
      <c r="E97" s="76"/>
      <c r="F97" s="77">
        <f>SUM(F98:F104)</f>
        <v>0</v>
      </c>
    </row>
    <row r="98" spans="1:6">
      <c r="A98" s="78" t="s">
        <v>1015</v>
      </c>
      <c r="B98" s="78" t="s">
        <v>1016</v>
      </c>
      <c r="C98" s="79" t="s">
        <v>1010</v>
      </c>
      <c r="D98" s="440"/>
      <c r="E98" s="440"/>
      <c r="F98" s="433">
        <f t="shared" ref="F98:F104" si="2">D98*E98</f>
        <v>0</v>
      </c>
    </row>
    <row r="99" spans="1:6">
      <c r="A99" s="78" t="s">
        <v>1017</v>
      </c>
      <c r="B99" s="78" t="s">
        <v>1018</v>
      </c>
      <c r="C99" s="79" t="s">
        <v>1010</v>
      </c>
      <c r="D99" s="440"/>
      <c r="E99" s="440"/>
      <c r="F99" s="433">
        <f t="shared" si="2"/>
        <v>0</v>
      </c>
    </row>
    <row r="100" spans="1:6">
      <c r="A100" s="78" t="s">
        <v>1019</v>
      </c>
      <c r="B100" s="78" t="s">
        <v>1020</v>
      </c>
      <c r="C100" s="79" t="s">
        <v>1010</v>
      </c>
      <c r="D100" s="440"/>
      <c r="E100" s="440"/>
      <c r="F100" s="433">
        <f t="shared" si="2"/>
        <v>0</v>
      </c>
    </row>
    <row r="101" spans="1:6">
      <c r="A101" s="78" t="s">
        <v>1021</v>
      </c>
      <c r="B101" s="78" t="s">
        <v>1022</v>
      </c>
      <c r="C101" s="79" t="s">
        <v>1010</v>
      </c>
      <c r="D101" s="440"/>
      <c r="E101" s="440"/>
      <c r="F101" s="433">
        <f t="shared" si="2"/>
        <v>0</v>
      </c>
    </row>
    <row r="102" spans="1:6">
      <c r="A102" s="78" t="s">
        <v>1023</v>
      </c>
      <c r="B102" s="78" t="s">
        <v>1024</v>
      </c>
      <c r="C102" s="79" t="s">
        <v>1010</v>
      </c>
      <c r="D102" s="440"/>
      <c r="E102" s="440"/>
      <c r="F102" s="433">
        <f t="shared" si="2"/>
        <v>0</v>
      </c>
    </row>
    <row r="103" spans="1:6">
      <c r="A103" s="78" t="s">
        <v>1025</v>
      </c>
      <c r="B103" s="78" t="s">
        <v>1026</v>
      </c>
      <c r="C103" s="79" t="s">
        <v>1010</v>
      </c>
      <c r="D103" s="440"/>
      <c r="E103" s="440"/>
      <c r="F103" s="433">
        <f t="shared" si="2"/>
        <v>0</v>
      </c>
    </row>
    <row r="104" spans="1:6">
      <c r="A104" s="78" t="s">
        <v>1027</v>
      </c>
      <c r="B104" s="78" t="s">
        <v>1028</v>
      </c>
      <c r="C104" s="79" t="s">
        <v>1010</v>
      </c>
      <c r="D104" s="440"/>
      <c r="E104" s="440"/>
      <c r="F104" s="433">
        <f t="shared" si="2"/>
        <v>0</v>
      </c>
    </row>
    <row r="105" spans="1:6">
      <c r="A105" s="74" t="s">
        <v>1029</v>
      </c>
      <c r="B105" s="74" t="s">
        <v>3107</v>
      </c>
      <c r="C105" s="75"/>
      <c r="D105" s="76"/>
      <c r="E105" s="76"/>
      <c r="F105" s="77">
        <f>F106+F108+F111+F116+F119+F121</f>
        <v>0</v>
      </c>
    </row>
    <row r="106" spans="1:6">
      <c r="A106" s="84" t="s">
        <v>1030</v>
      </c>
      <c r="B106" s="84" t="s">
        <v>3108</v>
      </c>
      <c r="C106" s="85"/>
      <c r="D106" s="86"/>
      <c r="E106" s="86"/>
      <c r="F106" s="435">
        <f>F107</f>
        <v>0</v>
      </c>
    </row>
    <row r="107" spans="1:6">
      <c r="A107" s="80" t="s">
        <v>1031</v>
      </c>
      <c r="B107" s="80" t="s">
        <v>3109</v>
      </c>
      <c r="C107" s="87" t="s">
        <v>1000</v>
      </c>
      <c r="D107" s="440"/>
      <c r="E107" s="440"/>
      <c r="F107" s="436">
        <f>D107*E107</f>
        <v>0</v>
      </c>
    </row>
    <row r="108" spans="1:6">
      <c r="A108" s="84" t="s">
        <v>1032</v>
      </c>
      <c r="B108" s="84" t="s">
        <v>3110</v>
      </c>
      <c r="C108" s="85"/>
      <c r="D108" s="86"/>
      <c r="E108" s="86"/>
      <c r="F108" s="435">
        <f>SUM(F109:F110)</f>
        <v>0</v>
      </c>
    </row>
    <row r="109" spans="1:6">
      <c r="A109" s="80" t="s">
        <v>1033</v>
      </c>
      <c r="B109" s="80" t="s">
        <v>1034</v>
      </c>
      <c r="C109" s="87" t="s">
        <v>875</v>
      </c>
      <c r="D109" s="440"/>
      <c r="E109" s="440"/>
      <c r="F109" s="436">
        <f>D109*E109</f>
        <v>0</v>
      </c>
    </row>
    <row r="110" spans="1:6">
      <c r="A110" s="80" t="s">
        <v>1035</v>
      </c>
      <c r="B110" s="80" t="s">
        <v>1036</v>
      </c>
      <c r="C110" s="87" t="s">
        <v>875</v>
      </c>
      <c r="D110" s="440"/>
      <c r="E110" s="440"/>
      <c r="F110" s="436">
        <f>D110*E110</f>
        <v>0</v>
      </c>
    </row>
    <row r="111" spans="1:6">
      <c r="A111" s="84" t="s">
        <v>1037</v>
      </c>
      <c r="B111" s="84" t="s">
        <v>3111</v>
      </c>
      <c r="C111" s="85"/>
      <c r="D111" s="86"/>
      <c r="E111" s="86"/>
      <c r="F111" s="435">
        <f>SUM(F112:F115)</f>
        <v>0</v>
      </c>
    </row>
    <row r="112" spans="1:6">
      <c r="A112" s="80" t="s">
        <v>1038</v>
      </c>
      <c r="B112" s="80" t="s">
        <v>1039</v>
      </c>
      <c r="C112" s="87" t="s">
        <v>1010</v>
      </c>
      <c r="D112" s="440"/>
      <c r="E112" s="440"/>
      <c r="F112" s="436">
        <f>D112*E112</f>
        <v>0</v>
      </c>
    </row>
    <row r="113" spans="1:6">
      <c r="A113" s="80" t="s">
        <v>1040</v>
      </c>
      <c r="B113" s="80" t="s">
        <v>1041</v>
      </c>
      <c r="C113" s="87" t="s">
        <v>1010</v>
      </c>
      <c r="D113" s="440"/>
      <c r="E113" s="440"/>
      <c r="F113" s="436">
        <f>D113*E113</f>
        <v>0</v>
      </c>
    </row>
    <row r="114" spans="1:6">
      <c r="A114" s="80" t="s">
        <v>1042</v>
      </c>
      <c r="B114" s="80" t="s">
        <v>1043</v>
      </c>
      <c r="C114" s="87" t="s">
        <v>1010</v>
      </c>
      <c r="D114" s="440"/>
      <c r="E114" s="440"/>
      <c r="F114" s="436">
        <f>D114*E114</f>
        <v>0</v>
      </c>
    </row>
    <row r="115" spans="1:6">
      <c r="A115" s="80" t="s">
        <v>1044</v>
      </c>
      <c r="B115" s="80" t="s">
        <v>1045</v>
      </c>
      <c r="C115" s="87" t="s">
        <v>1010</v>
      </c>
      <c r="D115" s="440"/>
      <c r="E115" s="440"/>
      <c r="F115" s="436">
        <f>D115*E115</f>
        <v>0</v>
      </c>
    </row>
    <row r="116" spans="1:6">
      <c r="A116" s="84" t="s">
        <v>1046</v>
      </c>
      <c r="B116" s="84" t="s">
        <v>3112</v>
      </c>
      <c r="C116" s="85"/>
      <c r="D116" s="86"/>
      <c r="E116" s="86"/>
      <c r="F116" s="435">
        <f>SUM(F117:F118)</f>
        <v>0</v>
      </c>
    </row>
    <row r="117" spans="1:6">
      <c r="A117" s="80" t="s">
        <v>1047</v>
      </c>
      <c r="B117" s="80" t="s">
        <v>3113</v>
      </c>
      <c r="C117" s="87" t="s">
        <v>1010</v>
      </c>
      <c r="D117" s="440"/>
      <c r="E117" s="440"/>
      <c r="F117" s="436">
        <f>D117*E117</f>
        <v>0</v>
      </c>
    </row>
    <row r="118" spans="1:6">
      <c r="A118" s="80" t="s">
        <v>1048</v>
      </c>
      <c r="B118" s="80" t="s">
        <v>3114</v>
      </c>
      <c r="C118" s="87" t="s">
        <v>1010</v>
      </c>
      <c r="D118" s="440"/>
      <c r="E118" s="440"/>
      <c r="F118" s="436">
        <f>D118*E118</f>
        <v>0</v>
      </c>
    </row>
    <row r="119" spans="1:6">
      <c r="A119" s="84" t="s">
        <v>1049</v>
      </c>
      <c r="B119" s="84" t="s">
        <v>3115</v>
      </c>
      <c r="C119" s="85"/>
      <c r="D119" s="86"/>
      <c r="E119" s="86"/>
      <c r="F119" s="435">
        <f>F120</f>
        <v>0</v>
      </c>
    </row>
    <row r="120" spans="1:6">
      <c r="A120" s="80" t="s">
        <v>1050</v>
      </c>
      <c r="B120" s="80" t="s">
        <v>3116</v>
      </c>
      <c r="C120" s="87" t="s">
        <v>1010</v>
      </c>
      <c r="D120" s="440"/>
      <c r="E120" s="440"/>
      <c r="F120" s="436">
        <f>D120*E120</f>
        <v>0</v>
      </c>
    </row>
    <row r="121" spans="1:6">
      <c r="A121" s="84" t="s">
        <v>1051</v>
      </c>
      <c r="B121" s="84" t="s">
        <v>1052</v>
      </c>
      <c r="C121" s="85"/>
      <c r="D121" s="86"/>
      <c r="E121" s="86"/>
      <c r="F121" s="435">
        <f>SUM(F122:F124)</f>
        <v>0</v>
      </c>
    </row>
    <row r="122" spans="1:6">
      <c r="A122" s="80" t="s">
        <v>1053</v>
      </c>
      <c r="B122" s="80" t="s">
        <v>1054</v>
      </c>
      <c r="C122" s="87" t="s">
        <v>875</v>
      </c>
      <c r="D122" s="440"/>
      <c r="E122" s="440"/>
      <c r="F122" s="436">
        <f>D122*E122</f>
        <v>0</v>
      </c>
    </row>
    <row r="123" spans="1:6">
      <c r="A123" s="80" t="s">
        <v>1055</v>
      </c>
      <c r="B123" s="80" t="s">
        <v>3117</v>
      </c>
      <c r="C123" s="87" t="s">
        <v>875</v>
      </c>
      <c r="D123" s="440"/>
      <c r="E123" s="440"/>
      <c r="F123" s="436">
        <f>D123*E123</f>
        <v>0</v>
      </c>
    </row>
    <row r="124" spans="1:6">
      <c r="A124" s="80" t="s">
        <v>1056</v>
      </c>
      <c r="B124" s="80" t="s">
        <v>1057</v>
      </c>
      <c r="C124" s="87" t="s">
        <v>1010</v>
      </c>
      <c r="D124" s="440"/>
      <c r="E124" s="440"/>
      <c r="F124" s="436">
        <f>D124*E124</f>
        <v>0</v>
      </c>
    </row>
    <row r="125" spans="1:6">
      <c r="A125" s="74" t="s">
        <v>1058</v>
      </c>
      <c r="B125" s="74" t="s">
        <v>1059</v>
      </c>
      <c r="C125" s="77"/>
      <c r="D125" s="77"/>
      <c r="E125" s="77"/>
      <c r="F125" s="77">
        <f>SUM(F126:F128)</f>
        <v>0</v>
      </c>
    </row>
    <row r="126" spans="1:6">
      <c r="A126" s="78" t="s">
        <v>1060</v>
      </c>
      <c r="B126" s="78" t="s">
        <v>3118</v>
      </c>
      <c r="C126" s="79" t="s">
        <v>894</v>
      </c>
      <c r="D126" s="440"/>
      <c r="E126" s="440"/>
      <c r="F126" s="433">
        <f>D126*E126</f>
        <v>0</v>
      </c>
    </row>
    <row r="127" spans="1:6">
      <c r="A127" s="78" t="s">
        <v>1061</v>
      </c>
      <c r="B127" s="78" t="s">
        <v>3119</v>
      </c>
      <c r="C127" s="79" t="s">
        <v>894</v>
      </c>
      <c r="D127" s="440"/>
      <c r="E127" s="440"/>
      <c r="F127" s="433">
        <f>D127*E127</f>
        <v>0</v>
      </c>
    </row>
    <row r="128" spans="1:6">
      <c r="A128" s="78" t="s">
        <v>1062</v>
      </c>
      <c r="B128" s="78" t="s">
        <v>3120</v>
      </c>
      <c r="C128" s="79" t="s">
        <v>894</v>
      </c>
      <c r="D128" s="440"/>
      <c r="E128" s="440"/>
      <c r="F128" s="433">
        <f>D128*E128</f>
        <v>0</v>
      </c>
    </row>
    <row r="129" spans="1:6">
      <c r="A129" s="71" t="s">
        <v>1063</v>
      </c>
      <c r="B129" s="71" t="s">
        <v>3121</v>
      </c>
      <c r="C129" s="72"/>
      <c r="D129" s="73"/>
      <c r="E129" s="73"/>
      <c r="F129" s="432">
        <f>F130+F134+F136+F138+F146+F148+F151+F153</f>
        <v>0</v>
      </c>
    </row>
    <row r="130" spans="1:6">
      <c r="A130" s="74" t="s">
        <v>1064</v>
      </c>
      <c r="B130" s="74" t="s">
        <v>3122</v>
      </c>
      <c r="C130" s="75"/>
      <c r="D130" s="76"/>
      <c r="E130" s="76"/>
      <c r="F130" s="77">
        <f>SUM(F131:F133)</f>
        <v>0</v>
      </c>
    </row>
    <row r="131" spans="1:6">
      <c r="A131" s="78" t="s">
        <v>1065</v>
      </c>
      <c r="B131" s="78" t="s">
        <v>1066</v>
      </c>
      <c r="C131" s="79" t="s">
        <v>1000</v>
      </c>
      <c r="D131" s="440"/>
      <c r="E131" s="440"/>
      <c r="F131" s="433">
        <f>D131*E131</f>
        <v>0</v>
      </c>
    </row>
    <row r="132" spans="1:6">
      <c r="A132" s="78" t="s">
        <v>1067</v>
      </c>
      <c r="B132" s="78" t="s">
        <v>1068</v>
      </c>
      <c r="C132" s="79" t="s">
        <v>1000</v>
      </c>
      <c r="D132" s="440"/>
      <c r="E132" s="440"/>
      <c r="F132" s="433">
        <f>D132*E132</f>
        <v>0</v>
      </c>
    </row>
    <row r="133" spans="1:6">
      <c r="A133" s="78" t="s">
        <v>1069</v>
      </c>
      <c r="B133" s="78" t="s">
        <v>1070</v>
      </c>
      <c r="C133" s="79" t="s">
        <v>1000</v>
      </c>
      <c r="D133" s="440"/>
      <c r="E133" s="440"/>
      <c r="F133" s="433">
        <f>D133*E133</f>
        <v>0</v>
      </c>
    </row>
    <row r="134" spans="1:6">
      <c r="A134" s="74" t="s">
        <v>1071</v>
      </c>
      <c r="B134" s="74" t="s">
        <v>1072</v>
      </c>
      <c r="C134" s="75"/>
      <c r="D134" s="76"/>
      <c r="E134" s="76"/>
      <c r="F134" s="77">
        <f>F135</f>
        <v>0</v>
      </c>
    </row>
    <row r="135" spans="1:6">
      <c r="A135" s="78" t="s">
        <v>1073</v>
      </c>
      <c r="B135" s="78" t="s">
        <v>1074</v>
      </c>
      <c r="C135" s="79" t="s">
        <v>1010</v>
      </c>
      <c r="D135" s="440"/>
      <c r="E135" s="440"/>
      <c r="F135" s="433">
        <f>D135*E135</f>
        <v>0</v>
      </c>
    </row>
    <row r="136" spans="1:6">
      <c r="A136" s="74" t="s">
        <v>1075</v>
      </c>
      <c r="B136" s="74" t="s">
        <v>1076</v>
      </c>
      <c r="C136" s="75"/>
      <c r="D136" s="76"/>
      <c r="E136" s="76"/>
      <c r="F136" s="77">
        <f>F137</f>
        <v>0</v>
      </c>
    </row>
    <row r="137" spans="1:6">
      <c r="A137" s="78" t="s">
        <v>1077</v>
      </c>
      <c r="B137" s="78" t="s">
        <v>1078</v>
      </c>
      <c r="C137" s="79" t="s">
        <v>472</v>
      </c>
      <c r="D137" s="440"/>
      <c r="E137" s="440"/>
      <c r="F137" s="433">
        <f>D137*E137</f>
        <v>0</v>
      </c>
    </row>
    <row r="138" spans="1:6">
      <c r="A138" s="74" t="s">
        <v>1079</v>
      </c>
      <c r="B138" s="74" t="s">
        <v>1080</v>
      </c>
      <c r="C138" s="75"/>
      <c r="D138" s="76"/>
      <c r="E138" s="76"/>
      <c r="F138" s="77">
        <f>SUM(F139:F145)</f>
        <v>0</v>
      </c>
    </row>
    <row r="139" spans="1:6">
      <c r="A139" s="78" t="s">
        <v>1081</v>
      </c>
      <c r="B139" s="78" t="s">
        <v>3123</v>
      </c>
      <c r="C139" s="79" t="s">
        <v>472</v>
      </c>
      <c r="D139" s="440"/>
      <c r="E139" s="440"/>
      <c r="F139" s="433">
        <f t="shared" ref="F139:F145" si="3">D139*E139</f>
        <v>0</v>
      </c>
    </row>
    <row r="140" spans="1:6">
      <c r="A140" s="78" t="s">
        <v>1082</v>
      </c>
      <c r="B140" s="78" t="s">
        <v>3124</v>
      </c>
      <c r="C140" s="79" t="s">
        <v>472</v>
      </c>
      <c r="D140" s="440"/>
      <c r="E140" s="440"/>
      <c r="F140" s="433">
        <f t="shared" si="3"/>
        <v>0</v>
      </c>
    </row>
    <row r="141" spans="1:6">
      <c r="A141" s="78" t="s">
        <v>1083</v>
      </c>
      <c r="B141" s="78" t="s">
        <v>1084</v>
      </c>
      <c r="C141" s="79" t="s">
        <v>472</v>
      </c>
      <c r="D141" s="440"/>
      <c r="E141" s="440"/>
      <c r="F141" s="433">
        <f t="shared" si="3"/>
        <v>0</v>
      </c>
    </row>
    <row r="142" spans="1:6">
      <c r="A142" s="78" t="s">
        <v>1085</v>
      </c>
      <c r="B142" s="78" t="s">
        <v>3125</v>
      </c>
      <c r="C142" s="79" t="s">
        <v>472</v>
      </c>
      <c r="D142" s="440"/>
      <c r="E142" s="440"/>
      <c r="F142" s="433">
        <f t="shared" si="3"/>
        <v>0</v>
      </c>
    </row>
    <row r="143" spans="1:6">
      <c r="A143" s="78" t="s">
        <v>1086</v>
      </c>
      <c r="B143" s="78" t="s">
        <v>3126</v>
      </c>
      <c r="C143" s="79" t="s">
        <v>472</v>
      </c>
      <c r="D143" s="440"/>
      <c r="E143" s="440"/>
      <c r="F143" s="433">
        <f t="shared" si="3"/>
        <v>0</v>
      </c>
    </row>
    <row r="144" spans="1:6">
      <c r="A144" s="78" t="s">
        <v>1087</v>
      </c>
      <c r="B144" s="78" t="s">
        <v>3127</v>
      </c>
      <c r="C144" s="79" t="s">
        <v>472</v>
      </c>
      <c r="D144" s="440"/>
      <c r="E144" s="440"/>
      <c r="F144" s="433">
        <f t="shared" si="3"/>
        <v>0</v>
      </c>
    </row>
    <row r="145" spans="1:6">
      <c r="A145" s="78" t="s">
        <v>1088</v>
      </c>
      <c r="B145" s="78" t="s">
        <v>3128</v>
      </c>
      <c r="C145" s="79" t="s">
        <v>472</v>
      </c>
      <c r="D145" s="440"/>
      <c r="E145" s="440"/>
      <c r="F145" s="433">
        <f t="shared" si="3"/>
        <v>0</v>
      </c>
    </row>
    <row r="146" spans="1:6">
      <c r="A146" s="74" t="s">
        <v>1089</v>
      </c>
      <c r="B146" s="74" t="s">
        <v>3129</v>
      </c>
      <c r="C146" s="75"/>
      <c r="D146" s="76"/>
      <c r="E146" s="76"/>
      <c r="F146" s="77">
        <f>F147</f>
        <v>0</v>
      </c>
    </row>
    <row r="147" spans="1:6">
      <c r="A147" s="78" t="s">
        <v>1090</v>
      </c>
      <c r="B147" s="78" t="s">
        <v>3130</v>
      </c>
      <c r="C147" s="79" t="s">
        <v>875</v>
      </c>
      <c r="D147" s="440"/>
      <c r="E147" s="440"/>
      <c r="F147" s="433">
        <f>D147*E147</f>
        <v>0</v>
      </c>
    </row>
    <row r="148" spans="1:6">
      <c r="A148" s="74" t="s">
        <v>1091</v>
      </c>
      <c r="B148" s="74" t="s">
        <v>1092</v>
      </c>
      <c r="C148" s="75"/>
      <c r="D148" s="76"/>
      <c r="E148" s="76"/>
      <c r="F148" s="77">
        <f>SUM(F149:F150)</f>
        <v>0</v>
      </c>
    </row>
    <row r="149" spans="1:6">
      <c r="A149" s="78" t="s">
        <v>1093</v>
      </c>
      <c r="B149" s="78" t="s">
        <v>1094</v>
      </c>
      <c r="C149" s="79" t="s">
        <v>875</v>
      </c>
      <c r="D149" s="440"/>
      <c r="E149" s="440"/>
      <c r="F149" s="433">
        <f>D149*E149</f>
        <v>0</v>
      </c>
    </row>
    <row r="150" spans="1:6">
      <c r="A150" s="78" t="s">
        <v>1095</v>
      </c>
      <c r="B150" s="78" t="s">
        <v>1096</v>
      </c>
      <c r="C150" s="79" t="s">
        <v>875</v>
      </c>
      <c r="D150" s="440"/>
      <c r="E150" s="440"/>
      <c r="F150" s="433">
        <f>D150*E150</f>
        <v>0</v>
      </c>
    </row>
    <row r="151" spans="1:6">
      <c r="A151" s="74" t="s">
        <v>1097</v>
      </c>
      <c r="B151" s="74" t="s">
        <v>1098</v>
      </c>
      <c r="C151" s="75"/>
      <c r="D151" s="76"/>
      <c r="E151" s="76"/>
      <c r="F151" s="77">
        <f>F152</f>
        <v>0</v>
      </c>
    </row>
    <row r="152" spans="1:6">
      <c r="A152" s="78" t="s">
        <v>1099</v>
      </c>
      <c r="B152" s="78" t="s">
        <v>1100</v>
      </c>
      <c r="C152" s="79" t="s">
        <v>894</v>
      </c>
      <c r="D152" s="440"/>
      <c r="E152" s="440"/>
      <c r="F152" s="433">
        <f>D152*E152</f>
        <v>0</v>
      </c>
    </row>
    <row r="153" spans="1:6">
      <c r="A153" s="74" t="s">
        <v>1101</v>
      </c>
      <c r="B153" s="74" t="s">
        <v>1102</v>
      </c>
      <c r="C153" s="75"/>
      <c r="D153" s="76"/>
      <c r="E153" s="76"/>
      <c r="F153" s="77">
        <f>SUM(F154:F155)</f>
        <v>0</v>
      </c>
    </row>
    <row r="154" spans="1:6">
      <c r="A154" s="78" t="s">
        <v>1103</v>
      </c>
      <c r="B154" s="78" t="s">
        <v>1104</v>
      </c>
      <c r="C154" s="79" t="s">
        <v>894</v>
      </c>
      <c r="D154" s="440"/>
      <c r="E154" s="440"/>
      <c r="F154" s="433">
        <f>D154*E154</f>
        <v>0</v>
      </c>
    </row>
    <row r="155" spans="1:6">
      <c r="A155" s="78" t="s">
        <v>1105</v>
      </c>
      <c r="B155" s="78" t="s">
        <v>3131</v>
      </c>
      <c r="C155" s="79" t="s">
        <v>141</v>
      </c>
      <c r="D155" s="440"/>
      <c r="E155" s="440"/>
      <c r="F155" s="433">
        <f>D155*E155</f>
        <v>0</v>
      </c>
    </row>
    <row r="156" spans="1:6">
      <c r="A156" s="71" t="s">
        <v>142</v>
      </c>
      <c r="B156" s="71" t="s">
        <v>3132</v>
      </c>
      <c r="C156" s="72"/>
      <c r="D156" s="73"/>
      <c r="E156" s="73"/>
      <c r="F156" s="432">
        <f>F157</f>
        <v>0</v>
      </c>
    </row>
    <row r="157" spans="1:6">
      <c r="A157" s="71" t="s">
        <v>1106</v>
      </c>
      <c r="B157" s="71" t="s">
        <v>3133</v>
      </c>
      <c r="C157" s="72"/>
      <c r="D157" s="73"/>
      <c r="E157" s="73"/>
      <c r="F157" s="432">
        <f>F158+F160+F164</f>
        <v>0</v>
      </c>
    </row>
    <row r="158" spans="1:6">
      <c r="A158" s="74" t="s">
        <v>1107</v>
      </c>
      <c r="B158" s="74" t="s">
        <v>861</v>
      </c>
      <c r="C158" s="75"/>
      <c r="D158" s="76"/>
      <c r="E158" s="76"/>
      <c r="F158" s="77">
        <f>F159</f>
        <v>0</v>
      </c>
    </row>
    <row r="159" spans="1:6">
      <c r="A159" s="78" t="s">
        <v>1108</v>
      </c>
      <c r="B159" s="78" t="s">
        <v>3134</v>
      </c>
      <c r="C159" s="79" t="s">
        <v>1109</v>
      </c>
      <c r="D159" s="440"/>
      <c r="E159" s="440"/>
      <c r="F159" s="433">
        <f>D159*E159</f>
        <v>0</v>
      </c>
    </row>
    <row r="160" spans="1:6">
      <c r="A160" s="74" t="s">
        <v>1110</v>
      </c>
      <c r="B160" s="74" t="s">
        <v>939</v>
      </c>
      <c r="C160" s="75"/>
      <c r="D160" s="76"/>
      <c r="E160" s="76"/>
      <c r="F160" s="77">
        <f>SUM(F161:F163)</f>
        <v>0</v>
      </c>
    </row>
    <row r="161" spans="1:6">
      <c r="A161" s="78" t="s">
        <v>1111</v>
      </c>
      <c r="B161" s="78" t="s">
        <v>1112</v>
      </c>
      <c r="C161" s="79" t="s">
        <v>943</v>
      </c>
      <c r="D161" s="440"/>
      <c r="E161" s="440"/>
      <c r="F161" s="433">
        <f>D161*E161</f>
        <v>0</v>
      </c>
    </row>
    <row r="162" spans="1:6">
      <c r="A162" s="78" t="s">
        <v>1113</v>
      </c>
      <c r="B162" s="78" t="s">
        <v>948</v>
      </c>
      <c r="C162" s="79" t="s">
        <v>943</v>
      </c>
      <c r="D162" s="440"/>
      <c r="E162" s="440"/>
      <c r="F162" s="433">
        <f>D162*E162</f>
        <v>0</v>
      </c>
    </row>
    <row r="163" spans="1:6">
      <c r="A163" s="78" t="s">
        <v>1114</v>
      </c>
      <c r="B163" s="78" t="s">
        <v>3135</v>
      </c>
      <c r="C163" s="79" t="s">
        <v>22</v>
      </c>
      <c r="D163" s="440"/>
      <c r="E163" s="440"/>
      <c r="F163" s="433">
        <f>D163*E163</f>
        <v>0</v>
      </c>
    </row>
    <row r="164" spans="1:6">
      <c r="A164" s="74" t="s">
        <v>1115</v>
      </c>
      <c r="B164" s="74" t="s">
        <v>1116</v>
      </c>
      <c r="C164" s="75"/>
      <c r="D164" s="76"/>
      <c r="E164" s="76"/>
      <c r="F164" s="77">
        <f>SUM(F165:F166)</f>
        <v>0</v>
      </c>
    </row>
    <row r="165" spans="1:6">
      <c r="A165" s="78" t="s">
        <v>1117</v>
      </c>
      <c r="B165" s="78" t="s">
        <v>1118</v>
      </c>
      <c r="C165" s="79" t="s">
        <v>943</v>
      </c>
      <c r="D165" s="440"/>
      <c r="E165" s="440"/>
      <c r="F165" s="433">
        <f>D165*E165</f>
        <v>0</v>
      </c>
    </row>
    <row r="166" spans="1:6">
      <c r="A166" s="78" t="s">
        <v>1119</v>
      </c>
      <c r="B166" s="78" t="s">
        <v>3136</v>
      </c>
      <c r="C166" s="79" t="s">
        <v>875</v>
      </c>
      <c r="D166" s="440"/>
      <c r="E166" s="440"/>
      <c r="F166" s="433">
        <f>D166*E166</f>
        <v>0</v>
      </c>
    </row>
    <row r="167" spans="1:6">
      <c r="A167" s="71" t="s">
        <v>1120</v>
      </c>
      <c r="B167" s="71" t="s">
        <v>1121</v>
      </c>
      <c r="C167" s="72"/>
      <c r="D167" s="73"/>
      <c r="E167" s="73"/>
      <c r="F167" s="432">
        <f>F168+F172+F188+F208+F215+F227+F236+F241</f>
        <v>0</v>
      </c>
    </row>
    <row r="168" spans="1:6">
      <c r="A168" s="71" t="s">
        <v>1122</v>
      </c>
      <c r="B168" s="71" t="s">
        <v>3137</v>
      </c>
      <c r="C168" s="72"/>
      <c r="D168" s="73"/>
      <c r="E168" s="73"/>
      <c r="F168" s="432">
        <f>F169</f>
        <v>0</v>
      </c>
    </row>
    <row r="169" spans="1:6">
      <c r="A169" s="74" t="s">
        <v>1123</v>
      </c>
      <c r="B169" s="74" t="s">
        <v>1124</v>
      </c>
      <c r="C169" s="75"/>
      <c r="D169" s="76"/>
      <c r="E169" s="76"/>
      <c r="F169" s="77">
        <f>SUM(F170:F171)</f>
        <v>0</v>
      </c>
    </row>
    <row r="170" spans="1:6">
      <c r="A170" s="78" t="s">
        <v>1125</v>
      </c>
      <c r="B170" s="78" t="s">
        <v>1126</v>
      </c>
      <c r="C170" s="79" t="s">
        <v>22</v>
      </c>
      <c r="D170" s="440"/>
      <c r="E170" s="440"/>
      <c r="F170" s="433">
        <f>D170*E170</f>
        <v>0</v>
      </c>
    </row>
    <row r="171" spans="1:6">
      <c r="A171" s="78" t="s">
        <v>1127</v>
      </c>
      <c r="B171" s="78" t="s">
        <v>3138</v>
      </c>
      <c r="C171" s="79" t="s">
        <v>1128</v>
      </c>
      <c r="D171" s="440"/>
      <c r="E171" s="440"/>
      <c r="F171" s="433">
        <f>D171*E171</f>
        <v>0</v>
      </c>
    </row>
    <row r="172" spans="1:6">
      <c r="A172" s="71" t="s">
        <v>1129</v>
      </c>
      <c r="B172" s="71" t="s">
        <v>3139</v>
      </c>
      <c r="C172" s="72"/>
      <c r="D172" s="73"/>
      <c r="E172" s="73"/>
      <c r="F172" s="432">
        <f>F173+F181</f>
        <v>0</v>
      </c>
    </row>
    <row r="173" spans="1:6">
      <c r="A173" s="74" t="s">
        <v>1130</v>
      </c>
      <c r="B173" s="74" t="s">
        <v>939</v>
      </c>
      <c r="C173" s="75"/>
      <c r="D173" s="76"/>
      <c r="E173" s="76"/>
      <c r="F173" s="77">
        <f>SUM(F174:F180)</f>
        <v>0</v>
      </c>
    </row>
    <row r="174" spans="1:6">
      <c r="A174" s="78" t="s">
        <v>1131</v>
      </c>
      <c r="B174" s="78" t="s">
        <v>3140</v>
      </c>
      <c r="C174" s="79" t="s">
        <v>943</v>
      </c>
      <c r="D174" s="440"/>
      <c r="E174" s="440"/>
      <c r="F174" s="433">
        <f t="shared" ref="F174:F180" si="4">D174*E174</f>
        <v>0</v>
      </c>
    </row>
    <row r="175" spans="1:6">
      <c r="A175" s="78" t="s">
        <v>1132</v>
      </c>
      <c r="B175" s="78" t="s">
        <v>3141</v>
      </c>
      <c r="C175" s="79" t="s">
        <v>943</v>
      </c>
      <c r="D175" s="440"/>
      <c r="E175" s="440"/>
      <c r="F175" s="433">
        <f t="shared" si="4"/>
        <v>0</v>
      </c>
    </row>
    <row r="176" spans="1:6">
      <c r="A176" s="78" t="s">
        <v>1133</v>
      </c>
      <c r="B176" s="78" t="s">
        <v>3142</v>
      </c>
      <c r="C176" s="79" t="s">
        <v>22</v>
      </c>
      <c r="D176" s="440"/>
      <c r="E176" s="440"/>
      <c r="F176" s="433">
        <f t="shared" si="4"/>
        <v>0</v>
      </c>
    </row>
    <row r="177" spans="1:6">
      <c r="A177" s="78" t="s">
        <v>1134</v>
      </c>
      <c r="B177" s="78" t="s">
        <v>1135</v>
      </c>
      <c r="C177" s="79" t="s">
        <v>943</v>
      </c>
      <c r="D177" s="440"/>
      <c r="E177" s="440"/>
      <c r="F177" s="433">
        <f t="shared" si="4"/>
        <v>0</v>
      </c>
    </row>
    <row r="178" spans="1:6">
      <c r="A178" s="78" t="s">
        <v>1136</v>
      </c>
      <c r="B178" s="440"/>
      <c r="C178" s="440" t="str">
        <f>+IF(B178="","",IF(B178="SUMINISTRO Y COLOCACION DE GEOMEMBRANAS","m2",IF(B178="SUMINISTRO Y COLOCACION DE ARCILLA","m3")))</f>
        <v/>
      </c>
      <c r="D178" s="440"/>
      <c r="E178" s="440"/>
      <c r="F178" s="433">
        <f t="shared" si="4"/>
        <v>0</v>
      </c>
    </row>
    <row r="179" spans="1:6">
      <c r="A179" s="78" t="s">
        <v>1137</v>
      </c>
      <c r="B179" s="440" t="str">
        <f>+IF(B178="","",IF(B178="SUMINISTRO Y COLOCACION DE GEOMEMBRANAS","PROTECCION DE GEOMEMBRANA CON GEOTEXTIL NO TEJIDO",""))</f>
        <v/>
      </c>
      <c r="C179" s="440" t="str">
        <f>+IF(B179="","",IF(B179="PROTECCION DE GEOMEMBRANA CON GEOTEXTIL NO TEJIDO","m2"))</f>
        <v/>
      </c>
      <c r="D179" s="440"/>
      <c r="E179" s="440"/>
      <c r="F179" s="433">
        <f t="shared" si="4"/>
        <v>0</v>
      </c>
    </row>
    <row r="180" spans="1:6">
      <c r="A180" s="78" t="s">
        <v>1138</v>
      </c>
      <c r="B180" s="440" t="str">
        <f>+IF(B178="","",IF(B178="SUMINISTRO Y COLOCACION DE GEOMEMBRANAS","RELLENO CON MATERIAL PROPIO EN DADO DE ANCLAJE DE GEOMEMBRANA",""))</f>
        <v/>
      </c>
      <c r="C180" s="440" t="str">
        <f>+IF(B180="","",IF(B180="RELLENO CON MATERIAL PROPIO EN DADO DE ANCLAJE DE GEOMEMBRANA","m3"))</f>
        <v/>
      </c>
      <c r="D180" s="440"/>
      <c r="E180" s="440"/>
      <c r="F180" s="433">
        <f t="shared" si="4"/>
        <v>0</v>
      </c>
    </row>
    <row r="181" spans="1:6">
      <c r="A181" s="74" t="s">
        <v>1140</v>
      </c>
      <c r="B181" s="74" t="s">
        <v>1141</v>
      </c>
      <c r="C181" s="75"/>
      <c r="D181" s="76"/>
      <c r="E181" s="76"/>
      <c r="F181" s="77">
        <f>SUM(F182:F206)</f>
        <v>0</v>
      </c>
    </row>
    <row r="182" spans="1:6">
      <c r="A182" s="78" t="s">
        <v>1142</v>
      </c>
      <c r="B182" s="78" t="s">
        <v>1126</v>
      </c>
      <c r="C182" s="79" t="s">
        <v>1109</v>
      </c>
      <c r="D182" s="440"/>
      <c r="E182" s="440"/>
      <c r="F182" s="433">
        <f t="shared" ref="F182:F187" si="5">D182*E182</f>
        <v>0</v>
      </c>
    </row>
    <row r="183" spans="1:6">
      <c r="A183" s="78" t="s">
        <v>1143</v>
      </c>
      <c r="B183" s="78" t="s">
        <v>3143</v>
      </c>
      <c r="C183" s="79" t="s">
        <v>943</v>
      </c>
      <c r="D183" s="440"/>
      <c r="E183" s="440"/>
      <c r="F183" s="433">
        <f t="shared" si="5"/>
        <v>0</v>
      </c>
    </row>
    <row r="184" spans="1:6">
      <c r="A184" s="78" t="s">
        <v>1144</v>
      </c>
      <c r="B184" s="78" t="s">
        <v>1145</v>
      </c>
      <c r="C184" s="79" t="s">
        <v>943</v>
      </c>
      <c r="D184" s="440"/>
      <c r="E184" s="440"/>
      <c r="F184" s="433">
        <f t="shared" si="5"/>
        <v>0</v>
      </c>
    </row>
    <row r="185" spans="1:6">
      <c r="A185" s="78" t="s">
        <v>1146</v>
      </c>
      <c r="B185" s="78" t="s">
        <v>3144</v>
      </c>
      <c r="C185" s="79" t="s">
        <v>22</v>
      </c>
      <c r="D185" s="440"/>
      <c r="E185" s="440"/>
      <c r="F185" s="433">
        <f t="shared" si="5"/>
        <v>0</v>
      </c>
    </row>
    <row r="186" spans="1:6">
      <c r="A186" s="78" t="s">
        <v>1147</v>
      </c>
      <c r="B186" s="78" t="s">
        <v>3145</v>
      </c>
      <c r="C186" s="79" t="s">
        <v>22</v>
      </c>
      <c r="D186" s="440"/>
      <c r="E186" s="440"/>
      <c r="F186" s="433">
        <f t="shared" si="5"/>
        <v>0</v>
      </c>
    </row>
    <row r="187" spans="1:6">
      <c r="A187" s="78" t="s">
        <v>1148</v>
      </c>
      <c r="B187" s="78" t="s">
        <v>3146</v>
      </c>
      <c r="C187" s="79" t="s">
        <v>875</v>
      </c>
      <c r="D187" s="440"/>
      <c r="E187" s="440"/>
      <c r="F187" s="433">
        <f t="shared" si="5"/>
        <v>0</v>
      </c>
    </row>
    <row r="188" spans="1:6">
      <c r="A188" s="71" t="s">
        <v>1149</v>
      </c>
      <c r="B188" s="71" t="s">
        <v>3147</v>
      </c>
      <c r="C188" s="72"/>
      <c r="D188" s="73"/>
      <c r="E188" s="73"/>
      <c r="F188" s="432">
        <f>F189+F191+F195+F198+F200+F205</f>
        <v>0</v>
      </c>
    </row>
    <row r="189" spans="1:6">
      <c r="A189" s="74" t="s">
        <v>1150</v>
      </c>
      <c r="B189" s="74" t="s">
        <v>861</v>
      </c>
      <c r="C189" s="75"/>
      <c r="D189" s="76"/>
      <c r="E189" s="76"/>
      <c r="F189" s="77">
        <f>F190</f>
        <v>0</v>
      </c>
    </row>
    <row r="190" spans="1:6">
      <c r="A190" s="78" t="s">
        <v>1151</v>
      </c>
      <c r="B190" s="78" t="s">
        <v>1126</v>
      </c>
      <c r="C190" s="79" t="s">
        <v>22</v>
      </c>
      <c r="D190" s="440"/>
      <c r="E190" s="440"/>
      <c r="F190" s="433">
        <f>D190*E190</f>
        <v>0</v>
      </c>
    </row>
    <row r="191" spans="1:6">
      <c r="A191" s="74" t="s">
        <v>1152</v>
      </c>
      <c r="B191" s="74" t="s">
        <v>939</v>
      </c>
      <c r="C191" s="75"/>
      <c r="D191" s="76"/>
      <c r="E191" s="76"/>
      <c r="F191" s="77">
        <f>SUM(F192:F194)</f>
        <v>0</v>
      </c>
    </row>
    <row r="192" spans="1:6">
      <c r="A192" s="78" t="s">
        <v>1153</v>
      </c>
      <c r="B192" s="78" t="s">
        <v>3148</v>
      </c>
      <c r="C192" s="79" t="s">
        <v>943</v>
      </c>
      <c r="D192" s="440"/>
      <c r="E192" s="440"/>
      <c r="F192" s="433">
        <f>D192*E192</f>
        <v>0</v>
      </c>
    </row>
    <row r="193" spans="1:6">
      <c r="A193" s="78" t="s">
        <v>1154</v>
      </c>
      <c r="B193" s="78" t="s">
        <v>3141</v>
      </c>
      <c r="C193" s="79" t="s">
        <v>943</v>
      </c>
      <c r="D193" s="440"/>
      <c r="E193" s="440"/>
      <c r="F193" s="433">
        <f>D193*E193</f>
        <v>0</v>
      </c>
    </row>
    <row r="194" spans="1:6">
      <c r="A194" s="78" t="s">
        <v>1155</v>
      </c>
      <c r="B194" s="78" t="s">
        <v>3149</v>
      </c>
      <c r="C194" s="79" t="s">
        <v>22</v>
      </c>
      <c r="D194" s="440"/>
      <c r="E194" s="440"/>
      <c r="F194" s="433">
        <f>D194*E194</f>
        <v>0</v>
      </c>
    </row>
    <row r="195" spans="1:6">
      <c r="A195" s="74" t="s">
        <v>1156</v>
      </c>
      <c r="B195" s="74" t="s">
        <v>1157</v>
      </c>
      <c r="C195" s="75"/>
      <c r="D195" s="76"/>
      <c r="E195" s="76"/>
      <c r="F195" s="77">
        <f>SUM(F196:F197)</f>
        <v>0</v>
      </c>
    </row>
    <row r="196" spans="1:6">
      <c r="A196" s="78" t="s">
        <v>1158</v>
      </c>
      <c r="B196" s="78" t="s">
        <v>1159</v>
      </c>
      <c r="C196" s="79" t="s">
        <v>22</v>
      </c>
      <c r="D196" s="440"/>
      <c r="E196" s="440"/>
      <c r="F196" s="433">
        <f>D196*E196</f>
        <v>0</v>
      </c>
    </row>
    <row r="197" spans="1:6">
      <c r="A197" s="78" t="s">
        <v>1160</v>
      </c>
      <c r="B197" s="78" t="s">
        <v>1139</v>
      </c>
      <c r="C197" s="79" t="s">
        <v>943</v>
      </c>
      <c r="D197" s="440"/>
      <c r="E197" s="440"/>
      <c r="F197" s="433">
        <f>D197*E197</f>
        <v>0</v>
      </c>
    </row>
    <row r="198" spans="1:6">
      <c r="A198" s="74" t="s">
        <v>1161</v>
      </c>
      <c r="B198" s="74" t="s">
        <v>957</v>
      </c>
      <c r="C198" s="75"/>
      <c r="D198" s="76"/>
      <c r="E198" s="76"/>
      <c r="F198" s="77">
        <f>F199</f>
        <v>0</v>
      </c>
    </row>
    <row r="199" spans="1:6">
      <c r="A199" s="78" t="s">
        <v>1162</v>
      </c>
      <c r="B199" s="78" t="s">
        <v>1163</v>
      </c>
      <c r="C199" s="79" t="s">
        <v>943</v>
      </c>
      <c r="D199" s="440"/>
      <c r="E199" s="440"/>
      <c r="F199" s="433">
        <f>D199*E199</f>
        <v>0</v>
      </c>
    </row>
    <row r="200" spans="1:6">
      <c r="A200" s="74" t="s">
        <v>1164</v>
      </c>
      <c r="B200" s="74" t="s">
        <v>1165</v>
      </c>
      <c r="C200" s="75"/>
      <c r="D200" s="76"/>
      <c r="E200" s="76"/>
      <c r="F200" s="77">
        <f>SUM(F201:F204)</f>
        <v>0</v>
      </c>
    </row>
    <row r="201" spans="1:6">
      <c r="A201" s="78" t="s">
        <v>1166</v>
      </c>
      <c r="B201" s="78" t="s">
        <v>1167</v>
      </c>
      <c r="C201" s="79" t="s">
        <v>875</v>
      </c>
      <c r="D201" s="440"/>
      <c r="E201" s="440"/>
      <c r="F201" s="433">
        <f>D201*E201</f>
        <v>0</v>
      </c>
    </row>
    <row r="202" spans="1:6">
      <c r="A202" s="78" t="s">
        <v>1168</v>
      </c>
      <c r="B202" s="78" t="s">
        <v>1169</v>
      </c>
      <c r="C202" s="79" t="s">
        <v>875</v>
      </c>
      <c r="D202" s="440"/>
      <c r="E202" s="440"/>
      <c r="F202" s="433">
        <f>D202*E202</f>
        <v>0</v>
      </c>
    </row>
    <row r="203" spans="1:6">
      <c r="A203" s="78" t="s">
        <v>1170</v>
      </c>
      <c r="B203" s="78" t="s">
        <v>1171</v>
      </c>
      <c r="C203" s="79" t="s">
        <v>894</v>
      </c>
      <c r="D203" s="440"/>
      <c r="E203" s="440"/>
      <c r="F203" s="433">
        <f>D203*E203</f>
        <v>0</v>
      </c>
    </row>
    <row r="204" spans="1:6">
      <c r="A204" s="78" t="s">
        <v>1172</v>
      </c>
      <c r="B204" s="78" t="s">
        <v>1173</v>
      </c>
      <c r="C204" s="79" t="s">
        <v>22</v>
      </c>
      <c r="D204" s="440"/>
      <c r="E204" s="440"/>
      <c r="F204" s="433">
        <f>D204*E204</f>
        <v>0</v>
      </c>
    </row>
    <row r="205" spans="1:6">
      <c r="A205" s="74" t="s">
        <v>2453</v>
      </c>
      <c r="B205" s="257" t="s">
        <v>3150</v>
      </c>
      <c r="C205" s="75"/>
      <c r="D205" s="76"/>
      <c r="E205" s="76"/>
      <c r="F205" s="77">
        <f>SUM(F206:F207)</f>
        <v>0</v>
      </c>
    </row>
    <row r="206" spans="1:6" ht="25.5">
      <c r="A206" s="256" t="s">
        <v>2454</v>
      </c>
      <c r="B206" s="258" t="s">
        <v>3151</v>
      </c>
      <c r="C206" s="79" t="s">
        <v>875</v>
      </c>
      <c r="D206" s="440"/>
      <c r="E206" s="440"/>
      <c r="F206" s="433">
        <f>D206*E206</f>
        <v>0</v>
      </c>
    </row>
    <row r="207" spans="1:6" ht="25.5">
      <c r="A207" s="256" t="s">
        <v>2455</v>
      </c>
      <c r="B207" s="258" t="s">
        <v>3152</v>
      </c>
      <c r="C207" s="79" t="s">
        <v>875</v>
      </c>
      <c r="D207" s="440"/>
      <c r="E207" s="440"/>
      <c r="F207" s="433">
        <f>D207*E207</f>
        <v>0</v>
      </c>
    </row>
    <row r="208" spans="1:6">
      <c r="A208" s="71" t="s">
        <v>1174</v>
      </c>
      <c r="B208" s="71" t="s">
        <v>3153</v>
      </c>
      <c r="C208" s="72"/>
      <c r="D208" s="73"/>
      <c r="E208" s="73"/>
      <c r="F208" s="432">
        <f>F209+F211</f>
        <v>0</v>
      </c>
    </row>
    <row r="209" spans="1:6">
      <c r="A209" s="74" t="s">
        <v>1175</v>
      </c>
      <c r="B209" s="74" t="s">
        <v>861</v>
      </c>
      <c r="C209" s="75"/>
      <c r="D209" s="76"/>
      <c r="E209" s="76"/>
      <c r="F209" s="77">
        <f>F210</f>
        <v>0</v>
      </c>
    </row>
    <row r="210" spans="1:6">
      <c r="A210" s="78" t="s">
        <v>1176</v>
      </c>
      <c r="B210" s="78" t="s">
        <v>3154</v>
      </c>
      <c r="C210" s="79" t="s">
        <v>1109</v>
      </c>
      <c r="D210" s="440"/>
      <c r="E210" s="440"/>
      <c r="F210" s="433">
        <f>D210*E210</f>
        <v>0</v>
      </c>
    </row>
    <row r="211" spans="1:6">
      <c r="A211" s="74" t="s">
        <v>1177</v>
      </c>
      <c r="B211" s="74" t="s">
        <v>939</v>
      </c>
      <c r="C211" s="75"/>
      <c r="D211" s="76"/>
      <c r="E211" s="76"/>
      <c r="F211" s="77">
        <f>SUM(F212:F214)</f>
        <v>0</v>
      </c>
    </row>
    <row r="212" spans="1:6">
      <c r="A212" s="78" t="s">
        <v>1178</v>
      </c>
      <c r="B212" s="78" t="s">
        <v>3155</v>
      </c>
      <c r="C212" s="79" t="s">
        <v>943</v>
      </c>
      <c r="D212" s="440"/>
      <c r="E212" s="440"/>
      <c r="F212" s="433">
        <f>D212*E212</f>
        <v>0</v>
      </c>
    </row>
    <row r="213" spans="1:6">
      <c r="A213" s="78" t="s">
        <v>1179</v>
      </c>
      <c r="B213" s="78" t="s">
        <v>3142</v>
      </c>
      <c r="C213" s="79" t="s">
        <v>22</v>
      </c>
      <c r="D213" s="440"/>
      <c r="E213" s="440"/>
      <c r="F213" s="433">
        <f>D213*E213</f>
        <v>0</v>
      </c>
    </row>
    <row r="214" spans="1:6">
      <c r="A214" s="78" t="s">
        <v>1180</v>
      </c>
      <c r="B214" s="78" t="s">
        <v>1181</v>
      </c>
      <c r="C214" s="79" t="s">
        <v>943</v>
      </c>
      <c r="D214" s="440"/>
      <c r="E214" s="440"/>
      <c r="F214" s="433">
        <f>D214*E214</f>
        <v>0</v>
      </c>
    </row>
    <row r="215" spans="1:6">
      <c r="A215" s="71" t="s">
        <v>1182</v>
      </c>
      <c r="B215" s="71" t="s">
        <v>3156</v>
      </c>
      <c r="C215" s="72"/>
      <c r="D215" s="73"/>
      <c r="E215" s="73"/>
      <c r="F215" s="432">
        <f>F216+F218+F220+F222+F225</f>
        <v>0</v>
      </c>
    </row>
    <row r="216" spans="1:6">
      <c r="A216" s="74" t="s">
        <v>1183</v>
      </c>
      <c r="B216" s="74" t="s">
        <v>861</v>
      </c>
      <c r="C216" s="75"/>
      <c r="D216" s="76"/>
      <c r="E216" s="76"/>
      <c r="F216" s="77">
        <f>F217</f>
        <v>0</v>
      </c>
    </row>
    <row r="217" spans="1:6">
      <c r="A217" s="78" t="s">
        <v>1184</v>
      </c>
      <c r="B217" s="78" t="s">
        <v>3093</v>
      </c>
      <c r="C217" s="79" t="s">
        <v>1109</v>
      </c>
      <c r="D217" s="440"/>
      <c r="E217" s="440"/>
      <c r="F217" s="433">
        <f>D217*E217</f>
        <v>0</v>
      </c>
    </row>
    <row r="218" spans="1:6">
      <c r="A218" s="74" t="s">
        <v>1185</v>
      </c>
      <c r="B218" s="74" t="s">
        <v>939</v>
      </c>
      <c r="C218" s="75"/>
      <c r="D218" s="76"/>
      <c r="E218" s="76"/>
      <c r="F218" s="77">
        <f>F219</f>
        <v>0</v>
      </c>
    </row>
    <row r="219" spans="1:6">
      <c r="A219" s="78" t="s">
        <v>1186</v>
      </c>
      <c r="B219" s="78" t="s">
        <v>3157</v>
      </c>
      <c r="C219" s="79" t="s">
        <v>943</v>
      </c>
      <c r="D219" s="440"/>
      <c r="E219" s="440"/>
      <c r="F219" s="433">
        <f>D219*E219</f>
        <v>0</v>
      </c>
    </row>
    <row r="220" spans="1:6">
      <c r="A220" s="74" t="s">
        <v>1187</v>
      </c>
      <c r="B220" s="74" t="s">
        <v>957</v>
      </c>
      <c r="C220" s="75"/>
      <c r="D220" s="76"/>
      <c r="E220" s="76"/>
      <c r="F220" s="77">
        <f>F221</f>
        <v>0</v>
      </c>
    </row>
    <row r="221" spans="1:6">
      <c r="A221" s="78" t="s">
        <v>1188</v>
      </c>
      <c r="B221" s="78" t="s">
        <v>1163</v>
      </c>
      <c r="C221" s="79" t="s">
        <v>943</v>
      </c>
      <c r="D221" s="440"/>
      <c r="E221" s="440"/>
      <c r="F221" s="433">
        <f>D221*E221</f>
        <v>0</v>
      </c>
    </row>
    <row r="222" spans="1:6">
      <c r="A222" s="74" t="s">
        <v>1189</v>
      </c>
      <c r="B222" s="74" t="s">
        <v>3158</v>
      </c>
      <c r="C222" s="75"/>
      <c r="D222" s="76"/>
      <c r="E222" s="76"/>
      <c r="F222" s="77">
        <f>SUM(F223:F224)</f>
        <v>0</v>
      </c>
    </row>
    <row r="223" spans="1:6">
      <c r="A223" s="78" t="s">
        <v>1190</v>
      </c>
      <c r="B223" s="78" t="s">
        <v>1191</v>
      </c>
      <c r="C223" s="79" t="s">
        <v>875</v>
      </c>
      <c r="D223" s="440"/>
      <c r="E223" s="440"/>
      <c r="F223" s="433">
        <f>D223*E223</f>
        <v>0</v>
      </c>
    </row>
    <row r="224" spans="1:6">
      <c r="A224" s="78" t="s">
        <v>1192</v>
      </c>
      <c r="B224" s="78" t="s">
        <v>3159</v>
      </c>
      <c r="C224" s="79" t="s">
        <v>894</v>
      </c>
      <c r="D224" s="440"/>
      <c r="E224" s="440"/>
      <c r="F224" s="433">
        <f>D224*E224</f>
        <v>0</v>
      </c>
    </row>
    <row r="225" spans="1:6">
      <c r="A225" s="74" t="s">
        <v>1193</v>
      </c>
      <c r="B225" s="74" t="s">
        <v>1194</v>
      </c>
      <c r="C225" s="75"/>
      <c r="D225" s="76"/>
      <c r="E225" s="76"/>
      <c r="F225" s="77">
        <f>F226</f>
        <v>0</v>
      </c>
    </row>
    <row r="226" spans="1:6">
      <c r="A226" s="78" t="s">
        <v>1195</v>
      </c>
      <c r="B226" s="78" t="s">
        <v>3160</v>
      </c>
      <c r="C226" s="79" t="s">
        <v>1010</v>
      </c>
      <c r="D226" s="440"/>
      <c r="E226" s="440"/>
      <c r="F226" s="433">
        <f>D226*E226</f>
        <v>0</v>
      </c>
    </row>
    <row r="227" spans="1:6">
      <c r="A227" s="71" t="s">
        <v>1196</v>
      </c>
      <c r="B227" s="71" t="s">
        <v>3161</v>
      </c>
      <c r="C227" s="72"/>
      <c r="D227" s="73"/>
      <c r="E227" s="73"/>
      <c r="F227" s="432">
        <f>F228+F232+F234</f>
        <v>0</v>
      </c>
    </row>
    <row r="228" spans="1:6">
      <c r="A228" s="74" t="s">
        <v>1197</v>
      </c>
      <c r="B228" s="74" t="s">
        <v>939</v>
      </c>
      <c r="C228" s="75"/>
      <c r="D228" s="76"/>
      <c r="E228" s="76"/>
      <c r="F228" s="77">
        <f>SUM(F229:F231)</f>
        <v>0</v>
      </c>
    </row>
    <row r="229" spans="1:6">
      <c r="A229" s="78" t="s">
        <v>1198</v>
      </c>
      <c r="B229" s="78" t="s">
        <v>3162</v>
      </c>
      <c r="C229" s="79" t="s">
        <v>943</v>
      </c>
      <c r="D229" s="440"/>
      <c r="E229" s="440"/>
      <c r="F229" s="433">
        <f>D229*E229</f>
        <v>0</v>
      </c>
    </row>
    <row r="230" spans="1:6">
      <c r="A230" s="78" t="s">
        <v>1199</v>
      </c>
      <c r="B230" s="78" t="s">
        <v>1200</v>
      </c>
      <c r="C230" s="79" t="s">
        <v>943</v>
      </c>
      <c r="D230" s="440"/>
      <c r="E230" s="440"/>
      <c r="F230" s="433">
        <f>D230*E230</f>
        <v>0</v>
      </c>
    </row>
    <row r="231" spans="1:6">
      <c r="A231" s="78" t="s">
        <v>1201</v>
      </c>
      <c r="B231" s="78" t="s">
        <v>1202</v>
      </c>
      <c r="C231" s="79" t="s">
        <v>943</v>
      </c>
      <c r="D231" s="440"/>
      <c r="E231" s="440"/>
      <c r="F231" s="433">
        <f>D231*E231</f>
        <v>0</v>
      </c>
    </row>
    <row r="232" spans="1:6">
      <c r="A232" s="74" t="s">
        <v>1203</v>
      </c>
      <c r="B232" s="74" t="s">
        <v>957</v>
      </c>
      <c r="C232" s="75"/>
      <c r="D232" s="76"/>
      <c r="E232" s="76"/>
      <c r="F232" s="77">
        <f>F233</f>
        <v>0</v>
      </c>
    </row>
    <row r="233" spans="1:6">
      <c r="A233" s="78" t="s">
        <v>1204</v>
      </c>
      <c r="B233" s="78" t="s">
        <v>1205</v>
      </c>
      <c r="C233" s="79" t="s">
        <v>943</v>
      </c>
      <c r="D233" s="440"/>
      <c r="E233" s="440"/>
      <c r="F233" s="433">
        <f>D233*E233</f>
        <v>0</v>
      </c>
    </row>
    <row r="234" spans="1:6">
      <c r="A234" s="74" t="s">
        <v>1206</v>
      </c>
      <c r="B234" s="74" t="s">
        <v>3163</v>
      </c>
      <c r="C234" s="75"/>
      <c r="D234" s="76"/>
      <c r="E234" s="76"/>
      <c r="F234" s="77">
        <f>F235</f>
        <v>0</v>
      </c>
    </row>
    <row r="235" spans="1:6">
      <c r="A235" s="78" t="s">
        <v>1207</v>
      </c>
      <c r="B235" s="78" t="s">
        <v>3164</v>
      </c>
      <c r="C235" s="79" t="s">
        <v>875</v>
      </c>
      <c r="D235" s="440"/>
      <c r="E235" s="440"/>
      <c r="F235" s="433">
        <f>D235*E235</f>
        <v>0</v>
      </c>
    </row>
    <row r="236" spans="1:6">
      <c r="A236" s="71" t="s">
        <v>1208</v>
      </c>
      <c r="B236" s="71" t="s">
        <v>3165</v>
      </c>
      <c r="C236" s="72"/>
      <c r="D236" s="73"/>
      <c r="E236" s="73"/>
      <c r="F236" s="432">
        <f>F237+F239</f>
        <v>0</v>
      </c>
    </row>
    <row r="237" spans="1:6">
      <c r="A237" s="74" t="s">
        <v>1209</v>
      </c>
      <c r="B237" s="74" t="s">
        <v>861</v>
      </c>
      <c r="C237" s="75"/>
      <c r="D237" s="76"/>
      <c r="E237" s="76"/>
      <c r="F237" s="77">
        <f>F238</f>
        <v>0</v>
      </c>
    </row>
    <row r="238" spans="1:6">
      <c r="A238" s="78" t="s">
        <v>1210</v>
      </c>
      <c r="B238" s="78" t="s">
        <v>1126</v>
      </c>
      <c r="C238" s="79" t="s">
        <v>22</v>
      </c>
      <c r="D238" s="440"/>
      <c r="E238" s="440"/>
      <c r="F238" s="433">
        <f>D238*E238</f>
        <v>0</v>
      </c>
    </row>
    <row r="239" spans="1:6">
      <c r="A239" s="74" t="s">
        <v>1211</v>
      </c>
      <c r="B239" s="74" t="s">
        <v>1212</v>
      </c>
      <c r="C239" s="75"/>
      <c r="D239" s="76"/>
      <c r="E239" s="76"/>
      <c r="F239" s="77">
        <f>F240</f>
        <v>0</v>
      </c>
    </row>
    <row r="240" spans="1:6">
      <c r="A240" s="78" t="s">
        <v>1213</v>
      </c>
      <c r="B240" s="78" t="s">
        <v>1214</v>
      </c>
      <c r="C240" s="79" t="s">
        <v>875</v>
      </c>
      <c r="D240" s="440"/>
      <c r="E240" s="440"/>
      <c r="F240" s="433">
        <f>D240*E240</f>
        <v>0</v>
      </c>
    </row>
    <row r="241" spans="1:6">
      <c r="A241" s="71" t="s">
        <v>1215</v>
      </c>
      <c r="B241" s="71" t="s">
        <v>3166</v>
      </c>
      <c r="C241" s="72"/>
      <c r="D241" s="73"/>
      <c r="E241" s="73"/>
      <c r="F241" s="432">
        <f>SUM(F242:F244)</f>
        <v>0</v>
      </c>
    </row>
    <row r="242" spans="1:6">
      <c r="A242" s="78" t="s">
        <v>1216</v>
      </c>
      <c r="B242" s="78" t="s">
        <v>1217</v>
      </c>
      <c r="C242" s="79" t="s">
        <v>943</v>
      </c>
      <c r="D242" s="440"/>
      <c r="E242" s="440"/>
      <c r="F242" s="433">
        <f>D242*E242</f>
        <v>0</v>
      </c>
    </row>
    <row r="243" spans="1:6">
      <c r="A243" s="78" t="s">
        <v>1218</v>
      </c>
      <c r="B243" s="78" t="s">
        <v>1219</v>
      </c>
      <c r="C243" s="79" t="s">
        <v>22</v>
      </c>
      <c r="D243" s="440"/>
      <c r="E243" s="440"/>
      <c r="F243" s="433">
        <f>D243*E243</f>
        <v>0</v>
      </c>
    </row>
    <row r="244" spans="1:6">
      <c r="A244" s="78" t="s">
        <v>1220</v>
      </c>
      <c r="B244" s="78" t="s">
        <v>3167</v>
      </c>
      <c r="C244" s="79" t="s">
        <v>22</v>
      </c>
      <c r="D244" s="440"/>
      <c r="E244" s="440"/>
      <c r="F244" s="433">
        <f>D244*E244</f>
        <v>0</v>
      </c>
    </row>
    <row r="245" spans="1:6">
      <c r="A245" s="71" t="s">
        <v>155</v>
      </c>
      <c r="B245" s="71" t="s">
        <v>1221</v>
      </c>
      <c r="C245" s="72"/>
      <c r="D245" s="73"/>
      <c r="E245" s="73"/>
      <c r="F245" s="432">
        <f>SUM(F246:F250)</f>
        <v>0</v>
      </c>
    </row>
    <row r="246" spans="1:6">
      <c r="A246" s="78" t="s">
        <v>1222</v>
      </c>
      <c r="B246" s="78" t="s">
        <v>3168</v>
      </c>
      <c r="C246" s="79" t="s">
        <v>22</v>
      </c>
      <c r="D246" s="440"/>
      <c r="E246" s="440"/>
      <c r="F246" s="433">
        <f>D246*E246</f>
        <v>0</v>
      </c>
    </row>
    <row r="247" spans="1:6">
      <c r="A247" s="78" t="s">
        <v>1223</v>
      </c>
      <c r="B247" s="78" t="s">
        <v>2974</v>
      </c>
      <c r="C247" s="79" t="s">
        <v>141</v>
      </c>
      <c r="D247" s="440"/>
      <c r="E247" s="440"/>
      <c r="F247" s="433">
        <f>D247*E247</f>
        <v>0</v>
      </c>
    </row>
    <row r="248" spans="1:6">
      <c r="A248" s="78" t="s">
        <v>1224</v>
      </c>
      <c r="B248" s="78" t="s">
        <v>2975</v>
      </c>
      <c r="C248" s="79" t="s">
        <v>472</v>
      </c>
      <c r="D248" s="440"/>
      <c r="E248" s="440"/>
      <c r="F248" s="433">
        <f>D248*E248</f>
        <v>0</v>
      </c>
    </row>
    <row r="249" spans="1:6">
      <c r="A249" s="78" t="s">
        <v>1225</v>
      </c>
      <c r="B249" s="78" t="s">
        <v>1226</v>
      </c>
      <c r="C249" s="79" t="s">
        <v>141</v>
      </c>
      <c r="D249" s="440"/>
      <c r="E249" s="440"/>
      <c r="F249" s="433">
        <f>D249*E249</f>
        <v>0</v>
      </c>
    </row>
    <row r="250" spans="1:6">
      <c r="A250" s="78" t="s">
        <v>1227</v>
      </c>
      <c r="B250" s="78" t="s">
        <v>2976</v>
      </c>
      <c r="C250" s="79" t="s">
        <v>1128</v>
      </c>
      <c r="D250" s="440"/>
      <c r="E250" s="440"/>
      <c r="F250" s="433">
        <f>D250*E250</f>
        <v>0</v>
      </c>
    </row>
    <row r="251" spans="1:6">
      <c r="A251" s="443">
        <v>5</v>
      </c>
      <c r="B251" s="71" t="s">
        <v>2452</v>
      </c>
      <c r="C251" s="72"/>
      <c r="D251" s="73"/>
      <c r="E251" s="73"/>
      <c r="F251" s="432">
        <f>SUM(F252:F256)</f>
        <v>0</v>
      </c>
    </row>
    <row r="252" spans="1:6">
      <c r="A252" s="440">
        <v>5.01</v>
      </c>
      <c r="B252" s="440"/>
      <c r="C252" s="440"/>
      <c r="D252" s="440"/>
      <c r="E252" s="440"/>
      <c r="F252" s="433">
        <f>D252*E252</f>
        <v>0</v>
      </c>
    </row>
    <row r="253" spans="1:6">
      <c r="A253" s="440">
        <v>5.0199999999999996</v>
      </c>
      <c r="B253" s="440"/>
      <c r="C253" s="440"/>
      <c r="D253" s="440"/>
      <c r="E253" s="440"/>
      <c r="F253" s="433">
        <f>D253*E253</f>
        <v>0</v>
      </c>
    </row>
    <row r="254" spans="1:6">
      <c r="A254" s="440">
        <v>5.03</v>
      </c>
      <c r="B254" s="440"/>
      <c r="C254" s="440"/>
      <c r="D254" s="440"/>
      <c r="E254" s="440"/>
      <c r="F254" s="433">
        <f>D254*E254</f>
        <v>0</v>
      </c>
    </row>
    <row r="255" spans="1:6">
      <c r="A255" s="440">
        <v>5.04</v>
      </c>
      <c r="B255" s="440"/>
      <c r="C255" s="440"/>
      <c r="D255" s="440"/>
      <c r="E255" s="440"/>
      <c r="F255" s="433">
        <f>D255*E255</f>
        <v>0</v>
      </c>
    </row>
    <row r="256" spans="1:6">
      <c r="A256" s="440">
        <v>5.05</v>
      </c>
      <c r="B256" s="440"/>
      <c r="C256" s="440"/>
      <c r="D256" s="440"/>
      <c r="E256" s="440"/>
      <c r="F256" s="433">
        <f>D256*E256</f>
        <v>0</v>
      </c>
    </row>
    <row r="257" spans="1:7">
      <c r="A257" s="1919" t="s">
        <v>1228</v>
      </c>
      <c r="B257" s="1919"/>
      <c r="C257" s="1919"/>
      <c r="D257" s="1919"/>
      <c r="E257" s="1919"/>
      <c r="F257" s="437">
        <f>F245+F167+F156+F8+F251</f>
        <v>0</v>
      </c>
    </row>
    <row r="258" spans="1:7">
      <c r="A258" s="2"/>
      <c r="C258" s="88"/>
      <c r="D258" s="186"/>
      <c r="E258" s="89"/>
      <c r="F258" s="438"/>
    </row>
    <row r="259" spans="1:7">
      <c r="A259" s="2"/>
      <c r="B259" s="510" t="s">
        <v>73</v>
      </c>
      <c r="C259" s="441" t="s">
        <v>72</v>
      </c>
      <c r="D259" s="10"/>
      <c r="E259" s="90"/>
    </row>
    <row r="260" spans="1:7">
      <c r="A260" s="2"/>
      <c r="B260" s="18" t="s">
        <v>1229</v>
      </c>
      <c r="C260" s="519"/>
      <c r="D260" s="4"/>
      <c r="E260" s="91"/>
    </row>
    <row r="261" spans="1:7">
      <c r="A261" s="2"/>
      <c r="B261" s="18" t="s">
        <v>1230</v>
      </c>
      <c r="C261" s="519"/>
      <c r="D261" s="4"/>
      <c r="E261" s="91"/>
    </row>
    <row r="262" spans="1:7">
      <c r="A262" s="2"/>
      <c r="B262" s="18" t="s">
        <v>1231</v>
      </c>
      <c r="C262" s="519"/>
      <c r="D262" s="4"/>
      <c r="E262" s="91"/>
    </row>
    <row r="263" spans="1:7">
      <c r="A263" s="2"/>
      <c r="C263" s="88"/>
      <c r="D263" s="186"/>
      <c r="E263" s="89"/>
      <c r="F263" s="413"/>
    </row>
    <row r="264" spans="1:7" ht="25.5">
      <c r="A264" s="2"/>
      <c r="C264" s="441" t="s">
        <v>1232</v>
      </c>
      <c r="D264" s="441" t="s">
        <v>1231</v>
      </c>
      <c r="E264" s="441" t="s">
        <v>10</v>
      </c>
      <c r="F264" s="413"/>
    </row>
    <row r="265" spans="1:7">
      <c r="A265" s="2"/>
      <c r="B265" s="92" t="s">
        <v>1233</v>
      </c>
      <c r="C265" s="93">
        <f>F257</f>
        <v>0</v>
      </c>
      <c r="D265" s="11">
        <f>C265*C262</f>
        <v>0</v>
      </c>
      <c r="E265" s="442">
        <f>SUM(C265:D265)</f>
        <v>0</v>
      </c>
      <c r="F265" s="94"/>
    </row>
    <row r="266" spans="1:7">
      <c r="A266" s="2"/>
      <c r="B266" s="92" t="s">
        <v>3245</v>
      </c>
      <c r="C266" s="11">
        <f>C265*C260</f>
        <v>0</v>
      </c>
      <c r="D266" s="95">
        <f>C266*C262</f>
        <v>0</v>
      </c>
      <c r="E266" s="95">
        <f>+C266+D266</f>
        <v>0</v>
      </c>
      <c r="F266" s="413"/>
    </row>
    <row r="267" spans="1:7">
      <c r="A267" s="2"/>
      <c r="B267" s="92" t="s">
        <v>3246</v>
      </c>
      <c r="C267" s="11">
        <f>C265*C261</f>
        <v>0</v>
      </c>
      <c r="D267" s="95">
        <f>C267*C262</f>
        <v>0</v>
      </c>
      <c r="E267" s="95">
        <f>+C267+D267</f>
        <v>0</v>
      </c>
      <c r="F267" s="413"/>
    </row>
    <row r="268" spans="1:7">
      <c r="A268" s="2"/>
      <c r="B268" s="92" t="s">
        <v>1236</v>
      </c>
      <c r="C268" s="93">
        <f>SUM(C265:C267)</f>
        <v>0</v>
      </c>
      <c r="D268" s="93">
        <f>SUM(D265:D267)</f>
        <v>0</v>
      </c>
      <c r="E268" s="442">
        <f>+SUM(E265:E267)</f>
        <v>0</v>
      </c>
      <c r="F268" s="413"/>
    </row>
    <row r="270" spans="1:7">
      <c r="A270" s="431"/>
      <c r="B270" s="431"/>
      <c r="C270" s="431"/>
      <c r="D270" s="1909"/>
      <c r="E270" s="1909"/>
      <c r="F270" s="1909"/>
      <c r="G270" s="1909"/>
    </row>
    <row r="271" spans="1:7">
      <c r="A271" s="431"/>
      <c r="B271" s="431"/>
      <c r="C271" s="431"/>
      <c r="D271" s="1909"/>
      <c r="E271" s="1909"/>
      <c r="F271" s="1909"/>
      <c r="G271" s="1909"/>
    </row>
    <row r="272" spans="1:7">
      <c r="A272" s="431"/>
      <c r="B272" s="431"/>
      <c r="C272" s="431"/>
      <c r="D272" s="1909"/>
      <c r="E272" s="1909"/>
      <c r="F272" s="1909"/>
      <c r="G272" s="1909"/>
    </row>
  </sheetData>
  <mergeCells count="4">
    <mergeCell ref="A5:F5"/>
    <mergeCell ref="A257:E257"/>
    <mergeCell ref="D270:G272"/>
    <mergeCell ref="A1:G1"/>
  </mergeCells>
  <dataValidations disablePrompts="1" count="1">
    <dataValidation type="list" allowBlank="1" showInputMessage="1" showErrorMessage="1" sqref="B178" xr:uid="{00000000-0002-0000-0E00-000000000000}">
      <formula1>#REF!</formula1>
    </dataValidation>
  </dataValidations>
  <pageMargins left="0.7" right="0.7" top="0.75" bottom="0.75" header="0.3" footer="0.3"/>
  <pageSetup paperSize="9" scale="64" orientation="portrait" r:id="rId1"/>
  <ignoredErrors>
    <ignoredError sqref="C178:C180 B179:B180 F248:F250 F252:F256 F166:F177 F8:F11 F13:F165 F181:F247" unlockedFormula="1"/>
    <ignoredError sqref="F251 F12" formula="1" unlockedFormula="1"/>
  </ignoredErrors>
  <drawing r:id="rId2"/>
  <legacyDrawing r:id="rId3"/>
  <controls>
    <mc:AlternateContent xmlns:mc="http://schemas.openxmlformats.org/markup-compatibility/2006">
      <mc:Choice Requires="x14">
        <control shapeId="109579" r:id="rId4" name="CommandButton7">
          <controlPr defaultSize="0" autoLine="0" r:id="rId5">
            <anchor moveWithCells="1" sizeWithCells="1">
              <from>
                <xdr:col>1</xdr:col>
                <xdr:colOff>3419475</xdr:colOff>
                <xdr:row>269</xdr:row>
                <xdr:rowOff>104775</xdr:rowOff>
              </from>
              <to>
                <xdr:col>3</xdr:col>
                <xdr:colOff>266700</xdr:colOff>
                <xdr:row>271</xdr:row>
                <xdr:rowOff>76200</xdr:rowOff>
              </to>
            </anchor>
          </controlPr>
        </control>
      </mc:Choice>
      <mc:Fallback>
        <control shapeId="109579" r:id="rId4" name="CommandButton7"/>
      </mc:Fallback>
    </mc:AlternateContent>
    <mc:AlternateContent xmlns:mc="http://schemas.openxmlformats.org/markup-compatibility/2006">
      <mc:Choice Requires="x14">
        <control shapeId="109578" r:id="rId6" name="CommandButton6">
          <controlPr defaultSize="0" autoLine="0" r:id="rId7">
            <anchor moveWithCells="1" sizeWithCells="1">
              <from>
                <xdr:col>1</xdr:col>
                <xdr:colOff>3409950</xdr:colOff>
                <xdr:row>1</xdr:row>
                <xdr:rowOff>104775</xdr:rowOff>
              </from>
              <to>
                <xdr:col>3</xdr:col>
                <xdr:colOff>257175</xdr:colOff>
                <xdr:row>3</xdr:row>
                <xdr:rowOff>38100</xdr:rowOff>
              </to>
            </anchor>
          </controlPr>
        </control>
      </mc:Choice>
      <mc:Fallback>
        <control shapeId="109578" r:id="rId6" name="CommandButton6"/>
      </mc:Fallback>
    </mc:AlternateContent>
    <mc:AlternateContent xmlns:mc="http://schemas.openxmlformats.org/markup-compatibility/2006">
      <mc:Choice Requires="x14">
        <control shapeId="109577" r:id="rId8" name="CommandButton5">
          <controlPr defaultSize="0" autoLine="0" r:id="rId9">
            <anchor moveWithCells="1" sizeWithCells="1">
              <from>
                <xdr:col>1</xdr:col>
                <xdr:colOff>542925</xdr:colOff>
                <xdr:row>269</xdr:row>
                <xdr:rowOff>104775</xdr:rowOff>
              </from>
              <to>
                <xdr:col>1</xdr:col>
                <xdr:colOff>3419475</xdr:colOff>
                <xdr:row>271</xdr:row>
                <xdr:rowOff>76200</xdr:rowOff>
              </to>
            </anchor>
          </controlPr>
        </control>
      </mc:Choice>
      <mc:Fallback>
        <control shapeId="109577" r:id="rId8" name="CommandButton5"/>
      </mc:Fallback>
    </mc:AlternateContent>
    <mc:AlternateContent xmlns:mc="http://schemas.openxmlformats.org/markup-compatibility/2006">
      <mc:Choice Requires="x14">
        <control shapeId="109576" r:id="rId10" name="CommandButton1">
          <controlPr defaultSize="0" autoLine="0" r:id="rId11">
            <anchor moveWithCells="1" sizeWithCells="1">
              <from>
                <xdr:col>0</xdr:col>
                <xdr:colOff>114300</xdr:colOff>
                <xdr:row>269</xdr:row>
                <xdr:rowOff>104775</xdr:rowOff>
              </from>
              <to>
                <xdr:col>1</xdr:col>
                <xdr:colOff>533400</xdr:colOff>
                <xdr:row>271</xdr:row>
                <xdr:rowOff>76200</xdr:rowOff>
              </to>
            </anchor>
          </controlPr>
        </control>
      </mc:Choice>
      <mc:Fallback>
        <control shapeId="109576" r:id="rId10" name="CommandButton1"/>
      </mc:Fallback>
    </mc:AlternateContent>
    <mc:AlternateContent xmlns:mc="http://schemas.openxmlformats.org/markup-compatibility/2006">
      <mc:Choice Requires="x14">
        <control shapeId="109570" r:id="rId12" name="CommandButton2">
          <controlPr defaultSize="0" autoLine="0" autoPict="0" r:id="rId13">
            <anchor moveWithCells="1" sizeWithCells="1">
              <from>
                <xdr:col>1</xdr:col>
                <xdr:colOff>590550</xdr:colOff>
                <xdr:row>75</xdr:row>
                <xdr:rowOff>142875</xdr:rowOff>
              </from>
              <to>
                <xdr:col>1</xdr:col>
                <xdr:colOff>1257300</xdr:colOff>
                <xdr:row>76</xdr:row>
                <xdr:rowOff>47625</xdr:rowOff>
              </to>
            </anchor>
          </controlPr>
        </control>
      </mc:Choice>
      <mc:Fallback>
        <control shapeId="109570" r:id="rId12" name="CommandButton2"/>
      </mc:Fallback>
    </mc:AlternateContent>
    <mc:AlternateContent xmlns:mc="http://schemas.openxmlformats.org/markup-compatibility/2006">
      <mc:Choice Requires="x14">
        <control shapeId="109571" r:id="rId14" name="CommandButton3">
          <controlPr defaultSize="0" autoLine="0" r:id="rId15">
            <anchor moveWithCells="1" sizeWithCells="1">
              <from>
                <xdr:col>0</xdr:col>
                <xdr:colOff>28575</xdr:colOff>
                <xdr:row>1</xdr:row>
                <xdr:rowOff>104775</xdr:rowOff>
              </from>
              <to>
                <xdr:col>1</xdr:col>
                <xdr:colOff>447675</xdr:colOff>
                <xdr:row>3</xdr:row>
                <xdr:rowOff>38100</xdr:rowOff>
              </to>
            </anchor>
          </controlPr>
        </control>
      </mc:Choice>
      <mc:Fallback>
        <control shapeId="109571" r:id="rId14" name="CommandButton3"/>
      </mc:Fallback>
    </mc:AlternateContent>
    <mc:AlternateContent xmlns:mc="http://schemas.openxmlformats.org/markup-compatibility/2006">
      <mc:Choice Requires="x14">
        <control shapeId="109573" r:id="rId16" name="CommandButton4">
          <controlPr defaultSize="0" autoLine="0" r:id="rId17">
            <anchor moveWithCells="1" sizeWithCells="1">
              <from>
                <xdr:col>1</xdr:col>
                <xdr:colOff>485775</xdr:colOff>
                <xdr:row>1</xdr:row>
                <xdr:rowOff>114300</xdr:rowOff>
              </from>
              <to>
                <xdr:col>1</xdr:col>
                <xdr:colOff>3362325</xdr:colOff>
                <xdr:row>3</xdr:row>
                <xdr:rowOff>47625</xdr:rowOff>
              </to>
            </anchor>
          </controlPr>
        </control>
      </mc:Choice>
      <mc:Fallback>
        <control shapeId="109573" r:id="rId16" name="CommandButton4"/>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5"/>
  <dimension ref="A1:G104"/>
  <sheetViews>
    <sheetView showZeros="0" zoomScale="115" zoomScaleNormal="115" zoomScaleSheetLayoutView="100" workbookViewId="0"/>
  </sheetViews>
  <sheetFormatPr baseColWidth="10" defaultColWidth="8" defaultRowHeight="12"/>
  <cols>
    <col min="1" max="1" width="9" style="16" bestFit="1" customWidth="1"/>
    <col min="2" max="2" width="75.85546875" style="449" customWidth="1"/>
    <col min="3" max="3" width="9.85546875" style="16" customWidth="1"/>
    <col min="4" max="4" width="11.7109375" style="16" bestFit="1" customWidth="1"/>
    <col min="5" max="5" width="10.5703125" style="16" customWidth="1"/>
    <col min="6" max="6" width="12.7109375" style="450" bestFit="1" customWidth="1"/>
    <col min="7" max="7" width="14.5703125" style="450" bestFit="1" customWidth="1"/>
    <col min="8" max="8" width="12.7109375" style="17" bestFit="1" customWidth="1"/>
    <col min="9" max="252" width="11.42578125" style="17" customWidth="1"/>
    <col min="253" max="253" width="10.140625" style="17" customWidth="1"/>
    <col min="254" max="254" width="8.140625" style="17" customWidth="1"/>
    <col min="255" max="255" width="53.28515625" style="17" customWidth="1"/>
    <col min="256" max="256" width="8" style="17" bestFit="1"/>
    <col min="257" max="16384" width="8" style="17"/>
  </cols>
  <sheetData>
    <row r="1" spans="1:7" ht="9" customHeight="1"/>
    <row r="2" spans="1:7" ht="15.75">
      <c r="A2" s="1929" t="s">
        <v>3295</v>
      </c>
      <c r="B2" s="1929"/>
      <c r="C2" s="1929"/>
      <c r="D2" s="1929"/>
      <c r="E2" s="1929"/>
      <c r="F2" s="1929"/>
      <c r="G2" s="1929"/>
    </row>
    <row r="3" spans="1:7">
      <c r="A3" s="451"/>
      <c r="B3" s="451"/>
      <c r="C3" s="451"/>
      <c r="D3" s="369"/>
      <c r="E3" s="369"/>
      <c r="F3" s="444"/>
      <c r="G3" s="451"/>
    </row>
    <row r="4" spans="1:7">
      <c r="A4" s="451"/>
      <c r="B4" s="451"/>
      <c r="C4" s="451"/>
      <c r="D4" s="369"/>
      <c r="E4" s="369"/>
      <c r="F4" s="444"/>
      <c r="G4" s="451"/>
    </row>
    <row r="5" spans="1:7">
      <c r="A5" s="371"/>
      <c r="B5" s="371"/>
      <c r="C5" s="371"/>
      <c r="D5" s="70"/>
      <c r="E5" s="70"/>
      <c r="F5" s="284"/>
      <c r="G5" s="371"/>
    </row>
    <row r="6" spans="1:7">
      <c r="A6" s="1925" t="s">
        <v>19</v>
      </c>
      <c r="B6" s="1922" t="s">
        <v>2098</v>
      </c>
      <c r="C6" s="1923" t="s">
        <v>20</v>
      </c>
      <c r="D6" s="861" t="s">
        <v>123</v>
      </c>
      <c r="E6" s="861" t="s">
        <v>124</v>
      </c>
      <c r="F6" s="875" t="s">
        <v>3267</v>
      </c>
      <c r="G6" s="1924" t="s">
        <v>3247</v>
      </c>
    </row>
    <row r="7" spans="1:7">
      <c r="A7" s="1925"/>
      <c r="B7" s="1922"/>
      <c r="C7" s="1923"/>
      <c r="D7" s="861" t="s">
        <v>5</v>
      </c>
      <c r="E7" s="861" t="s">
        <v>126</v>
      </c>
      <c r="F7" s="876" t="s">
        <v>3268</v>
      </c>
      <c r="G7" s="1924"/>
    </row>
    <row r="8" spans="1:7">
      <c r="A8" s="255">
        <v>1</v>
      </c>
      <c r="B8" s="204" t="s">
        <v>2099</v>
      </c>
      <c r="C8" s="199"/>
      <c r="D8" s="199"/>
      <c r="E8" s="199"/>
      <c r="F8" s="205"/>
      <c r="G8" s="189"/>
    </row>
    <row r="9" spans="1:7">
      <c r="A9" s="255">
        <v>2</v>
      </c>
      <c r="B9" s="254" t="s">
        <v>2898</v>
      </c>
      <c r="C9" s="200" t="s">
        <v>12</v>
      </c>
      <c r="D9" s="457"/>
      <c r="E9" s="458"/>
      <c r="F9" s="459"/>
      <c r="G9" s="195">
        <f t="shared" ref="G9:G19" si="0">D9*E9*F9</f>
        <v>0</v>
      </c>
    </row>
    <row r="10" spans="1:7">
      <c r="A10" s="255">
        <v>3</v>
      </c>
      <c r="B10" s="254" t="s">
        <v>2100</v>
      </c>
      <c r="C10" s="200" t="s">
        <v>12</v>
      </c>
      <c r="D10" s="457"/>
      <c r="E10" s="458"/>
      <c r="F10" s="459"/>
      <c r="G10" s="195">
        <f t="shared" si="0"/>
        <v>0</v>
      </c>
    </row>
    <row r="11" spans="1:7">
      <c r="A11" s="255">
        <v>4</v>
      </c>
      <c r="B11" s="530" t="s">
        <v>2101</v>
      </c>
      <c r="C11" s="200" t="s">
        <v>12</v>
      </c>
      <c r="D11" s="457"/>
      <c r="E11" s="458"/>
      <c r="F11" s="459"/>
      <c r="G11" s="195">
        <f t="shared" si="0"/>
        <v>0</v>
      </c>
    </row>
    <row r="12" spans="1:7">
      <c r="A12" s="255">
        <v>5</v>
      </c>
      <c r="B12" s="530" t="s">
        <v>3015</v>
      </c>
      <c r="C12" s="200" t="s">
        <v>12</v>
      </c>
      <c r="D12" s="457"/>
      <c r="E12" s="458"/>
      <c r="F12" s="459"/>
      <c r="G12" s="195">
        <f t="shared" si="0"/>
        <v>0</v>
      </c>
    </row>
    <row r="13" spans="1:7">
      <c r="A13" s="255">
        <v>6</v>
      </c>
      <c r="B13" s="530" t="s">
        <v>2899</v>
      </c>
      <c r="C13" s="200" t="s">
        <v>12</v>
      </c>
      <c r="D13" s="457"/>
      <c r="E13" s="458"/>
      <c r="F13" s="459"/>
      <c r="G13" s="195">
        <f t="shared" si="0"/>
        <v>0</v>
      </c>
    </row>
    <row r="14" spans="1:7">
      <c r="A14" s="255">
        <v>7</v>
      </c>
      <c r="B14" s="530" t="s">
        <v>3207</v>
      </c>
      <c r="C14" s="200" t="s">
        <v>12</v>
      </c>
      <c r="D14" s="457"/>
      <c r="E14" s="458"/>
      <c r="F14" s="459"/>
      <c r="G14" s="195">
        <f t="shared" si="0"/>
        <v>0</v>
      </c>
    </row>
    <row r="15" spans="1:7">
      <c r="A15" s="255">
        <v>8</v>
      </c>
      <c r="B15" s="254" t="s">
        <v>3014</v>
      </c>
      <c r="C15" s="200" t="s">
        <v>12</v>
      </c>
      <c r="D15" s="457"/>
      <c r="E15" s="460"/>
      <c r="F15" s="461"/>
      <c r="G15" s="195">
        <f>D15*E15*F15</f>
        <v>0</v>
      </c>
    </row>
    <row r="16" spans="1:7">
      <c r="A16" s="255">
        <v>9</v>
      </c>
      <c r="B16" s="530" t="s">
        <v>2469</v>
      </c>
      <c r="C16" s="200" t="s">
        <v>12</v>
      </c>
      <c r="D16" s="457"/>
      <c r="E16" s="458"/>
      <c r="F16" s="459"/>
      <c r="G16" s="195">
        <f t="shared" si="0"/>
        <v>0</v>
      </c>
    </row>
    <row r="17" spans="1:7">
      <c r="A17" s="255">
        <v>10</v>
      </c>
      <c r="B17" s="254" t="s">
        <v>2102</v>
      </c>
      <c r="C17" s="200" t="s">
        <v>12</v>
      </c>
      <c r="D17" s="457"/>
      <c r="E17" s="458"/>
      <c r="F17" s="459"/>
      <c r="G17" s="195">
        <f t="shared" si="0"/>
        <v>0</v>
      </c>
    </row>
    <row r="18" spans="1:7">
      <c r="A18" s="255">
        <v>11</v>
      </c>
      <c r="B18" s="254" t="s">
        <v>3016</v>
      </c>
      <c r="C18" s="200" t="s">
        <v>12</v>
      </c>
      <c r="D18" s="457"/>
      <c r="E18" s="458"/>
      <c r="F18" s="459"/>
      <c r="G18" s="195">
        <f t="shared" si="0"/>
        <v>0</v>
      </c>
    </row>
    <row r="19" spans="1:7">
      <c r="A19" s="255">
        <v>12</v>
      </c>
      <c r="B19" s="445" t="s">
        <v>800</v>
      </c>
      <c r="C19" s="458" t="s">
        <v>12</v>
      </c>
      <c r="D19" s="457"/>
      <c r="E19" s="458"/>
      <c r="F19" s="459"/>
      <c r="G19" s="195">
        <f t="shared" si="0"/>
        <v>0</v>
      </c>
    </row>
    <row r="20" spans="1:7">
      <c r="A20" s="1926" t="s">
        <v>10</v>
      </c>
      <c r="B20" s="1927"/>
      <c r="C20" s="1927"/>
      <c r="D20" s="1927"/>
      <c r="E20" s="1927"/>
      <c r="F20" s="1928"/>
      <c r="G20" s="189">
        <f>SUM(G9:G19)</f>
        <v>0</v>
      </c>
    </row>
    <row r="23" spans="1:7" ht="12" customHeight="1">
      <c r="A23" s="1921" t="s">
        <v>3290</v>
      </c>
      <c r="B23" s="1921"/>
      <c r="C23" s="1921"/>
      <c r="D23" s="1921"/>
      <c r="E23" s="1921"/>
      <c r="F23" s="1921"/>
      <c r="G23" s="1921"/>
    </row>
    <row r="24" spans="1:7" ht="15" customHeight="1">
      <c r="A24" s="60"/>
      <c r="B24" s="12"/>
      <c r="C24" s="13"/>
      <c r="D24" s="13"/>
      <c r="E24" s="13"/>
      <c r="F24" s="14"/>
      <c r="G24" s="14"/>
    </row>
    <row r="25" spans="1:7" ht="15" customHeight="1">
      <c r="A25" s="1925" t="s">
        <v>19</v>
      </c>
      <c r="B25" s="1922" t="s">
        <v>2900</v>
      </c>
      <c r="C25" s="1923" t="s">
        <v>23</v>
      </c>
      <c r="D25" s="861" t="s">
        <v>123</v>
      </c>
      <c r="E25" s="861" t="s">
        <v>124</v>
      </c>
      <c r="F25" s="875" t="s">
        <v>3267</v>
      </c>
      <c r="G25" s="1924" t="s">
        <v>3247</v>
      </c>
    </row>
    <row r="26" spans="1:7" ht="19.5" customHeight="1">
      <c r="A26" s="1925"/>
      <c r="B26" s="1922"/>
      <c r="C26" s="1923"/>
      <c r="D26" s="861" t="s">
        <v>5</v>
      </c>
      <c r="E26" s="861" t="s">
        <v>126</v>
      </c>
      <c r="F26" s="876" t="s">
        <v>3268</v>
      </c>
      <c r="G26" s="1924"/>
    </row>
    <row r="27" spans="1:7" ht="15" customHeight="1">
      <c r="A27" s="190">
        <v>1</v>
      </c>
      <c r="B27" s="191" t="s">
        <v>3017</v>
      </c>
      <c r="C27" s="191"/>
      <c r="D27" s="191"/>
      <c r="E27" s="191"/>
      <c r="F27" s="192"/>
      <c r="G27" s="452"/>
    </row>
    <row r="28" spans="1:7" ht="15" customHeight="1">
      <c r="A28" s="6">
        <v>1.1000000000000001</v>
      </c>
      <c r="B28" s="8" t="s">
        <v>3018</v>
      </c>
      <c r="C28" s="446"/>
      <c r="D28" s="457"/>
      <c r="E28" s="458"/>
      <c r="F28" s="459"/>
      <c r="G28" s="195">
        <f>E28*F28*D28*C28</f>
        <v>0</v>
      </c>
    </row>
    <row r="29" spans="1:7" ht="16.5" customHeight="1">
      <c r="A29" s="6">
        <v>1.2</v>
      </c>
      <c r="B29" s="66" t="s">
        <v>158</v>
      </c>
      <c r="C29" s="446"/>
      <c r="D29" s="457"/>
      <c r="E29" s="458"/>
      <c r="F29" s="459"/>
      <c r="G29" s="195">
        <f t="shared" ref="G29:G38" si="1">E29*F29*D29*C29</f>
        <v>0</v>
      </c>
    </row>
    <row r="30" spans="1:7" ht="16.5" customHeight="1">
      <c r="A30" s="6">
        <v>1.3</v>
      </c>
      <c r="B30" s="196" t="s">
        <v>3208</v>
      </c>
      <c r="C30" s="446"/>
      <c r="D30" s="457"/>
      <c r="E30" s="458"/>
      <c r="F30" s="459"/>
      <c r="G30" s="195">
        <f t="shared" si="1"/>
        <v>0</v>
      </c>
    </row>
    <row r="31" spans="1:7" ht="18" customHeight="1">
      <c r="A31" s="6">
        <v>1.4</v>
      </c>
      <c r="B31" s="196" t="s">
        <v>2902</v>
      </c>
      <c r="C31" s="446"/>
      <c r="D31" s="457"/>
      <c r="E31" s="458"/>
      <c r="F31" s="459"/>
      <c r="G31" s="195">
        <f t="shared" si="1"/>
        <v>0</v>
      </c>
    </row>
    <row r="32" spans="1:7" ht="18" customHeight="1">
      <c r="A32" s="6">
        <v>1.5</v>
      </c>
      <c r="B32" s="196" t="s">
        <v>2093</v>
      </c>
      <c r="C32" s="446"/>
      <c r="D32" s="457"/>
      <c r="E32" s="458"/>
      <c r="F32" s="459"/>
      <c r="G32" s="195">
        <f t="shared" si="1"/>
        <v>0</v>
      </c>
    </row>
    <row r="33" spans="1:7" ht="18" customHeight="1">
      <c r="A33" s="6">
        <v>1.6</v>
      </c>
      <c r="B33" s="196" t="s">
        <v>2903</v>
      </c>
      <c r="C33" s="446"/>
      <c r="D33" s="457"/>
      <c r="E33" s="458"/>
      <c r="F33" s="459"/>
      <c r="G33" s="195">
        <f t="shared" si="1"/>
        <v>0</v>
      </c>
    </row>
    <row r="34" spans="1:7" ht="18" customHeight="1">
      <c r="A34" s="6">
        <v>1.7</v>
      </c>
      <c r="B34" s="196" t="s">
        <v>2094</v>
      </c>
      <c r="C34" s="446"/>
      <c r="D34" s="457"/>
      <c r="E34" s="458"/>
      <c r="F34" s="459"/>
      <c r="G34" s="195">
        <f t="shared" si="1"/>
        <v>0</v>
      </c>
    </row>
    <row r="35" spans="1:7" ht="18" customHeight="1">
      <c r="A35" s="6">
        <v>1.8</v>
      </c>
      <c r="B35" s="196" t="s">
        <v>2904</v>
      </c>
      <c r="C35" s="446"/>
      <c r="D35" s="457"/>
      <c r="E35" s="458"/>
      <c r="F35" s="459"/>
      <c r="G35" s="195">
        <f t="shared" si="1"/>
        <v>0</v>
      </c>
    </row>
    <row r="36" spans="1:7" ht="18" customHeight="1">
      <c r="A36" s="6">
        <v>1.9</v>
      </c>
      <c r="B36" s="196" t="s">
        <v>2905</v>
      </c>
      <c r="C36" s="446"/>
      <c r="D36" s="457"/>
      <c r="E36" s="458"/>
      <c r="F36" s="459"/>
      <c r="G36" s="195">
        <f t="shared" si="1"/>
        <v>0</v>
      </c>
    </row>
    <row r="37" spans="1:7" ht="18" customHeight="1">
      <c r="A37" s="6">
        <v>1.1000000000000001</v>
      </c>
      <c r="B37" s="196" t="s">
        <v>2095</v>
      </c>
      <c r="C37" s="446"/>
      <c r="D37" s="457"/>
      <c r="E37" s="458"/>
      <c r="F37" s="459"/>
      <c r="G37" s="195">
        <f t="shared" si="1"/>
        <v>0</v>
      </c>
    </row>
    <row r="38" spans="1:7" ht="18" customHeight="1">
      <c r="A38" s="6">
        <v>1.1100000000000001</v>
      </c>
      <c r="B38" s="445" t="s">
        <v>800</v>
      </c>
      <c r="C38" s="446"/>
      <c r="D38" s="457"/>
      <c r="E38" s="458"/>
      <c r="F38" s="459"/>
      <c r="G38" s="195">
        <f t="shared" si="1"/>
        <v>0</v>
      </c>
    </row>
    <row r="39" spans="1:7" ht="16.5" customHeight="1">
      <c r="A39" s="1926" t="s">
        <v>2096</v>
      </c>
      <c r="B39" s="1927"/>
      <c r="C39" s="1927"/>
      <c r="D39" s="1927"/>
      <c r="E39" s="1927"/>
      <c r="F39" s="1928"/>
      <c r="G39" s="189">
        <f>SUM(G28:G38)</f>
        <v>0</v>
      </c>
    </row>
    <row r="40" spans="1:7" ht="16.5" customHeight="1">
      <c r="A40" s="197">
        <v>2</v>
      </c>
      <c r="B40" s="198" t="s">
        <v>2906</v>
      </c>
      <c r="C40" s="5" t="s">
        <v>23</v>
      </c>
      <c r="D40" s="5" t="s">
        <v>123</v>
      </c>
      <c r="E40" s="5" t="s">
        <v>124</v>
      </c>
      <c r="F40" s="189" t="s">
        <v>3269</v>
      </c>
      <c r="G40" s="195"/>
    </row>
    <row r="41" spans="1:7" ht="16.5" customHeight="1">
      <c r="A41" s="6">
        <v>2.1</v>
      </c>
      <c r="B41" s="7" t="s">
        <v>159</v>
      </c>
      <c r="C41" s="446"/>
      <c r="D41" s="457"/>
      <c r="E41" s="458"/>
      <c r="F41" s="459"/>
      <c r="G41" s="195">
        <f>E41*F41*D41*C41</f>
        <v>0</v>
      </c>
    </row>
    <row r="42" spans="1:7" ht="16.5" customHeight="1">
      <c r="A42" s="6">
        <v>2.1</v>
      </c>
      <c r="B42" s="66" t="s">
        <v>2907</v>
      </c>
      <c r="C42" s="446"/>
      <c r="D42" s="457"/>
      <c r="E42" s="458"/>
      <c r="F42" s="459"/>
      <c r="G42" s="195">
        <f>E42*F42*D42*C42</f>
        <v>0</v>
      </c>
    </row>
    <row r="43" spans="1:7" ht="16.5" customHeight="1">
      <c r="A43" s="1926" t="s">
        <v>2096</v>
      </c>
      <c r="B43" s="1927"/>
      <c r="C43" s="1927"/>
      <c r="D43" s="1927"/>
      <c r="E43" s="1927"/>
      <c r="F43" s="1928"/>
      <c r="G43" s="189">
        <f>SUM(G41:G42)</f>
        <v>0</v>
      </c>
    </row>
    <row r="44" spans="1:7" ht="16.5" customHeight="1">
      <c r="A44" s="197">
        <v>3</v>
      </c>
      <c r="B44" s="199" t="s">
        <v>127</v>
      </c>
      <c r="C44" s="5" t="s">
        <v>23</v>
      </c>
      <c r="D44" s="5" t="s">
        <v>123</v>
      </c>
      <c r="E44" s="5" t="s">
        <v>124</v>
      </c>
      <c r="F44" s="283" t="s">
        <v>3269</v>
      </c>
      <c r="G44" s="195"/>
    </row>
    <row r="45" spans="1:7" ht="24" customHeight="1">
      <c r="A45" s="6">
        <v>3.1</v>
      </c>
      <c r="B45" s="66" t="s">
        <v>2908</v>
      </c>
      <c r="C45" s="446"/>
      <c r="D45" s="457"/>
      <c r="E45" s="458"/>
      <c r="F45" s="459"/>
      <c r="G45" s="195">
        <f>D45*E45*F45</f>
        <v>0</v>
      </c>
    </row>
    <row r="46" spans="1:7" ht="16.5" customHeight="1">
      <c r="A46" s="1926" t="s">
        <v>2096</v>
      </c>
      <c r="B46" s="1927"/>
      <c r="C46" s="1927"/>
      <c r="D46" s="1927"/>
      <c r="E46" s="1927"/>
      <c r="F46" s="1928"/>
      <c r="G46" s="189">
        <f>SUM(G45:G45)</f>
        <v>0</v>
      </c>
    </row>
    <row r="47" spans="1:7" ht="16.5" customHeight="1">
      <c r="A47" s="859">
        <v>4</v>
      </c>
      <c r="B47" s="198" t="s">
        <v>157</v>
      </c>
      <c r="C47" s="860" t="s">
        <v>20</v>
      </c>
      <c r="D47" s="859" t="s">
        <v>23</v>
      </c>
      <c r="E47" s="859"/>
      <c r="F47" s="283" t="s">
        <v>3269</v>
      </c>
      <c r="G47" s="858"/>
    </row>
    <row r="48" spans="1:7" ht="16.5" customHeight="1">
      <c r="A48" s="201">
        <v>4.0999999999999996</v>
      </c>
      <c r="B48" s="462" t="s">
        <v>2909</v>
      </c>
      <c r="C48" s="366" t="s">
        <v>554</v>
      </c>
      <c r="D48" s="447"/>
      <c r="E48" s="201"/>
      <c r="F48" s="448"/>
      <c r="G48" s="202">
        <f t="shared" ref="G48:G53" si="2">D48*F48</f>
        <v>0</v>
      </c>
    </row>
    <row r="49" spans="1:7" ht="16.5" customHeight="1">
      <c r="A49" s="6">
        <v>4.2</v>
      </c>
      <c r="B49" s="66" t="s">
        <v>2910</v>
      </c>
      <c r="C49" s="366" t="s">
        <v>554</v>
      </c>
      <c r="D49" s="447"/>
      <c r="E49" s="194"/>
      <c r="F49" s="453"/>
      <c r="G49" s="202">
        <f t="shared" si="2"/>
        <v>0</v>
      </c>
    </row>
    <row r="50" spans="1:7" ht="16.5" customHeight="1">
      <c r="A50" s="6">
        <v>4.3</v>
      </c>
      <c r="B50" s="66" t="s">
        <v>156</v>
      </c>
      <c r="C50" s="366" t="s">
        <v>554</v>
      </c>
      <c r="D50" s="447"/>
      <c r="E50" s="194"/>
      <c r="F50" s="453"/>
      <c r="G50" s="202">
        <f t="shared" si="2"/>
        <v>0</v>
      </c>
    </row>
    <row r="51" spans="1:7" ht="16.5" customHeight="1">
      <c r="A51" s="6">
        <v>4.4000000000000004</v>
      </c>
      <c r="B51" s="8" t="s">
        <v>2911</v>
      </c>
      <c r="C51" s="366" t="s">
        <v>554</v>
      </c>
      <c r="D51" s="447"/>
      <c r="E51" s="194"/>
      <c r="F51" s="453"/>
      <c r="G51" s="202">
        <f t="shared" si="2"/>
        <v>0</v>
      </c>
    </row>
    <row r="52" spans="1:7" ht="16.5" customHeight="1">
      <c r="A52" s="6">
        <v>4.5</v>
      </c>
      <c r="B52" s="8" t="s">
        <v>2912</v>
      </c>
      <c r="C52" s="366" t="s">
        <v>554</v>
      </c>
      <c r="D52" s="447"/>
      <c r="E52" s="194"/>
      <c r="F52" s="453"/>
      <c r="G52" s="202">
        <f t="shared" si="2"/>
        <v>0</v>
      </c>
    </row>
    <row r="53" spans="1:7" ht="25.5" customHeight="1">
      <c r="A53" s="6">
        <v>4.5999999999999996</v>
      </c>
      <c r="B53" s="224" t="s">
        <v>2913</v>
      </c>
      <c r="C53" s="366" t="s">
        <v>554</v>
      </c>
      <c r="D53" s="447"/>
      <c r="E53" s="194"/>
      <c r="F53" s="453"/>
      <c r="G53" s="202">
        <f t="shared" si="2"/>
        <v>0</v>
      </c>
    </row>
    <row r="54" spans="1:7" ht="16.5" customHeight="1">
      <c r="A54" s="1926" t="s">
        <v>2096</v>
      </c>
      <c r="B54" s="1927"/>
      <c r="C54" s="1927"/>
      <c r="D54" s="1927"/>
      <c r="E54" s="1927"/>
      <c r="F54" s="1928"/>
      <c r="G54" s="189">
        <f>SUM(G48:G53)</f>
        <v>0</v>
      </c>
    </row>
    <row r="55" spans="1:7" ht="16.5" customHeight="1">
      <c r="A55" s="1930" t="s">
        <v>10</v>
      </c>
      <c r="B55" s="1930"/>
      <c r="C55" s="1930"/>
      <c r="D55" s="1930"/>
      <c r="E55" s="1930"/>
      <c r="F55" s="1930"/>
      <c r="G55" s="283">
        <f>G54+G46+G43+G39</f>
        <v>0</v>
      </c>
    </row>
    <row r="58" spans="1:7" ht="12" customHeight="1">
      <c r="A58" s="1921" t="s">
        <v>3291</v>
      </c>
      <c r="B58" s="1921"/>
      <c r="C58" s="1921"/>
      <c r="D58" s="1921"/>
      <c r="E58" s="1921"/>
      <c r="F58" s="1921"/>
      <c r="G58" s="1921"/>
    </row>
    <row r="59" spans="1:7">
      <c r="A59" s="60"/>
      <c r="B59" s="12"/>
      <c r="C59" s="13"/>
      <c r="D59" s="13"/>
      <c r="E59" s="13"/>
      <c r="F59" s="14"/>
      <c r="G59" s="14"/>
    </row>
    <row r="60" spans="1:7" ht="12" customHeight="1">
      <c r="A60" s="1925" t="s">
        <v>19</v>
      </c>
      <c r="B60" s="1922" t="s">
        <v>3292</v>
      </c>
      <c r="C60" s="1923" t="s">
        <v>23</v>
      </c>
      <c r="D60" s="861" t="s">
        <v>123</v>
      </c>
      <c r="E60" s="861" t="s">
        <v>124</v>
      </c>
      <c r="F60" s="875" t="s">
        <v>3267</v>
      </c>
      <c r="G60" s="1924" t="s">
        <v>3247</v>
      </c>
    </row>
    <row r="61" spans="1:7">
      <c r="A61" s="1925"/>
      <c r="B61" s="1922"/>
      <c r="C61" s="1923"/>
      <c r="D61" s="861" t="s">
        <v>5</v>
      </c>
      <c r="E61" s="861" t="s">
        <v>126</v>
      </c>
      <c r="F61" s="876" t="s">
        <v>3268</v>
      </c>
      <c r="G61" s="1924"/>
    </row>
    <row r="62" spans="1:7">
      <c r="A62" s="190">
        <v>1</v>
      </c>
      <c r="B62" s="203" t="s">
        <v>3293</v>
      </c>
      <c r="C62" s="191"/>
      <c r="D62" s="191"/>
      <c r="E62" s="191"/>
      <c r="F62" s="192"/>
      <c r="G62" s="452"/>
    </row>
    <row r="63" spans="1:7">
      <c r="A63" s="6">
        <v>1.1000000000000001</v>
      </c>
      <c r="B63" s="8" t="s">
        <v>2914</v>
      </c>
      <c r="C63" s="446"/>
      <c r="D63" s="463"/>
      <c r="E63" s="464"/>
      <c r="F63" s="453"/>
      <c r="G63" s="195">
        <f>E63*F63*D63*C63</f>
        <v>0</v>
      </c>
    </row>
    <row r="64" spans="1:7">
      <c r="A64" s="6"/>
      <c r="B64" s="8" t="s">
        <v>3019</v>
      </c>
      <c r="C64" s="446"/>
      <c r="D64" s="463"/>
      <c r="E64" s="464"/>
      <c r="F64" s="453"/>
      <c r="G64" s="195">
        <f>E64*F64*D64*C64</f>
        <v>0</v>
      </c>
    </row>
    <row r="65" spans="1:7">
      <c r="A65" s="6">
        <v>1.2</v>
      </c>
      <c r="B65" s="7" t="s">
        <v>158</v>
      </c>
      <c r="C65" s="446"/>
      <c r="D65" s="463"/>
      <c r="E65" s="464"/>
      <c r="F65" s="453"/>
      <c r="G65" s="195">
        <f>E65*F65*D65*C65</f>
        <v>0</v>
      </c>
    </row>
    <row r="66" spans="1:7">
      <c r="A66" s="1926" t="s">
        <v>10</v>
      </c>
      <c r="B66" s="1927"/>
      <c r="C66" s="1927"/>
      <c r="D66" s="1927"/>
      <c r="E66" s="1927"/>
      <c r="F66" s="1928"/>
      <c r="G66" s="189">
        <f>SUM(G63:G65)</f>
        <v>0</v>
      </c>
    </row>
    <row r="69" spans="1:7" ht="12" customHeight="1">
      <c r="A69" s="1921" t="s">
        <v>2097</v>
      </c>
      <c r="B69" s="1921"/>
      <c r="C69" s="1921"/>
      <c r="D69" s="1921"/>
      <c r="E69" s="1921"/>
      <c r="F69" s="1921"/>
      <c r="G69" s="1921"/>
    </row>
    <row r="70" spans="1:7">
      <c r="A70" s="60"/>
      <c r="B70" s="12"/>
      <c r="C70" s="13"/>
      <c r="D70" s="13"/>
      <c r="E70" s="13"/>
      <c r="F70" s="14"/>
      <c r="G70" s="14"/>
    </row>
    <row r="72" spans="1:7">
      <c r="A72" s="1921" t="s">
        <v>2484</v>
      </c>
      <c r="B72" s="1921"/>
      <c r="C72" s="1921"/>
      <c r="D72" s="1921"/>
      <c r="E72" s="1921"/>
      <c r="F72" s="1921"/>
      <c r="G72" s="1921"/>
    </row>
    <row r="73" spans="1:7">
      <c r="A73" s="60"/>
      <c r="B73" s="12"/>
      <c r="C73" s="13"/>
      <c r="D73" s="13"/>
      <c r="E73" s="13"/>
      <c r="F73" s="14"/>
      <c r="G73" s="14"/>
    </row>
    <row r="74" spans="1:7">
      <c r="A74" s="1925" t="s">
        <v>19</v>
      </c>
      <c r="B74" s="1922" t="s">
        <v>2098</v>
      </c>
      <c r="C74" s="1923" t="s">
        <v>23</v>
      </c>
      <c r="D74" s="861" t="s">
        <v>123</v>
      </c>
      <c r="E74" s="861" t="s">
        <v>124</v>
      </c>
      <c r="F74" s="875" t="s">
        <v>3267</v>
      </c>
      <c r="G74" s="1924" t="s">
        <v>3247</v>
      </c>
    </row>
    <row r="75" spans="1:7">
      <c r="A75" s="1925"/>
      <c r="B75" s="1922"/>
      <c r="C75" s="1923"/>
      <c r="D75" s="861" t="s">
        <v>5</v>
      </c>
      <c r="E75" s="861" t="s">
        <v>126</v>
      </c>
      <c r="F75" s="876" t="s">
        <v>3268</v>
      </c>
      <c r="G75" s="1924"/>
    </row>
    <row r="76" spans="1:7">
      <c r="A76" s="190">
        <v>1</v>
      </c>
      <c r="B76" s="203" t="s">
        <v>3294</v>
      </c>
      <c r="C76" s="191"/>
      <c r="D76" s="191"/>
      <c r="E76" s="191"/>
      <c r="F76" s="192"/>
      <c r="G76" s="452"/>
    </row>
    <row r="77" spans="1:7">
      <c r="A77" s="6">
        <v>1.1000000000000001</v>
      </c>
      <c r="B77" s="8" t="s">
        <v>2915</v>
      </c>
      <c r="C77" s="446"/>
      <c r="D77" s="463"/>
      <c r="E77" s="464"/>
      <c r="F77" s="453"/>
      <c r="G77" s="195">
        <f>E77*F77*D77*C77</f>
        <v>0</v>
      </c>
    </row>
    <row r="78" spans="1:7" ht="11.25" customHeight="1">
      <c r="A78" s="6">
        <v>1.2</v>
      </c>
      <c r="B78" s="66" t="s">
        <v>2103</v>
      </c>
      <c r="C78" s="446"/>
      <c r="D78" s="463"/>
      <c r="E78" s="464"/>
      <c r="F78" s="453"/>
      <c r="G78" s="195">
        <f>E78*F78*D78*C78</f>
        <v>0</v>
      </c>
    </row>
    <row r="79" spans="1:7">
      <c r="A79" s="6">
        <v>1.3</v>
      </c>
      <c r="B79" s="196" t="s">
        <v>2901</v>
      </c>
      <c r="C79" s="446"/>
      <c r="D79" s="463"/>
      <c r="E79" s="464"/>
      <c r="F79" s="453"/>
      <c r="G79" s="195">
        <f>E79*F79*D79*C79</f>
        <v>0</v>
      </c>
    </row>
    <row r="80" spans="1:7" ht="24">
      <c r="A80" s="6">
        <v>1.4</v>
      </c>
      <c r="B80" s="196" t="s">
        <v>3020</v>
      </c>
      <c r="C80" s="446"/>
      <c r="D80" s="463"/>
      <c r="E80" s="464"/>
      <c r="F80" s="453"/>
      <c r="G80" s="195">
        <f>E80*F80*D80*C80</f>
        <v>0</v>
      </c>
    </row>
    <row r="81" spans="1:7">
      <c r="A81" s="6">
        <v>1.5</v>
      </c>
      <c r="B81" s="206" t="s">
        <v>2916</v>
      </c>
      <c r="C81" s="446"/>
      <c r="D81" s="463"/>
      <c r="E81" s="464"/>
      <c r="F81" s="453"/>
      <c r="G81" s="195">
        <f>E81*F81*D81*C81</f>
        <v>0</v>
      </c>
    </row>
    <row r="82" spans="1:7">
      <c r="A82" s="1926" t="s">
        <v>830</v>
      </c>
      <c r="B82" s="1927"/>
      <c r="C82" s="1927"/>
      <c r="D82" s="1927"/>
      <c r="E82" s="1927"/>
      <c r="F82" s="1928"/>
      <c r="G82" s="189">
        <f>SUM(G77:G81)</f>
        <v>0</v>
      </c>
    </row>
    <row r="83" spans="1:7">
      <c r="A83" s="197">
        <v>3</v>
      </c>
      <c r="B83" s="204" t="s">
        <v>127</v>
      </c>
      <c r="C83" s="200"/>
      <c r="D83" s="6"/>
      <c r="E83" s="187"/>
      <c r="F83" s="195"/>
      <c r="G83" s="195"/>
    </row>
    <row r="84" spans="1:7">
      <c r="A84" s="6">
        <v>3.1</v>
      </c>
      <c r="B84" s="66" t="s">
        <v>2917</v>
      </c>
      <c r="C84" s="446"/>
      <c r="D84" s="465"/>
      <c r="E84" s="466"/>
      <c r="F84" s="467"/>
      <c r="G84" s="195">
        <f>D84*E84*F84*C84</f>
        <v>0</v>
      </c>
    </row>
    <row r="85" spans="1:7">
      <c r="A85" s="1926" t="s">
        <v>830</v>
      </c>
      <c r="B85" s="1927"/>
      <c r="C85" s="1927"/>
      <c r="D85" s="1927"/>
      <c r="E85" s="1927"/>
      <c r="F85" s="1928"/>
      <c r="G85" s="189">
        <f>SUM(G83:G84)</f>
        <v>0</v>
      </c>
    </row>
    <row r="86" spans="1:7">
      <c r="A86" s="1926" t="s">
        <v>10</v>
      </c>
      <c r="B86" s="1927"/>
      <c r="C86" s="1927"/>
      <c r="D86" s="1927"/>
      <c r="E86" s="1927"/>
      <c r="F86" s="1928"/>
      <c r="G86" s="189">
        <f>G85+G82</f>
        <v>0</v>
      </c>
    </row>
    <row r="88" spans="1:7">
      <c r="A88" s="1921" t="s">
        <v>2483</v>
      </c>
      <c r="B88" s="1921"/>
      <c r="C88" s="1921"/>
      <c r="D88" s="1921"/>
      <c r="E88" s="1921"/>
      <c r="F88" s="1921"/>
      <c r="G88" s="1921"/>
    </row>
    <row r="89" spans="1:7">
      <c r="A89" s="60"/>
      <c r="B89" s="12"/>
      <c r="C89" s="13"/>
      <c r="D89" s="13"/>
      <c r="E89" s="13"/>
      <c r="F89" s="14"/>
      <c r="G89" s="14"/>
    </row>
    <row r="90" spans="1:7">
      <c r="A90" s="1925" t="s">
        <v>19</v>
      </c>
      <c r="B90" s="1922" t="s">
        <v>2098</v>
      </c>
      <c r="C90" s="1923" t="s">
        <v>23</v>
      </c>
      <c r="D90" s="861" t="s">
        <v>123</v>
      </c>
      <c r="E90" s="861" t="s">
        <v>124</v>
      </c>
      <c r="F90" s="875" t="s">
        <v>3267</v>
      </c>
      <c r="G90" s="1924" t="s">
        <v>3247</v>
      </c>
    </row>
    <row r="91" spans="1:7">
      <c r="A91" s="1925"/>
      <c r="B91" s="1922"/>
      <c r="C91" s="1923"/>
      <c r="D91" s="861" t="s">
        <v>5</v>
      </c>
      <c r="E91" s="861" t="s">
        <v>126</v>
      </c>
      <c r="F91" s="876" t="s">
        <v>3268</v>
      </c>
      <c r="G91" s="1924"/>
    </row>
    <row r="92" spans="1:7">
      <c r="A92" s="190">
        <v>1</v>
      </c>
      <c r="B92" s="203" t="s">
        <v>2485</v>
      </c>
      <c r="C92" s="191"/>
      <c r="D92" s="191"/>
      <c r="E92" s="191"/>
      <c r="F92" s="192"/>
      <c r="G92" s="452"/>
    </row>
    <row r="93" spans="1:7">
      <c r="A93" s="6">
        <v>1.1000000000000001</v>
      </c>
      <c r="B93" s="8" t="s">
        <v>2915</v>
      </c>
      <c r="C93" s="446"/>
      <c r="D93" s="463"/>
      <c r="E93" s="464"/>
      <c r="F93" s="453"/>
      <c r="G93" s="195">
        <f>E93*F93*D93*C93</f>
        <v>0</v>
      </c>
    </row>
    <row r="94" spans="1:7" ht="11.25" customHeight="1">
      <c r="A94" s="6">
        <v>1.2</v>
      </c>
      <c r="B94" s="7" t="s">
        <v>2103</v>
      </c>
      <c r="C94" s="446"/>
      <c r="D94" s="463"/>
      <c r="E94" s="468"/>
      <c r="F94" s="453"/>
      <c r="G94" s="195">
        <f>E94*F94*D94*C94</f>
        <v>0</v>
      </c>
    </row>
    <row r="95" spans="1:7">
      <c r="A95" s="6">
        <v>1.6</v>
      </c>
      <c r="B95" s="196" t="s">
        <v>2104</v>
      </c>
      <c r="C95" s="69"/>
      <c r="D95" s="193"/>
      <c r="E95" s="194"/>
      <c r="F95" s="195"/>
      <c r="G95" s="195"/>
    </row>
    <row r="96" spans="1:7">
      <c r="A96" s="1926" t="s">
        <v>830</v>
      </c>
      <c r="B96" s="1927"/>
      <c r="C96" s="1927"/>
      <c r="D96" s="1927"/>
      <c r="E96" s="1927"/>
      <c r="F96" s="1928"/>
      <c r="G96" s="189">
        <f>SUM(G93:G95)</f>
        <v>0</v>
      </c>
    </row>
    <row r="97" spans="1:7">
      <c r="A97" s="197">
        <v>3</v>
      </c>
      <c r="B97" s="204" t="s">
        <v>127</v>
      </c>
      <c r="C97" s="200"/>
      <c r="D97" s="6"/>
      <c r="E97" s="187"/>
      <c r="F97" s="195"/>
      <c r="G97" s="195"/>
    </row>
    <row r="98" spans="1:7">
      <c r="A98" s="6">
        <v>3.1</v>
      </c>
      <c r="B98" s="66" t="s">
        <v>2917</v>
      </c>
      <c r="C98" s="446"/>
      <c r="D98" s="465"/>
      <c r="E98" s="466"/>
      <c r="F98" s="467"/>
      <c r="G98" s="195">
        <f>D98*E98*F98*C98</f>
        <v>0</v>
      </c>
    </row>
    <row r="99" spans="1:7">
      <c r="A99" s="1926" t="s">
        <v>830</v>
      </c>
      <c r="B99" s="1927"/>
      <c r="C99" s="1927"/>
      <c r="D99" s="1927"/>
      <c r="E99" s="1927"/>
      <c r="F99" s="1928"/>
      <c r="G99" s="189">
        <f>SUM(G97:G98)</f>
        <v>0</v>
      </c>
    </row>
    <row r="100" spans="1:7">
      <c r="A100" s="1926" t="s">
        <v>10</v>
      </c>
      <c r="B100" s="1927"/>
      <c r="C100" s="1927"/>
      <c r="D100" s="1927"/>
      <c r="E100" s="1927"/>
      <c r="F100" s="1928"/>
      <c r="G100" s="189">
        <f>G99+G96</f>
        <v>0</v>
      </c>
    </row>
    <row r="101" spans="1:7">
      <c r="A101" s="454"/>
      <c r="B101" s="455"/>
      <c r="C101" s="454"/>
      <c r="D101" s="1909"/>
      <c r="E101" s="1909"/>
      <c r="F101" s="1909"/>
      <c r="G101" s="1909"/>
    </row>
    <row r="102" spans="1:7">
      <c r="A102" s="454"/>
      <c r="B102" s="455"/>
      <c r="C102" s="454"/>
      <c r="D102" s="1909"/>
      <c r="E102" s="1909"/>
      <c r="F102" s="1909"/>
      <c r="G102" s="1909"/>
    </row>
    <row r="103" spans="1:7">
      <c r="A103" s="454"/>
      <c r="B103" s="455"/>
      <c r="C103" s="454"/>
      <c r="D103" s="1909"/>
      <c r="E103" s="1909"/>
      <c r="F103" s="1909"/>
      <c r="G103" s="1909"/>
    </row>
    <row r="104" spans="1:7">
      <c r="A104" s="454"/>
      <c r="B104" s="455"/>
      <c r="C104" s="454"/>
      <c r="D104" s="454"/>
      <c r="E104" s="454"/>
      <c r="F104" s="456"/>
      <c r="G104" s="456"/>
    </row>
  </sheetData>
  <mergeCells count="40">
    <mergeCell ref="A2:G2"/>
    <mergeCell ref="G6:G7"/>
    <mergeCell ref="G60:G61"/>
    <mergeCell ref="A55:F55"/>
    <mergeCell ref="A66:F66"/>
    <mergeCell ref="C6:C7"/>
    <mergeCell ref="B6:B7"/>
    <mergeCell ref="A6:A7"/>
    <mergeCell ref="A20:F20"/>
    <mergeCell ref="A60:A61"/>
    <mergeCell ref="A43:F43"/>
    <mergeCell ref="B60:B61"/>
    <mergeCell ref="C60:C61"/>
    <mergeCell ref="B25:B26"/>
    <mergeCell ref="C25:C26"/>
    <mergeCell ref="A39:F39"/>
    <mergeCell ref="A23:G23"/>
    <mergeCell ref="A25:A26"/>
    <mergeCell ref="G25:G26"/>
    <mergeCell ref="D101:G103"/>
    <mergeCell ref="A82:F82"/>
    <mergeCell ref="A85:F85"/>
    <mergeCell ref="A86:F86"/>
    <mergeCell ref="A96:F96"/>
    <mergeCell ref="A100:F100"/>
    <mergeCell ref="A72:G72"/>
    <mergeCell ref="A99:F99"/>
    <mergeCell ref="A46:F46"/>
    <mergeCell ref="A54:F54"/>
    <mergeCell ref="A58:G58"/>
    <mergeCell ref="A88:G88"/>
    <mergeCell ref="A90:A91"/>
    <mergeCell ref="A69:G69"/>
    <mergeCell ref="B90:B91"/>
    <mergeCell ref="C90:C91"/>
    <mergeCell ref="G90:G91"/>
    <mergeCell ref="A74:A75"/>
    <mergeCell ref="B74:B75"/>
    <mergeCell ref="C74:C75"/>
    <mergeCell ref="G74:G75"/>
  </mergeCells>
  <pageMargins left="0.7" right="0.7" top="0.75" bottom="0.75" header="0.3" footer="0.3"/>
  <pageSetup paperSize="9" scale="53" orientation="portrait" r:id="rId1"/>
  <drawing r:id="rId2"/>
  <legacyDrawing r:id="rId3"/>
  <controls>
    <mc:AlternateContent xmlns:mc="http://schemas.openxmlformats.org/markup-compatibility/2006">
      <mc:Choice Requires="x14">
        <control shapeId="110601" r:id="rId4" name="CommandButton9">
          <controlPr defaultSize="0" autoLine="0" r:id="rId5">
            <anchor moveWithCells="1" sizeWithCells="1">
              <from>
                <xdr:col>1</xdr:col>
                <xdr:colOff>2447925</xdr:colOff>
                <xdr:row>101</xdr:row>
                <xdr:rowOff>85725</xdr:rowOff>
              </from>
              <to>
                <xdr:col>1</xdr:col>
                <xdr:colOff>3714750</xdr:colOff>
                <xdr:row>103</xdr:row>
                <xdr:rowOff>76200</xdr:rowOff>
              </to>
            </anchor>
          </controlPr>
        </control>
      </mc:Choice>
      <mc:Fallback>
        <control shapeId="110601" r:id="rId4" name="CommandButton9"/>
      </mc:Fallback>
    </mc:AlternateContent>
    <mc:AlternateContent xmlns:mc="http://schemas.openxmlformats.org/markup-compatibility/2006">
      <mc:Choice Requires="x14">
        <control shapeId="110600" r:id="rId6" name="CommandButton8">
          <controlPr defaultSize="0" autoLine="0" r:id="rId7">
            <anchor moveWithCells="1" sizeWithCells="1">
              <from>
                <xdr:col>1</xdr:col>
                <xdr:colOff>638175</xdr:colOff>
                <xdr:row>101</xdr:row>
                <xdr:rowOff>85725</xdr:rowOff>
              </from>
              <to>
                <xdr:col>1</xdr:col>
                <xdr:colOff>2409825</xdr:colOff>
                <xdr:row>103</xdr:row>
                <xdr:rowOff>76200</xdr:rowOff>
              </to>
            </anchor>
          </controlPr>
        </control>
      </mc:Choice>
      <mc:Fallback>
        <control shapeId="110600" r:id="rId6" name="CommandButton8"/>
      </mc:Fallback>
    </mc:AlternateContent>
    <mc:AlternateContent xmlns:mc="http://schemas.openxmlformats.org/markup-compatibility/2006">
      <mc:Choice Requires="x14">
        <control shapeId="110599" r:id="rId8" name="CommandButton7">
          <controlPr defaultSize="0" autoLine="0" r:id="rId9">
            <anchor moveWithCells="1" sizeWithCells="1">
              <from>
                <xdr:col>0</xdr:col>
                <xdr:colOff>28575</xdr:colOff>
                <xdr:row>101</xdr:row>
                <xdr:rowOff>76200</xdr:rowOff>
              </from>
              <to>
                <xdr:col>1</xdr:col>
                <xdr:colOff>609600</xdr:colOff>
                <xdr:row>103</xdr:row>
                <xdr:rowOff>66675</xdr:rowOff>
              </to>
            </anchor>
          </controlPr>
        </control>
      </mc:Choice>
      <mc:Fallback>
        <control shapeId="110599" r:id="rId8" name="CommandButton7"/>
      </mc:Fallback>
    </mc:AlternateContent>
    <mc:AlternateContent xmlns:mc="http://schemas.openxmlformats.org/markup-compatibility/2006">
      <mc:Choice Requires="x14">
        <control shapeId="110598" r:id="rId10" name="CommandButton6">
          <controlPr defaultSize="0" autoLine="0" r:id="rId11">
            <anchor moveWithCells="1">
              <from>
                <xdr:col>1</xdr:col>
                <xdr:colOff>2438400</xdr:colOff>
                <xdr:row>2</xdr:row>
                <xdr:rowOff>47625</xdr:rowOff>
              </from>
              <to>
                <xdr:col>1</xdr:col>
                <xdr:colOff>3705225</xdr:colOff>
                <xdr:row>4</xdr:row>
                <xdr:rowOff>0</xdr:rowOff>
              </to>
            </anchor>
          </controlPr>
        </control>
      </mc:Choice>
      <mc:Fallback>
        <control shapeId="110598" r:id="rId10" name="CommandButton6"/>
      </mc:Fallback>
    </mc:AlternateContent>
    <mc:AlternateContent xmlns:mc="http://schemas.openxmlformats.org/markup-compatibility/2006">
      <mc:Choice Requires="x14">
        <control shapeId="110593" r:id="rId12" name="CommandButton1">
          <controlPr defaultSize="0" autoLine="0" r:id="rId13">
            <anchor moveWithCells="1" sizeWithCells="1">
              <from>
                <xdr:col>0</xdr:col>
                <xdr:colOff>19050</xdr:colOff>
                <xdr:row>2</xdr:row>
                <xdr:rowOff>38100</xdr:rowOff>
              </from>
              <to>
                <xdr:col>1</xdr:col>
                <xdr:colOff>600075</xdr:colOff>
                <xdr:row>3</xdr:row>
                <xdr:rowOff>142875</xdr:rowOff>
              </to>
            </anchor>
          </controlPr>
        </control>
      </mc:Choice>
      <mc:Fallback>
        <control shapeId="110593" r:id="rId12" name="CommandButton1"/>
      </mc:Fallback>
    </mc:AlternateContent>
    <mc:AlternateContent xmlns:mc="http://schemas.openxmlformats.org/markup-compatibility/2006">
      <mc:Choice Requires="x14">
        <control shapeId="110596" r:id="rId14" name="CommandButton4">
          <controlPr defaultSize="0" autoLine="0" r:id="rId15">
            <anchor moveWithCells="1" sizeWithCells="1">
              <from>
                <xdr:col>1</xdr:col>
                <xdr:colOff>628650</xdr:colOff>
                <xdr:row>2</xdr:row>
                <xdr:rowOff>47625</xdr:rowOff>
              </from>
              <to>
                <xdr:col>1</xdr:col>
                <xdr:colOff>2400300</xdr:colOff>
                <xdr:row>4</xdr:row>
                <xdr:rowOff>0</xdr:rowOff>
              </to>
            </anchor>
          </controlPr>
        </control>
      </mc:Choice>
      <mc:Fallback>
        <control shapeId="110596" r:id="rId14" name="CommandButton4"/>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4">
    <tabColor theme="0"/>
  </sheetPr>
  <dimension ref="A1:M496"/>
  <sheetViews>
    <sheetView showZeros="0" view="pageBreakPreview" zoomScaleNormal="85" zoomScaleSheetLayoutView="100" workbookViewId="0"/>
  </sheetViews>
  <sheetFormatPr baseColWidth="10" defaultColWidth="11.42578125" defaultRowHeight="12.75"/>
  <cols>
    <col min="1" max="1" width="11.42578125" style="1"/>
    <col min="2" max="2" width="31.140625" style="1" customWidth="1"/>
    <col min="3" max="4" width="11.42578125" style="2"/>
    <col min="5" max="5" width="11.42578125" style="2" customWidth="1"/>
    <col min="6" max="8" width="11.42578125" style="2"/>
    <col min="9" max="11" width="12.42578125" style="2" customWidth="1"/>
    <col min="12" max="12" width="13" style="2" customWidth="1"/>
    <col min="13" max="16384" width="11.42578125" style="1"/>
  </cols>
  <sheetData>
    <row r="1" spans="1:13" ht="15.75" customHeight="1">
      <c r="A1" s="981"/>
      <c r="B1" s="981"/>
      <c r="C1" s="982"/>
      <c r="D1" s="982"/>
      <c r="E1" s="982"/>
      <c r="F1" s="982"/>
      <c r="G1" s="982"/>
      <c r="H1" s="982"/>
      <c r="I1" s="982"/>
      <c r="J1" s="982"/>
      <c r="K1" s="982"/>
      <c r="L1" s="982"/>
      <c r="M1" s="981"/>
    </row>
    <row r="2" spans="1:13" ht="18.75" customHeight="1">
      <c r="A2" s="1943" t="s">
        <v>3271</v>
      </c>
      <c r="B2" s="1943"/>
      <c r="C2" s="1943"/>
      <c r="D2" s="1943"/>
      <c r="E2" s="1943"/>
      <c r="F2" s="1943"/>
      <c r="G2" s="1943"/>
      <c r="H2" s="1943"/>
      <c r="I2" s="1943"/>
      <c r="J2" s="1943"/>
      <c r="K2" s="1943"/>
      <c r="L2" s="1943"/>
      <c r="M2" s="981"/>
    </row>
    <row r="3" spans="1:13" ht="55.5" customHeight="1">
      <c r="A3" s="983"/>
      <c r="B3" s="983"/>
      <c r="C3" s="983"/>
      <c r="D3" s="983"/>
      <c r="E3" s="983"/>
      <c r="F3" s="983"/>
      <c r="G3" s="983"/>
      <c r="H3" s="983"/>
      <c r="I3" s="983"/>
      <c r="J3" s="983"/>
      <c r="K3" s="983"/>
      <c r="L3" s="983"/>
      <c r="M3" s="981"/>
    </row>
    <row r="4" spans="1:13" ht="16.5" customHeight="1">
      <c r="A4" s="1932" t="s">
        <v>2327</v>
      </c>
      <c r="B4" s="1932"/>
      <c r="C4" s="1932"/>
      <c r="D4" s="1932"/>
      <c r="E4" s="1932"/>
      <c r="F4" s="1932"/>
      <c r="G4" s="1932"/>
      <c r="H4" s="1932"/>
      <c r="I4" s="1932"/>
      <c r="J4" s="1932"/>
      <c r="K4" s="1932"/>
      <c r="L4" s="1932"/>
      <c r="M4" s="968"/>
    </row>
    <row r="5" spans="1:13">
      <c r="A5" s="1931" t="s">
        <v>2328</v>
      </c>
      <c r="B5" s="1931"/>
      <c r="M5" s="968"/>
    </row>
    <row r="6" spans="1:13">
      <c r="A6" s="968"/>
      <c r="B6" s="968"/>
      <c r="M6" s="968"/>
    </row>
    <row r="7" spans="1:13" ht="51">
      <c r="A7" s="968"/>
      <c r="B7" s="578" t="s">
        <v>7</v>
      </c>
      <c r="C7" s="578" t="s">
        <v>11</v>
      </c>
      <c r="D7" s="578" t="s">
        <v>2309</v>
      </c>
      <c r="E7" s="578" t="s">
        <v>2310</v>
      </c>
      <c r="F7" s="578" t="s">
        <v>2311</v>
      </c>
      <c r="G7" s="578" t="s">
        <v>2312</v>
      </c>
      <c r="H7" s="578" t="s">
        <v>3270</v>
      </c>
      <c r="I7" s="578" t="s">
        <v>2330</v>
      </c>
      <c r="J7" s="578" t="s">
        <v>2331</v>
      </c>
      <c r="K7" s="578" t="s">
        <v>2332</v>
      </c>
      <c r="L7" s="578" t="s">
        <v>2333</v>
      </c>
      <c r="M7" s="968"/>
    </row>
    <row r="8" spans="1:13">
      <c r="A8" s="968"/>
      <c r="B8" s="984" t="s">
        <v>2334</v>
      </c>
      <c r="C8" s="985"/>
      <c r="D8" s="985"/>
      <c r="E8" s="985"/>
      <c r="F8" s="985"/>
      <c r="G8" s="985"/>
      <c r="H8" s="985"/>
      <c r="I8" s="857">
        <f>+SUM(I9:I11)</f>
        <v>0</v>
      </c>
      <c r="J8" s="857">
        <f>+SUM(J9:J11)</f>
        <v>0</v>
      </c>
      <c r="K8" s="857">
        <f>+SUM(K9:K11)</f>
        <v>0</v>
      </c>
      <c r="L8" s="857">
        <f>+SUM(L9:L11)</f>
        <v>0</v>
      </c>
      <c r="M8" s="968"/>
    </row>
    <row r="9" spans="1:13" ht="25.5">
      <c r="A9" s="968"/>
      <c r="B9" s="913" t="s">
        <v>2335</v>
      </c>
      <c r="C9" s="986" t="s">
        <v>2336</v>
      </c>
      <c r="D9" s="928">
        <f>'Planteamiento Técnico'!C37</f>
        <v>0</v>
      </c>
      <c r="E9" s="928">
        <f>'Planteamiento Técnico'!D37</f>
        <v>0</v>
      </c>
      <c r="F9" s="928">
        <f>'Planteamiento Técnico'!E37</f>
        <v>0</v>
      </c>
      <c r="G9" s="928">
        <f>'Planteamiento Técnico'!F37</f>
        <v>0</v>
      </c>
      <c r="H9" s="987"/>
      <c r="I9" s="986">
        <f>+D9*$H$9</f>
        <v>0</v>
      </c>
      <c r="J9" s="986">
        <f>+E9*$H$9</f>
        <v>0</v>
      </c>
      <c r="K9" s="986">
        <f>+F9*$H$9</f>
        <v>0</v>
      </c>
      <c r="L9" s="985">
        <f>+G9*$H$9</f>
        <v>0</v>
      </c>
      <c r="M9" s="968"/>
    </row>
    <row r="10" spans="1:13" ht="25.5">
      <c r="A10" s="968"/>
      <c r="B10" s="913" t="s">
        <v>2337</v>
      </c>
      <c r="C10" s="986" t="s">
        <v>2336</v>
      </c>
      <c r="D10" s="928">
        <f>'Planteamiento Técnico'!C38</f>
        <v>0</v>
      </c>
      <c r="E10" s="928">
        <f>'Planteamiento Técnico'!D38</f>
        <v>0</v>
      </c>
      <c r="F10" s="928">
        <f>'Planteamiento Técnico'!E38</f>
        <v>0</v>
      </c>
      <c r="G10" s="928">
        <f>'Planteamiento Técnico'!F38</f>
        <v>0</v>
      </c>
      <c r="H10" s="987"/>
      <c r="I10" s="986">
        <f>+D10*$H$10</f>
        <v>0</v>
      </c>
      <c r="J10" s="986">
        <f>+E10*$H$10</f>
        <v>0</v>
      </c>
      <c r="K10" s="986">
        <f>+F10*$H$10</f>
        <v>0</v>
      </c>
      <c r="L10" s="985">
        <f>+G10*$H$10</f>
        <v>0</v>
      </c>
      <c r="M10" s="968"/>
    </row>
    <row r="11" spans="1:13" ht="25.5">
      <c r="A11" s="968"/>
      <c r="B11" s="913" t="s">
        <v>2338</v>
      </c>
      <c r="C11" s="986" t="s">
        <v>2336</v>
      </c>
      <c r="D11" s="928">
        <f>'Planteamiento Técnico'!C39</f>
        <v>0</v>
      </c>
      <c r="E11" s="928">
        <f>'Planteamiento Técnico'!D39</f>
        <v>0</v>
      </c>
      <c r="F11" s="928">
        <f>'Planteamiento Técnico'!E39</f>
        <v>0</v>
      </c>
      <c r="G11" s="928">
        <f>'Planteamiento Técnico'!F39</f>
        <v>0</v>
      </c>
      <c r="H11" s="987"/>
      <c r="I11" s="986">
        <f>+D11*$H$11</f>
        <v>0</v>
      </c>
      <c r="J11" s="986">
        <f>+E11*$H$11</f>
        <v>0</v>
      </c>
      <c r="K11" s="986">
        <f>+F11*$H$11</f>
        <v>0</v>
      </c>
      <c r="L11" s="985">
        <f>+G11*$H$11</f>
        <v>0</v>
      </c>
      <c r="M11" s="968"/>
    </row>
    <row r="12" spans="1:13">
      <c r="A12" s="968"/>
      <c r="B12" s="968"/>
      <c r="M12" s="968"/>
    </row>
    <row r="13" spans="1:13">
      <c r="A13" s="1932" t="s">
        <v>2339</v>
      </c>
      <c r="B13" s="1932"/>
      <c r="C13" s="1932"/>
      <c r="D13" s="1932"/>
      <c r="E13" s="1932"/>
      <c r="F13" s="1932"/>
      <c r="G13" s="1932"/>
      <c r="H13" s="1932"/>
      <c r="I13" s="1932"/>
      <c r="J13" s="1932"/>
      <c r="K13" s="1932"/>
      <c r="L13" s="1932"/>
      <c r="M13" s="968"/>
    </row>
    <row r="14" spans="1:13">
      <c r="A14" s="968"/>
      <c r="B14" s="968"/>
      <c r="M14" s="968"/>
    </row>
    <row r="15" spans="1:13">
      <c r="A15" s="1931" t="s">
        <v>2340</v>
      </c>
      <c r="B15" s="1931"/>
      <c r="M15" s="968"/>
    </row>
    <row r="16" spans="1:13">
      <c r="A16" s="968"/>
      <c r="B16" s="1934" t="s">
        <v>2341</v>
      </c>
      <c r="C16" s="1934"/>
      <c r="D16" s="1934"/>
      <c r="E16" s="1934"/>
      <c r="F16" s="1934"/>
      <c r="G16" s="1934"/>
      <c r="H16" s="1934"/>
      <c r="I16" s="1934"/>
      <c r="J16" s="1934"/>
      <c r="K16" s="1934"/>
      <c r="L16" s="1934"/>
      <c r="M16" s="968"/>
    </row>
    <row r="17" spans="1:13" ht="51">
      <c r="A17" s="968"/>
      <c r="B17" s="578" t="s">
        <v>7</v>
      </c>
      <c r="C17" s="578" t="s">
        <v>11</v>
      </c>
      <c r="D17" s="578" t="s">
        <v>2309</v>
      </c>
      <c r="E17" s="578" t="s">
        <v>2310</v>
      </c>
      <c r="F17" s="578" t="s">
        <v>2311</v>
      </c>
      <c r="G17" s="578" t="s">
        <v>2312</v>
      </c>
      <c r="H17" s="578" t="s">
        <v>3270</v>
      </c>
      <c r="I17" s="578" t="s">
        <v>2330</v>
      </c>
      <c r="J17" s="578" t="s">
        <v>2331</v>
      </c>
      <c r="K17" s="578" t="s">
        <v>2332</v>
      </c>
      <c r="L17" s="578" t="s">
        <v>2333</v>
      </c>
      <c r="M17" s="968"/>
    </row>
    <row r="18" spans="1:13">
      <c r="A18" s="968"/>
      <c r="B18" s="984" t="s">
        <v>206</v>
      </c>
      <c r="C18" s="907"/>
      <c r="D18" s="907"/>
      <c r="E18" s="907"/>
      <c r="F18" s="907"/>
      <c r="G18" s="907"/>
      <c r="H18" s="907"/>
      <c r="I18" s="857">
        <f>+I19</f>
        <v>0</v>
      </c>
      <c r="J18" s="857">
        <f>+J19</f>
        <v>0</v>
      </c>
      <c r="K18" s="857">
        <f>+K19</f>
        <v>0</v>
      </c>
      <c r="L18" s="857">
        <f>+L19</f>
        <v>0</v>
      </c>
      <c r="M18" s="968"/>
    </row>
    <row r="19" spans="1:13">
      <c r="A19" s="968"/>
      <c r="B19" s="916" t="s">
        <v>2342</v>
      </c>
      <c r="C19" s="988" t="s">
        <v>2343</v>
      </c>
      <c r="D19" s="935">
        <f>'Planteamiento Técnico'!C64</f>
        <v>0</v>
      </c>
      <c r="E19" s="935">
        <f>'Planteamiento Técnico'!D64</f>
        <v>0</v>
      </c>
      <c r="F19" s="935">
        <f>'Planteamiento Técnico'!E64</f>
        <v>0</v>
      </c>
      <c r="G19" s="935">
        <f>'Planteamiento Técnico'!F64</f>
        <v>0</v>
      </c>
      <c r="H19" s="987"/>
      <c r="I19" s="985">
        <f>+D19*$H$19</f>
        <v>0</v>
      </c>
      <c r="J19" s="985">
        <f>+E19*$H$19</f>
        <v>0</v>
      </c>
      <c r="K19" s="985">
        <f>+F19*$H$19</f>
        <v>0</v>
      </c>
      <c r="L19" s="985">
        <f>+G19*$H$19</f>
        <v>0</v>
      </c>
      <c r="M19" s="968"/>
    </row>
    <row r="20" spans="1:13" ht="26.25" hidden="1" customHeight="1">
      <c r="A20" s="968"/>
      <c r="B20" s="916"/>
      <c r="C20" s="988"/>
      <c r="D20" s="986"/>
      <c r="E20" s="986"/>
      <c r="F20" s="986"/>
      <c r="G20" s="986"/>
      <c r="H20" s="986"/>
      <c r="I20" s="985"/>
      <c r="J20" s="985"/>
      <c r="K20" s="985"/>
      <c r="L20" s="985"/>
      <c r="M20" s="968"/>
    </row>
    <row r="21" spans="1:13">
      <c r="A21" s="968"/>
      <c r="B21" s="984" t="s">
        <v>820</v>
      </c>
      <c r="C21" s="985"/>
      <c r="D21" s="986"/>
      <c r="E21" s="986"/>
      <c r="F21" s="986"/>
      <c r="G21" s="986"/>
      <c r="H21" s="986"/>
      <c r="I21" s="857">
        <f>SUM(I22:I27)</f>
        <v>0</v>
      </c>
      <c r="J21" s="857">
        <f>SUM(J22:J27)</f>
        <v>0</v>
      </c>
      <c r="K21" s="857">
        <f>SUM(K22:K27)</f>
        <v>0</v>
      </c>
      <c r="L21" s="857">
        <f>SUM(L22:L27)</f>
        <v>0</v>
      </c>
      <c r="M21" s="968"/>
    </row>
    <row r="22" spans="1:13" ht="25.5">
      <c r="A22" s="968"/>
      <c r="B22" s="913" t="s">
        <v>2345</v>
      </c>
      <c r="C22" s="907" t="s">
        <v>11</v>
      </c>
      <c r="D22" s="935">
        <f>'Planteamiento Técnico'!$E$73*D19</f>
        <v>0</v>
      </c>
      <c r="E22" s="935">
        <f>'Planteamiento Técnico'!$E$73*E19</f>
        <v>0</v>
      </c>
      <c r="F22" s="935">
        <f>'Planteamiento Técnico'!$E$73*F19</f>
        <v>0</v>
      </c>
      <c r="G22" s="935">
        <f>'Planteamiento Técnico'!$E$73*G19</f>
        <v>0</v>
      </c>
      <c r="H22" s="987"/>
      <c r="I22" s="985">
        <f>+D22*$H$22</f>
        <v>0</v>
      </c>
      <c r="J22" s="985">
        <f>+E22*$H$22</f>
        <v>0</v>
      </c>
      <c r="K22" s="985">
        <f>+F22*$H$22</f>
        <v>0</v>
      </c>
      <c r="L22" s="985">
        <f>+G22*$H$22</f>
        <v>0</v>
      </c>
      <c r="M22" s="968"/>
    </row>
    <row r="23" spans="1:13">
      <c r="A23" s="968"/>
      <c r="B23" s="913" t="s">
        <v>2068</v>
      </c>
      <c r="C23" s="907" t="s">
        <v>11</v>
      </c>
      <c r="D23" s="935">
        <f>'Planteamiento Técnico'!$E$74*D19</f>
        <v>0</v>
      </c>
      <c r="E23" s="935">
        <f>'Planteamiento Técnico'!$E$74*E19</f>
        <v>0</v>
      </c>
      <c r="F23" s="935">
        <f>'Planteamiento Técnico'!$E$74*F19</f>
        <v>0</v>
      </c>
      <c r="G23" s="935">
        <f>'Planteamiento Técnico'!$E$74*G19</f>
        <v>0</v>
      </c>
      <c r="H23" s="987"/>
      <c r="I23" s="985">
        <f>+D23*$H$23</f>
        <v>0</v>
      </c>
      <c r="J23" s="985">
        <f>+E23*$H$23</f>
        <v>0</v>
      </c>
      <c r="K23" s="985">
        <f>+F23*$H$23</f>
        <v>0</v>
      </c>
      <c r="L23" s="985">
        <f>+G23*$H$23</f>
        <v>0</v>
      </c>
      <c r="M23" s="968"/>
    </row>
    <row r="24" spans="1:13">
      <c r="A24" s="968"/>
      <c r="B24" s="913" t="s">
        <v>2346</v>
      </c>
      <c r="C24" s="907" t="s">
        <v>11</v>
      </c>
      <c r="D24" s="935">
        <f>'Planteamiento Técnico'!$E$75*D19</f>
        <v>0</v>
      </c>
      <c r="E24" s="935">
        <f>'Planteamiento Técnico'!$E$75*E19</f>
        <v>0</v>
      </c>
      <c r="F24" s="935">
        <f>'Planteamiento Técnico'!$E$75*F19</f>
        <v>0</v>
      </c>
      <c r="G24" s="935">
        <f>'Planteamiento Técnico'!$E$75*G19</f>
        <v>0</v>
      </c>
      <c r="H24" s="987"/>
      <c r="I24" s="985">
        <f>+D24*$H$24</f>
        <v>0</v>
      </c>
      <c r="J24" s="985">
        <f>+E24*$H$24</f>
        <v>0</v>
      </c>
      <c r="K24" s="985">
        <f>+F24*$H$24</f>
        <v>0</v>
      </c>
      <c r="L24" s="985">
        <f>+G24*$H$24</f>
        <v>0</v>
      </c>
      <c r="M24" s="968"/>
    </row>
    <row r="25" spans="1:13">
      <c r="A25" s="968"/>
      <c r="B25" s="913" t="s">
        <v>685</v>
      </c>
      <c r="C25" s="907" t="s">
        <v>11</v>
      </c>
      <c r="D25" s="935">
        <f>'Planteamiento Técnico'!$E$76*D19</f>
        <v>0</v>
      </c>
      <c r="E25" s="935">
        <f>'Planteamiento Técnico'!$E$76*E19</f>
        <v>0</v>
      </c>
      <c r="F25" s="935">
        <f>'Planteamiento Técnico'!$E$76*F19</f>
        <v>0</v>
      </c>
      <c r="G25" s="935">
        <f>'Planteamiento Técnico'!$E$76*G19</f>
        <v>0</v>
      </c>
      <c r="H25" s="987"/>
      <c r="I25" s="985">
        <f>+D25*$H$25</f>
        <v>0</v>
      </c>
      <c r="J25" s="985">
        <f>+E25*$H$25</f>
        <v>0</v>
      </c>
      <c r="K25" s="985">
        <f>+F25*$H$25</f>
        <v>0</v>
      </c>
      <c r="L25" s="985">
        <f>+G25*$H$25</f>
        <v>0</v>
      </c>
      <c r="M25" s="968"/>
    </row>
    <row r="26" spans="1:13">
      <c r="A26" s="968"/>
      <c r="B26" s="913" t="s">
        <v>3175</v>
      </c>
      <c r="C26" s="907" t="s">
        <v>11</v>
      </c>
      <c r="D26" s="935">
        <f>'Planteamiento Técnico'!$E$77*D19</f>
        <v>0</v>
      </c>
      <c r="E26" s="935">
        <f>'Planteamiento Técnico'!$E$77*E19</f>
        <v>0</v>
      </c>
      <c r="F26" s="935">
        <f>'Planteamiento Técnico'!$E$77*F19</f>
        <v>0</v>
      </c>
      <c r="G26" s="935">
        <f>'Planteamiento Técnico'!$E$77*G19</f>
        <v>0</v>
      </c>
      <c r="H26" s="987"/>
      <c r="I26" s="985">
        <f>+D26*$H$26</f>
        <v>0</v>
      </c>
      <c r="J26" s="985">
        <f>+E26*$H$26</f>
        <v>0</v>
      </c>
      <c r="K26" s="985">
        <f>+F26*$H$26</f>
        <v>0</v>
      </c>
      <c r="L26" s="985">
        <f>+G26*$H$26</f>
        <v>0</v>
      </c>
      <c r="M26" s="968"/>
    </row>
    <row r="27" spans="1:13">
      <c r="A27" s="968"/>
      <c r="B27" s="913" t="s">
        <v>2359</v>
      </c>
      <c r="C27" s="907" t="s">
        <v>11</v>
      </c>
      <c r="D27" s="935">
        <f>'Planteamiento Técnico'!$E$78</f>
        <v>0</v>
      </c>
      <c r="E27" s="935">
        <f>'Planteamiento Técnico'!$E$78</f>
        <v>0</v>
      </c>
      <c r="F27" s="935">
        <f>'Planteamiento Técnico'!$E$78</f>
        <v>0</v>
      </c>
      <c r="G27" s="935">
        <f>'Planteamiento Técnico'!$E$78</f>
        <v>0</v>
      </c>
      <c r="H27" s="987"/>
      <c r="I27" s="985">
        <f>+D27*$H$27</f>
        <v>0</v>
      </c>
      <c r="J27" s="985">
        <f>+E27*$H$27</f>
        <v>0</v>
      </c>
      <c r="K27" s="985">
        <f>+F27*$H$27</f>
        <v>0</v>
      </c>
      <c r="L27" s="985">
        <f>+G27*$H$27</f>
        <v>0</v>
      </c>
      <c r="M27" s="968"/>
    </row>
    <row r="28" spans="1:13">
      <c r="A28" s="968"/>
      <c r="B28" s="984" t="s">
        <v>2347</v>
      </c>
      <c r="C28" s="985"/>
      <c r="D28" s="986"/>
      <c r="E28" s="986"/>
      <c r="F28" s="986"/>
      <c r="G28" s="986"/>
      <c r="H28" s="986"/>
      <c r="I28" s="857">
        <f>+SUM(I29:I31)</f>
        <v>0</v>
      </c>
      <c r="J28" s="857">
        <f>+SUM(J29:J31)</f>
        <v>0</v>
      </c>
      <c r="K28" s="857">
        <f>+SUM(K29:K31)</f>
        <v>0</v>
      </c>
      <c r="L28" s="857">
        <f>+SUM(L29:L31)</f>
        <v>0</v>
      </c>
      <c r="M28" s="968"/>
    </row>
    <row r="29" spans="1:13">
      <c r="A29" s="968"/>
      <c r="B29" s="913" t="s">
        <v>205</v>
      </c>
      <c r="C29" s="907" t="s">
        <v>11</v>
      </c>
      <c r="D29" s="935">
        <f>D19*12</f>
        <v>0</v>
      </c>
      <c r="E29" s="935">
        <f>E19*12</f>
        <v>0</v>
      </c>
      <c r="F29" s="935">
        <f>F19*12</f>
        <v>0</v>
      </c>
      <c r="G29" s="935">
        <f>G19*12</f>
        <v>0</v>
      </c>
      <c r="H29" s="987"/>
      <c r="I29" s="985">
        <f>+D29*$H$29</f>
        <v>0</v>
      </c>
      <c r="J29" s="985">
        <f>+E29*$H$29</f>
        <v>0</v>
      </c>
      <c r="K29" s="985">
        <f>+F29*$H$29</f>
        <v>0</v>
      </c>
      <c r="L29" s="985">
        <f>+G29*$H$29</f>
        <v>0</v>
      </c>
      <c r="M29" s="968"/>
    </row>
    <row r="30" spans="1:13">
      <c r="A30" s="968"/>
      <c r="B30" s="913" t="s">
        <v>687</v>
      </c>
      <c r="C30" s="907" t="s">
        <v>11</v>
      </c>
      <c r="D30" s="986">
        <f>ROUNDUP(D19/5,0)*12</f>
        <v>0</v>
      </c>
      <c r="E30" s="986">
        <f>ROUNDUP(E19/5,0)*12</f>
        <v>0</v>
      </c>
      <c r="F30" s="986">
        <f>ROUNDUP(F19/5,0)*12</f>
        <v>0</v>
      </c>
      <c r="G30" s="986">
        <f>ROUNDUP(G19/5,0)*12</f>
        <v>0</v>
      </c>
      <c r="H30" s="987"/>
      <c r="I30" s="985">
        <f>+D30*$H$30</f>
        <v>0</v>
      </c>
      <c r="J30" s="985">
        <f>+E30*$H$30</f>
        <v>0</v>
      </c>
      <c r="K30" s="985">
        <f>+F30*$H$30</f>
        <v>0</v>
      </c>
      <c r="L30" s="985">
        <f>+G30*$H$30</f>
        <v>0</v>
      </c>
      <c r="M30" s="968"/>
    </row>
    <row r="31" spans="1:13">
      <c r="A31" s="968"/>
      <c r="B31" s="913" t="s">
        <v>2348</v>
      </c>
      <c r="C31" s="907" t="s">
        <v>2349</v>
      </c>
      <c r="D31" s="928">
        <f>'Planteamiento Técnico'!$E$78*D19</f>
        <v>0</v>
      </c>
      <c r="E31" s="928">
        <f>'Planteamiento Técnico'!$E$78*E19</f>
        <v>0</v>
      </c>
      <c r="F31" s="928">
        <f>'Planteamiento Técnico'!$E$78*F19</f>
        <v>0</v>
      </c>
      <c r="G31" s="928">
        <f>'Planteamiento Técnico'!$E$78*G19</f>
        <v>0</v>
      </c>
      <c r="H31" s="987"/>
      <c r="I31" s="985">
        <f>+D31*$H$31</f>
        <v>0</v>
      </c>
      <c r="J31" s="985">
        <f>+E31*$H$31</f>
        <v>0</v>
      </c>
      <c r="K31" s="985">
        <f>+F31*$H$31</f>
        <v>0</v>
      </c>
      <c r="L31" s="985">
        <f>+G31*$H$31</f>
        <v>0</v>
      </c>
      <c r="M31" s="968"/>
    </row>
    <row r="32" spans="1:13">
      <c r="A32" s="968"/>
      <c r="B32" s="984" t="s">
        <v>2889</v>
      </c>
      <c r="C32" s="985"/>
      <c r="D32" s="986"/>
      <c r="E32" s="986"/>
      <c r="F32" s="986"/>
      <c r="G32" s="986"/>
      <c r="H32" s="986"/>
      <c r="I32" s="857">
        <f>+SUM(I33:I42)</f>
        <v>0</v>
      </c>
      <c r="J32" s="857">
        <f>+SUM(J33:J42)</f>
        <v>0</v>
      </c>
      <c r="K32" s="857">
        <f>+SUM(K33:K42)</f>
        <v>0</v>
      </c>
      <c r="L32" s="857">
        <f>+SUM(L33:L42)</f>
        <v>0</v>
      </c>
      <c r="M32" s="968"/>
    </row>
    <row r="33" spans="1:13">
      <c r="A33" s="968"/>
      <c r="B33" s="913" t="s">
        <v>2350</v>
      </c>
      <c r="C33" s="907" t="s">
        <v>11</v>
      </c>
      <c r="D33" s="935">
        <f>'Planteamiento Técnico'!$E$84*D19</f>
        <v>0</v>
      </c>
      <c r="E33" s="935">
        <f>'Planteamiento Técnico'!$E$84*E19</f>
        <v>0</v>
      </c>
      <c r="F33" s="935">
        <f>'Planteamiento Técnico'!$E$84*F19</f>
        <v>0</v>
      </c>
      <c r="G33" s="935">
        <f>'Planteamiento Técnico'!$E$84*G19</f>
        <v>0</v>
      </c>
      <c r="H33" s="987"/>
      <c r="I33" s="985">
        <f>+D33*$H$33</f>
        <v>0</v>
      </c>
      <c r="J33" s="985">
        <f>+E33*$H$33</f>
        <v>0</v>
      </c>
      <c r="K33" s="985">
        <f>+F33*$H$33</f>
        <v>0</v>
      </c>
      <c r="L33" s="985">
        <f>+G33*$H$33</f>
        <v>0</v>
      </c>
      <c r="M33" s="968"/>
    </row>
    <row r="34" spans="1:13" ht="25.5">
      <c r="A34" s="968"/>
      <c r="B34" s="913" t="s">
        <v>2351</v>
      </c>
      <c r="C34" s="907" t="s">
        <v>11</v>
      </c>
      <c r="D34" s="935">
        <f>'Planteamiento Técnico'!$E$85*D19</f>
        <v>0</v>
      </c>
      <c r="E34" s="935">
        <f>'Planteamiento Técnico'!$E$85*E19</f>
        <v>0</v>
      </c>
      <c r="F34" s="935">
        <f>'Planteamiento Técnico'!$E$85*F19</f>
        <v>0</v>
      </c>
      <c r="G34" s="935">
        <f>'Planteamiento Técnico'!$E$85*G19</f>
        <v>0</v>
      </c>
      <c r="H34" s="987"/>
      <c r="I34" s="985">
        <f>+D34*$H$34</f>
        <v>0</v>
      </c>
      <c r="J34" s="985">
        <f>+E34*$H$34</f>
        <v>0</v>
      </c>
      <c r="K34" s="985">
        <f>+F34*$H$34</f>
        <v>0</v>
      </c>
      <c r="L34" s="985">
        <f>+G34*$H$34</f>
        <v>0</v>
      </c>
      <c r="M34" s="968"/>
    </row>
    <row r="35" spans="1:13">
      <c r="A35" s="968"/>
      <c r="B35" s="913" t="s">
        <v>808</v>
      </c>
      <c r="C35" s="907" t="s">
        <v>11</v>
      </c>
      <c r="D35" s="935">
        <f>'Planteamiento Técnico'!$E$86*D19</f>
        <v>0</v>
      </c>
      <c r="E35" s="935">
        <f>'Planteamiento Técnico'!$E$86*E19</f>
        <v>0</v>
      </c>
      <c r="F35" s="935">
        <f>'Planteamiento Técnico'!$E$86*F19</f>
        <v>0</v>
      </c>
      <c r="G35" s="935">
        <f>'Planteamiento Técnico'!$E$86*G19</f>
        <v>0</v>
      </c>
      <c r="H35" s="987"/>
      <c r="I35" s="985">
        <f>+D35*$H$35</f>
        <v>0</v>
      </c>
      <c r="J35" s="985">
        <f>+E35*$H$35</f>
        <v>0</v>
      </c>
      <c r="K35" s="985">
        <f>+F35*$H$35</f>
        <v>0</v>
      </c>
      <c r="L35" s="985">
        <f>+G35*$H$35</f>
        <v>0</v>
      </c>
      <c r="M35" s="968"/>
    </row>
    <row r="36" spans="1:13">
      <c r="A36" s="968"/>
      <c r="B36" s="913" t="s">
        <v>230</v>
      </c>
      <c r="C36" s="907" t="s">
        <v>11</v>
      </c>
      <c r="D36" s="935">
        <f>'Planteamiento Técnico'!$E$87*D19</f>
        <v>0</v>
      </c>
      <c r="E36" s="935">
        <f>'Planteamiento Técnico'!$E$87*E19</f>
        <v>0</v>
      </c>
      <c r="F36" s="935">
        <f>'Planteamiento Técnico'!$E$87*F19</f>
        <v>0</v>
      </c>
      <c r="G36" s="935">
        <f>'Planteamiento Técnico'!$E$87*G19</f>
        <v>0</v>
      </c>
      <c r="H36" s="987"/>
      <c r="I36" s="985">
        <f>+D36*$H$36</f>
        <v>0</v>
      </c>
      <c r="J36" s="985">
        <f>+E36*$H$36</f>
        <v>0</v>
      </c>
      <c r="K36" s="985">
        <f>+F36*$H$36</f>
        <v>0</v>
      </c>
      <c r="L36" s="985">
        <f>+G36*$H$36</f>
        <v>0</v>
      </c>
      <c r="M36" s="968"/>
    </row>
    <row r="37" spans="1:13">
      <c r="A37" s="968"/>
      <c r="B37" s="913" t="s">
        <v>2069</v>
      </c>
      <c r="C37" s="907" t="s">
        <v>11</v>
      </c>
      <c r="D37" s="935">
        <f>'Planteamiento Técnico'!$E$88*D19</f>
        <v>0</v>
      </c>
      <c r="E37" s="935">
        <f>'Planteamiento Técnico'!$E$88*E19</f>
        <v>0</v>
      </c>
      <c r="F37" s="935">
        <f>'Planteamiento Técnico'!$E$88*F19</f>
        <v>0</v>
      </c>
      <c r="G37" s="935">
        <f>'Planteamiento Técnico'!$E$88*G19</f>
        <v>0</v>
      </c>
      <c r="H37" s="987"/>
      <c r="I37" s="985">
        <f>+D37*$H$37</f>
        <v>0</v>
      </c>
      <c r="J37" s="985">
        <f>+E37*$H$37</f>
        <v>0</v>
      </c>
      <c r="K37" s="985">
        <f>+F37*$H$37</f>
        <v>0</v>
      </c>
      <c r="L37" s="985">
        <f>+G37*$H$37</f>
        <v>0</v>
      </c>
      <c r="M37" s="968"/>
    </row>
    <row r="38" spans="1:13">
      <c r="A38" s="968"/>
      <c r="B38" s="913" t="s">
        <v>2070</v>
      </c>
      <c r="C38" s="907" t="s">
        <v>11</v>
      </c>
      <c r="D38" s="935">
        <f>'Planteamiento Técnico'!$E$89*D19</f>
        <v>0</v>
      </c>
      <c r="E38" s="935">
        <f>'Planteamiento Técnico'!$E$89*E19</f>
        <v>0</v>
      </c>
      <c r="F38" s="935">
        <f>'Planteamiento Técnico'!$E$89*F19</f>
        <v>0</v>
      </c>
      <c r="G38" s="935">
        <f>'Planteamiento Técnico'!$E$89*G19</f>
        <v>0</v>
      </c>
      <c r="H38" s="987"/>
      <c r="I38" s="985">
        <f>+D38*$H$38</f>
        <v>0</v>
      </c>
      <c r="J38" s="985">
        <f>+E38*$H$38</f>
        <v>0</v>
      </c>
      <c r="K38" s="985">
        <f>+F38*$H$38</f>
        <v>0</v>
      </c>
      <c r="L38" s="985">
        <f>+G38*$H$38</f>
        <v>0</v>
      </c>
      <c r="M38" s="968"/>
    </row>
    <row r="39" spans="1:13">
      <c r="A39" s="968"/>
      <c r="B39" s="913" t="s">
        <v>233</v>
      </c>
      <c r="C39" s="907" t="s">
        <v>11</v>
      </c>
      <c r="D39" s="935">
        <f>'Planteamiento Técnico'!$E$90*D19</f>
        <v>0</v>
      </c>
      <c r="E39" s="935">
        <f>'Planteamiento Técnico'!$E$90*E19</f>
        <v>0</v>
      </c>
      <c r="F39" s="935">
        <f>'Planteamiento Técnico'!$E$90*F19</f>
        <v>0</v>
      </c>
      <c r="G39" s="935">
        <f>'Planteamiento Técnico'!$E$90*G19</f>
        <v>0</v>
      </c>
      <c r="H39" s="987"/>
      <c r="I39" s="985">
        <f>+D39*$H$39</f>
        <v>0</v>
      </c>
      <c r="J39" s="985">
        <f>+E39*$H$39</f>
        <v>0</v>
      </c>
      <c r="K39" s="985">
        <f>+F39*$H$39</f>
        <v>0</v>
      </c>
      <c r="L39" s="985">
        <f>+G39*$H$39</f>
        <v>0</v>
      </c>
      <c r="M39" s="968"/>
    </row>
    <row r="40" spans="1:13">
      <c r="A40" s="968"/>
      <c r="B40" s="913" t="s">
        <v>809</v>
      </c>
      <c r="C40" s="907" t="s">
        <v>11</v>
      </c>
      <c r="D40" s="935">
        <f>'Planteamiento Técnico'!$E$91*D19</f>
        <v>0</v>
      </c>
      <c r="E40" s="935">
        <f>'Planteamiento Técnico'!$E$91*E19</f>
        <v>0</v>
      </c>
      <c r="F40" s="935">
        <f>'Planteamiento Técnico'!$E$91*F19</f>
        <v>0</v>
      </c>
      <c r="G40" s="935">
        <f>'Planteamiento Técnico'!$E$91*G19</f>
        <v>0</v>
      </c>
      <c r="H40" s="987"/>
      <c r="I40" s="985">
        <f>+D40*$H$40</f>
        <v>0</v>
      </c>
      <c r="J40" s="985">
        <f>+E40*$H$40</f>
        <v>0</v>
      </c>
      <c r="K40" s="985">
        <f>+F40*$H$40</f>
        <v>0</v>
      </c>
      <c r="L40" s="985">
        <f>+G40*$H$40</f>
        <v>0</v>
      </c>
      <c r="M40" s="968"/>
    </row>
    <row r="41" spans="1:13">
      <c r="A41" s="968"/>
      <c r="B41" s="913" t="s">
        <v>263</v>
      </c>
      <c r="C41" s="907" t="s">
        <v>11</v>
      </c>
      <c r="D41" s="935">
        <f>'Planteamiento Técnico'!$E$92*D19</f>
        <v>0</v>
      </c>
      <c r="E41" s="935">
        <f>'Planteamiento Técnico'!$E$92*E19</f>
        <v>0</v>
      </c>
      <c r="F41" s="935">
        <f>'Planteamiento Técnico'!$E$92*F19</f>
        <v>0</v>
      </c>
      <c r="G41" s="935">
        <f>'Planteamiento Técnico'!$E$92*G19</f>
        <v>0</v>
      </c>
      <c r="H41" s="987"/>
      <c r="I41" s="985">
        <f>+D41*$H$41</f>
        <v>0</v>
      </c>
      <c r="J41" s="985">
        <f>+E41*$H$41</f>
        <v>0</v>
      </c>
      <c r="K41" s="985">
        <f>+F41*$H$41</f>
        <v>0</v>
      </c>
      <c r="L41" s="985">
        <f>+G41*$H$41</f>
        <v>0</v>
      </c>
      <c r="M41" s="968"/>
    </row>
    <row r="42" spans="1:13">
      <c r="A42" s="968"/>
      <c r="B42" s="913" t="s">
        <v>234</v>
      </c>
      <c r="C42" s="907" t="s">
        <v>11</v>
      </c>
      <c r="D42" s="935">
        <f>'Planteamiento Técnico'!$E$93*D19</f>
        <v>0</v>
      </c>
      <c r="E42" s="935">
        <f>'Planteamiento Técnico'!$E$93*E19</f>
        <v>0</v>
      </c>
      <c r="F42" s="935">
        <f>'Planteamiento Técnico'!$E$93*F19</f>
        <v>0</v>
      </c>
      <c r="G42" s="935">
        <f>'Planteamiento Técnico'!$E$93*G19</f>
        <v>0</v>
      </c>
      <c r="H42" s="987"/>
      <c r="I42" s="985">
        <f>+D42*$H$42</f>
        <v>0</v>
      </c>
      <c r="J42" s="985">
        <f>+E42*$H$42</f>
        <v>0</v>
      </c>
      <c r="K42" s="985">
        <f>+F42*$H$42</f>
        <v>0</v>
      </c>
      <c r="L42" s="985">
        <f>+G42*$H$42</f>
        <v>0</v>
      </c>
      <c r="M42" s="968"/>
    </row>
    <row r="43" spans="1:13">
      <c r="A43" s="968"/>
      <c r="B43" s="984" t="s">
        <v>2352</v>
      </c>
      <c r="C43" s="985"/>
      <c r="D43" s="935"/>
      <c r="E43" s="986"/>
      <c r="F43" s="986"/>
      <c r="G43" s="986"/>
      <c r="H43" s="986"/>
      <c r="I43" s="857">
        <f>+SUM(I44:I44)</f>
        <v>0</v>
      </c>
      <c r="J43" s="857">
        <f>+SUM(J44:J44)</f>
        <v>0</v>
      </c>
      <c r="K43" s="857">
        <f>+SUM(K44:K44)</f>
        <v>0</v>
      </c>
      <c r="L43" s="857">
        <f>+SUM(L44:L44)</f>
        <v>0</v>
      </c>
      <c r="M43" s="968"/>
    </row>
    <row r="44" spans="1:13">
      <c r="A44" s="968"/>
      <c r="B44" s="916" t="s">
        <v>2353</v>
      </c>
      <c r="C44" s="985" t="s">
        <v>864</v>
      </c>
      <c r="D44" s="935">
        <v>12</v>
      </c>
      <c r="E44" s="935">
        <v>12</v>
      </c>
      <c r="F44" s="935">
        <v>12</v>
      </c>
      <c r="G44" s="935">
        <v>12</v>
      </c>
      <c r="H44" s="987"/>
      <c r="I44" s="985">
        <f>+D44*$H$44</f>
        <v>0</v>
      </c>
      <c r="J44" s="985">
        <f>+E44*$H$44</f>
        <v>0</v>
      </c>
      <c r="K44" s="985">
        <f>+F44*$H$44</f>
        <v>0</v>
      </c>
      <c r="L44" s="985">
        <f>+G44*$H$44</f>
        <v>0</v>
      </c>
      <c r="M44" s="968"/>
    </row>
    <row r="45" spans="1:13">
      <c r="A45" s="968"/>
      <c r="B45" s="989"/>
      <c r="C45" s="990"/>
      <c r="D45" s="991"/>
      <c r="E45" s="991"/>
      <c r="F45" s="991"/>
      <c r="G45" s="991"/>
      <c r="H45" s="991"/>
      <c r="I45" s="990"/>
      <c r="J45" s="990"/>
      <c r="K45" s="990"/>
      <c r="L45" s="990"/>
      <c r="M45" s="968"/>
    </row>
    <row r="46" spans="1:13">
      <c r="A46" s="968"/>
      <c r="B46" s="989"/>
      <c r="C46" s="990"/>
      <c r="D46" s="991"/>
      <c r="E46" s="991"/>
      <c r="F46" s="991"/>
      <c r="G46" s="991"/>
      <c r="H46" s="991"/>
      <c r="I46" s="990"/>
      <c r="J46" s="990"/>
      <c r="K46" s="990"/>
      <c r="L46" s="990"/>
      <c r="M46" s="968"/>
    </row>
    <row r="47" spans="1:13">
      <c r="A47" s="1931" t="s">
        <v>2354</v>
      </c>
      <c r="B47" s="1931"/>
      <c r="M47" s="968"/>
    </row>
    <row r="48" spans="1:13">
      <c r="A48" s="968"/>
      <c r="B48" s="968"/>
      <c r="M48" s="968"/>
    </row>
    <row r="49" spans="1:13" ht="51">
      <c r="A49" s="968"/>
      <c r="B49" s="578" t="s">
        <v>7</v>
      </c>
      <c r="C49" s="578" t="s">
        <v>11</v>
      </c>
      <c r="D49" s="578" t="s">
        <v>2309</v>
      </c>
      <c r="E49" s="578" t="s">
        <v>2310</v>
      </c>
      <c r="F49" s="578" t="s">
        <v>2311</v>
      </c>
      <c r="G49" s="578" t="s">
        <v>2312</v>
      </c>
      <c r="H49" s="578" t="s">
        <v>2329</v>
      </c>
      <c r="I49" s="578" t="s">
        <v>2330</v>
      </c>
      <c r="J49" s="578" t="s">
        <v>2331</v>
      </c>
      <c r="K49" s="578" t="s">
        <v>2332</v>
      </c>
      <c r="L49" s="578" t="s">
        <v>2333</v>
      </c>
      <c r="M49" s="968"/>
    </row>
    <row r="50" spans="1:13">
      <c r="A50" s="968"/>
      <c r="B50" s="984" t="s">
        <v>2355</v>
      </c>
      <c r="C50" s="985"/>
      <c r="D50" s="985"/>
      <c r="E50" s="985"/>
      <c r="F50" s="985"/>
      <c r="G50" s="985"/>
      <c r="H50" s="985"/>
      <c r="I50" s="857">
        <f>+I51</f>
        <v>0</v>
      </c>
      <c r="J50" s="857">
        <f>+J51</f>
        <v>0</v>
      </c>
      <c r="K50" s="857">
        <f>+K51</f>
        <v>0</v>
      </c>
      <c r="L50" s="857">
        <f>+L51</f>
        <v>0</v>
      </c>
      <c r="M50" s="968"/>
    </row>
    <row r="51" spans="1:13">
      <c r="A51" s="968"/>
      <c r="B51" s="913" t="s">
        <v>298</v>
      </c>
      <c r="C51" s="985" t="s">
        <v>12</v>
      </c>
      <c r="D51" s="928">
        <f>'Planteamiento Técnico'!D68</f>
        <v>0</v>
      </c>
      <c r="E51" s="928">
        <f>'Planteamiento Técnico'!E68</f>
        <v>0</v>
      </c>
      <c r="F51" s="928">
        <f>'Planteamiento Técnico'!F68</f>
        <v>0</v>
      </c>
      <c r="G51" s="928">
        <f>'Planteamiento Técnico'!G68</f>
        <v>0</v>
      </c>
      <c r="H51" s="987"/>
      <c r="I51" s="985">
        <f>+D51*$H$51</f>
        <v>0</v>
      </c>
      <c r="J51" s="985">
        <f>+E51*$H$51</f>
        <v>0</v>
      </c>
      <c r="K51" s="985">
        <f>+F51*$H$51</f>
        <v>0</v>
      </c>
      <c r="L51" s="985">
        <f>+G51*$H$51</f>
        <v>0</v>
      </c>
      <c r="M51" s="968"/>
    </row>
    <row r="52" spans="1:13">
      <c r="A52" s="968"/>
      <c r="B52" s="984" t="s">
        <v>2356</v>
      </c>
      <c r="C52" s="985"/>
      <c r="D52" s="985"/>
      <c r="E52" s="985"/>
      <c r="F52" s="985"/>
      <c r="G52" s="985"/>
      <c r="H52" s="985"/>
      <c r="I52" s="857">
        <f>SUM(I53:I54)</f>
        <v>0</v>
      </c>
      <c r="J52" s="857">
        <f>SUM(J53:J54)</f>
        <v>0</v>
      </c>
      <c r="K52" s="857">
        <f>SUM(K53:K54)</f>
        <v>0</v>
      </c>
      <c r="L52" s="857">
        <f>SUM(L53:L54)</f>
        <v>0</v>
      </c>
      <c r="M52" s="968"/>
    </row>
    <row r="53" spans="1:13">
      <c r="A53" s="968"/>
      <c r="B53" s="992" t="s">
        <v>2417</v>
      </c>
      <c r="C53" s="985" t="s">
        <v>2336</v>
      </c>
      <c r="D53" s="986">
        <f>'Planteamiento Técnico'!D69</f>
        <v>0</v>
      </c>
      <c r="E53" s="986">
        <f>'Planteamiento Técnico'!E69</f>
        <v>0</v>
      </c>
      <c r="F53" s="986">
        <f>'Planteamiento Técnico'!F69</f>
        <v>0</v>
      </c>
      <c r="G53" s="986">
        <f>'Planteamiento Técnico'!G69</f>
        <v>0</v>
      </c>
      <c r="H53" s="987"/>
      <c r="I53" s="985">
        <f>+D53*$H$53</f>
        <v>0</v>
      </c>
      <c r="J53" s="985">
        <f>+E53*$H$53</f>
        <v>0</v>
      </c>
      <c r="K53" s="985">
        <f>+F53*$H$53</f>
        <v>0</v>
      </c>
      <c r="L53" s="985">
        <f>+G53*$H$53</f>
        <v>0</v>
      </c>
      <c r="M53" s="968"/>
    </row>
    <row r="54" spans="1:13" ht="19.5" customHeight="1">
      <c r="A54" s="968"/>
      <c r="B54" s="913" t="s">
        <v>2357</v>
      </c>
      <c r="C54" s="985" t="s">
        <v>2336</v>
      </c>
      <c r="D54" s="928">
        <f>'Planteamiento Técnico'!D68</f>
        <v>0</v>
      </c>
      <c r="E54" s="928">
        <f>'Planteamiento Técnico'!E68</f>
        <v>0</v>
      </c>
      <c r="F54" s="928">
        <f>'Planteamiento Técnico'!F68</f>
        <v>0</v>
      </c>
      <c r="G54" s="928">
        <f>'Planteamiento Técnico'!G68</f>
        <v>0</v>
      </c>
      <c r="H54" s="987"/>
      <c r="I54" s="985">
        <f>+D54*$H$54</f>
        <v>0</v>
      </c>
      <c r="J54" s="985">
        <f>+E54*$H$54</f>
        <v>0</v>
      </c>
      <c r="K54" s="985">
        <f>+F54*$H$54</f>
        <v>0</v>
      </c>
      <c r="L54" s="985">
        <f>+G54*$H$54</f>
        <v>0</v>
      </c>
      <c r="M54" s="968"/>
    </row>
    <row r="55" spans="1:13">
      <c r="A55" s="968"/>
      <c r="B55" s="989"/>
      <c r="C55" s="990"/>
      <c r="D55" s="991"/>
      <c r="E55" s="991"/>
      <c r="F55" s="991"/>
      <c r="G55" s="991"/>
      <c r="H55" s="991"/>
      <c r="I55" s="990"/>
      <c r="J55" s="990"/>
      <c r="K55" s="990"/>
      <c r="L55" s="990"/>
      <c r="M55" s="968"/>
    </row>
    <row r="56" spans="1:13">
      <c r="A56" s="968"/>
      <c r="B56" s="989"/>
      <c r="C56" s="990"/>
      <c r="D56" s="991"/>
      <c r="E56" s="991"/>
      <c r="F56" s="991"/>
      <c r="G56" s="991"/>
      <c r="H56" s="991"/>
      <c r="I56" s="990"/>
      <c r="J56" s="990"/>
      <c r="K56" s="990"/>
      <c r="L56" s="990"/>
      <c r="M56" s="968"/>
    </row>
    <row r="57" spans="1:13">
      <c r="A57" s="968"/>
      <c r="B57" s="1934" t="s">
        <v>2358</v>
      </c>
      <c r="C57" s="1934"/>
      <c r="D57" s="1934"/>
      <c r="E57" s="1934"/>
      <c r="F57" s="1934"/>
      <c r="G57" s="1934"/>
      <c r="H57" s="1934"/>
      <c r="I57" s="1934"/>
      <c r="J57" s="1934"/>
      <c r="K57" s="1934"/>
      <c r="L57" s="1934"/>
      <c r="M57" s="968"/>
    </row>
    <row r="58" spans="1:13" ht="51">
      <c r="A58" s="968"/>
      <c r="B58" s="578" t="s">
        <v>7</v>
      </c>
      <c r="C58" s="578" t="s">
        <v>11</v>
      </c>
      <c r="D58" s="578" t="s">
        <v>2309</v>
      </c>
      <c r="E58" s="578" t="s">
        <v>2310</v>
      </c>
      <c r="F58" s="578" t="s">
        <v>2311</v>
      </c>
      <c r="G58" s="578" t="s">
        <v>2312</v>
      </c>
      <c r="H58" s="578" t="s">
        <v>3270</v>
      </c>
      <c r="I58" s="578" t="s">
        <v>2330</v>
      </c>
      <c r="J58" s="578" t="s">
        <v>2331</v>
      </c>
      <c r="K58" s="578" t="s">
        <v>2332</v>
      </c>
      <c r="L58" s="578" t="s">
        <v>2333</v>
      </c>
      <c r="M58" s="968"/>
    </row>
    <row r="59" spans="1:13">
      <c r="A59" s="968"/>
      <c r="B59" s="984" t="s">
        <v>206</v>
      </c>
      <c r="C59" s="907"/>
      <c r="D59" s="907"/>
      <c r="E59" s="907"/>
      <c r="F59" s="907"/>
      <c r="G59" s="907"/>
      <c r="H59" s="907"/>
      <c r="I59" s="857">
        <f>+I60</f>
        <v>0</v>
      </c>
      <c r="J59" s="857">
        <f>+J60</f>
        <v>0</v>
      </c>
      <c r="K59" s="857">
        <f>+K60</f>
        <v>0</v>
      </c>
      <c r="L59" s="857">
        <f>+L60</f>
        <v>0</v>
      </c>
      <c r="M59" s="968"/>
    </row>
    <row r="60" spans="1:13">
      <c r="A60" s="968"/>
      <c r="B60" s="916" t="s">
        <v>2342</v>
      </c>
      <c r="C60" s="988" t="s">
        <v>2343</v>
      </c>
      <c r="D60" s="935">
        <f>'Planteamiento Técnico'!C104</f>
        <v>0</v>
      </c>
      <c r="E60" s="935">
        <f>'Planteamiento Técnico'!D104</f>
        <v>0</v>
      </c>
      <c r="F60" s="935">
        <f>'Planteamiento Técnico'!E104</f>
        <v>0</v>
      </c>
      <c r="G60" s="935">
        <f>'Planteamiento Técnico'!F104</f>
        <v>0</v>
      </c>
      <c r="H60" s="993"/>
      <c r="I60" s="985">
        <f>+D60*$H$60</f>
        <v>0</v>
      </c>
      <c r="J60" s="985">
        <f>+E60*$H$60</f>
        <v>0</v>
      </c>
      <c r="K60" s="985">
        <f>+F60*$H$60</f>
        <v>0</v>
      </c>
      <c r="L60" s="985">
        <f>+G60*$H$60</f>
        <v>0</v>
      </c>
      <c r="M60" s="968"/>
    </row>
    <row r="61" spans="1:13" ht="15" customHeight="1">
      <c r="A61" s="968"/>
      <c r="B61" s="916" t="s">
        <v>2418</v>
      </c>
      <c r="C61" s="988" t="s">
        <v>2344</v>
      </c>
      <c r="D61" s="935">
        <f>'Planteamiento Técnico'!C105</f>
        <v>0</v>
      </c>
      <c r="E61" s="935" t="b">
        <f>'Planteamiento Técnico'!D105</f>
        <v>0</v>
      </c>
      <c r="F61" s="935" t="b">
        <f>'Planteamiento Técnico'!E105</f>
        <v>0</v>
      </c>
      <c r="G61" s="935" t="b">
        <f>'Planteamiento Técnico'!F105</f>
        <v>0</v>
      </c>
      <c r="H61" s="987"/>
      <c r="I61" s="985">
        <f>+D61*$H$61</f>
        <v>0</v>
      </c>
      <c r="J61" s="985">
        <f>+E61*$H$61</f>
        <v>0</v>
      </c>
      <c r="K61" s="985">
        <f>+F61*$H$61</f>
        <v>0</v>
      </c>
      <c r="L61" s="985">
        <f>+G61*$H$61</f>
        <v>0</v>
      </c>
      <c r="M61" s="968"/>
    </row>
    <row r="62" spans="1:13">
      <c r="A62" s="968"/>
      <c r="B62" s="984" t="s">
        <v>820</v>
      </c>
      <c r="C62" s="985"/>
      <c r="D62" s="986"/>
      <c r="E62" s="986"/>
      <c r="F62" s="986"/>
      <c r="G62" s="986"/>
      <c r="H62" s="986"/>
      <c r="I62" s="857">
        <f>SUM(I63:I68)</f>
        <v>0</v>
      </c>
      <c r="J62" s="857">
        <f>SUM(J63:J68)</f>
        <v>0</v>
      </c>
      <c r="K62" s="857">
        <f>SUM(K63:K68)</f>
        <v>0</v>
      </c>
      <c r="L62" s="857">
        <f>SUM(L63:L68)</f>
        <v>0</v>
      </c>
      <c r="M62" s="968"/>
    </row>
    <row r="63" spans="1:13" ht="25.5">
      <c r="A63" s="968"/>
      <c r="B63" s="913" t="s">
        <v>2345</v>
      </c>
      <c r="C63" s="907" t="s">
        <v>11</v>
      </c>
      <c r="D63" s="935">
        <f>'Planteamiento Técnico'!$E$116*(D60+D61)</f>
        <v>0</v>
      </c>
      <c r="E63" s="935">
        <f>'Planteamiento Técnico'!$E$116*(E60+E61)</f>
        <v>0</v>
      </c>
      <c r="F63" s="935">
        <f>'Planteamiento Técnico'!$E$116*(F60+F61)</f>
        <v>0</v>
      </c>
      <c r="G63" s="935">
        <f>'Planteamiento Técnico'!$E$116*(G60+G61)</f>
        <v>0</v>
      </c>
      <c r="H63" s="987"/>
      <c r="I63" s="985">
        <f>+D63*$H$63</f>
        <v>0</v>
      </c>
      <c r="J63" s="985">
        <f>+E63*$H$63</f>
        <v>0</v>
      </c>
      <c r="K63" s="985">
        <f>+F63*$H$63</f>
        <v>0</v>
      </c>
      <c r="L63" s="985">
        <f>+G63*$H$63</f>
        <v>0</v>
      </c>
      <c r="M63" s="968"/>
    </row>
    <row r="64" spans="1:13">
      <c r="A64" s="968"/>
      <c r="B64" s="913" t="s">
        <v>2068</v>
      </c>
      <c r="C64" s="907" t="s">
        <v>11</v>
      </c>
      <c r="D64" s="935">
        <f>'Planteamiento Técnico'!$E$117*(D60+D61)</f>
        <v>0</v>
      </c>
      <c r="E64" s="935">
        <f>'Planteamiento Técnico'!$E$117*(E60+E61)</f>
        <v>0</v>
      </c>
      <c r="F64" s="935">
        <f>'Planteamiento Técnico'!$E$117*(F60+F61)</f>
        <v>0</v>
      </c>
      <c r="G64" s="935">
        <f>'Planteamiento Técnico'!$E$117*(G60+G61)</f>
        <v>0</v>
      </c>
      <c r="H64" s="987"/>
      <c r="I64" s="985">
        <f>+D64*$H$64</f>
        <v>0</v>
      </c>
      <c r="J64" s="985">
        <f>+E64*$H$64</f>
        <v>0</v>
      </c>
      <c r="K64" s="985">
        <f>+F64*$H$64</f>
        <v>0</v>
      </c>
      <c r="L64" s="985">
        <f>+G64*$H$64</f>
        <v>0</v>
      </c>
      <c r="M64" s="968"/>
    </row>
    <row r="65" spans="1:13">
      <c r="A65" s="968"/>
      <c r="B65" s="913" t="s">
        <v>2346</v>
      </c>
      <c r="C65" s="907" t="s">
        <v>11</v>
      </c>
      <c r="D65" s="935">
        <f>'Planteamiento Técnico'!$E$118*(D60+D61)</f>
        <v>0</v>
      </c>
      <c r="E65" s="935">
        <f>'Planteamiento Técnico'!$E$118*(E60+E61)</f>
        <v>0</v>
      </c>
      <c r="F65" s="935">
        <f>'Planteamiento Técnico'!$E$118*(F60+F61)</f>
        <v>0</v>
      </c>
      <c r="G65" s="935">
        <f>'Planteamiento Técnico'!$E$118*(G60+G61)</f>
        <v>0</v>
      </c>
      <c r="H65" s="987"/>
      <c r="I65" s="985">
        <f>D65*$H$65</f>
        <v>0</v>
      </c>
      <c r="J65" s="985">
        <f>E65*$H$65</f>
        <v>0</v>
      </c>
      <c r="K65" s="985">
        <f>F65*$H$65</f>
        <v>0</v>
      </c>
      <c r="L65" s="985">
        <f>G65*$H$65</f>
        <v>0</v>
      </c>
      <c r="M65" s="968"/>
    </row>
    <row r="66" spans="1:13">
      <c r="A66" s="968"/>
      <c r="B66" s="913" t="s">
        <v>685</v>
      </c>
      <c r="C66" s="907" t="s">
        <v>11</v>
      </c>
      <c r="D66" s="935">
        <f>'Planteamiento Técnico'!$E$119*(D60+D61)</f>
        <v>0</v>
      </c>
      <c r="E66" s="935">
        <f>'Planteamiento Técnico'!$E$119*(E60+E61)</f>
        <v>0</v>
      </c>
      <c r="F66" s="935">
        <f>'Planteamiento Técnico'!$E$119*(F60+F61)</f>
        <v>0</v>
      </c>
      <c r="G66" s="935">
        <f>'Planteamiento Técnico'!$E$119*(G60+G61)</f>
        <v>0</v>
      </c>
      <c r="H66" s="987"/>
      <c r="I66" s="985">
        <f>+D66*$H$66</f>
        <v>0</v>
      </c>
      <c r="J66" s="985">
        <f>+E66*$H$66</f>
        <v>0</v>
      </c>
      <c r="K66" s="985">
        <f>+F66*$H$66</f>
        <v>0</v>
      </c>
      <c r="L66" s="985">
        <f>+G66*$H$66</f>
        <v>0</v>
      </c>
      <c r="M66" s="968"/>
    </row>
    <row r="67" spans="1:13">
      <c r="A67" s="968"/>
      <c r="B67" s="913" t="s">
        <v>3175</v>
      </c>
      <c r="C67" s="907" t="s">
        <v>11</v>
      </c>
      <c r="D67" s="935">
        <f>'Planteamiento Técnico'!$E$120*(D60+D61)</f>
        <v>0</v>
      </c>
      <c r="E67" s="935">
        <f>'Planteamiento Técnico'!$E$120*(E60+E61)</f>
        <v>0</v>
      </c>
      <c r="F67" s="935">
        <f>'Planteamiento Técnico'!$E$120*(F60+F61)</f>
        <v>0</v>
      </c>
      <c r="G67" s="935">
        <f>'Planteamiento Técnico'!$E$120*(G60+G61)</f>
        <v>0</v>
      </c>
      <c r="H67" s="987"/>
      <c r="I67" s="985">
        <f>+D67*$H$67</f>
        <v>0</v>
      </c>
      <c r="J67" s="985">
        <f>+E67*$H$67</f>
        <v>0</v>
      </c>
      <c r="K67" s="985">
        <f>+F67*$H$67</f>
        <v>0</v>
      </c>
      <c r="L67" s="985">
        <f>+G67*$H$67</f>
        <v>0</v>
      </c>
      <c r="M67" s="968"/>
    </row>
    <row r="68" spans="1:13">
      <c r="A68" s="968"/>
      <c r="B68" s="913" t="s">
        <v>2359</v>
      </c>
      <c r="C68" s="907" t="s">
        <v>11</v>
      </c>
      <c r="D68" s="935">
        <f>'Planteamiento Técnico'!$E$122*(D60+D61)</f>
        <v>0</v>
      </c>
      <c r="E68" s="935">
        <f>'Planteamiento Técnico'!$E$122*(E60+E61)</f>
        <v>0</v>
      </c>
      <c r="F68" s="935">
        <f>'Planteamiento Técnico'!$E$122*(F60+F61)</f>
        <v>0</v>
      </c>
      <c r="G68" s="935">
        <f>'Planteamiento Técnico'!$E$122*(G60+G61)</f>
        <v>0</v>
      </c>
      <c r="H68" s="987"/>
      <c r="I68" s="985">
        <f>+D68*$H$68</f>
        <v>0</v>
      </c>
      <c r="J68" s="985">
        <f>+E68*$H$68</f>
        <v>0</v>
      </c>
      <c r="K68" s="985">
        <f>+F68*$H$68</f>
        <v>0</v>
      </c>
      <c r="L68" s="985">
        <f>+G68*$H$68</f>
        <v>0</v>
      </c>
      <c r="M68" s="968"/>
    </row>
    <row r="69" spans="1:13">
      <c r="A69" s="968"/>
      <c r="B69" s="984" t="s">
        <v>2347</v>
      </c>
      <c r="C69" s="985"/>
      <c r="D69" s="986"/>
      <c r="E69" s="986"/>
      <c r="F69" s="986"/>
      <c r="G69" s="986"/>
      <c r="H69" s="986"/>
      <c r="I69" s="857">
        <f>+SUM(I70:I72)</f>
        <v>0</v>
      </c>
      <c r="J69" s="857">
        <f>+SUM(J70:J72)</f>
        <v>0</v>
      </c>
      <c r="K69" s="857">
        <f>+SUM(K70:K72)</f>
        <v>0</v>
      </c>
      <c r="L69" s="857">
        <f>+SUM(L70:L72)</f>
        <v>0</v>
      </c>
      <c r="M69" s="968"/>
    </row>
    <row r="70" spans="1:13">
      <c r="A70" s="968"/>
      <c r="B70" s="913" t="s">
        <v>205</v>
      </c>
      <c r="C70" s="907" t="s">
        <v>11</v>
      </c>
      <c r="D70" s="986">
        <f>D60*12</f>
        <v>0</v>
      </c>
      <c r="E70" s="986">
        <f>E60*12</f>
        <v>0</v>
      </c>
      <c r="F70" s="986">
        <f>F60*12</f>
        <v>0</v>
      </c>
      <c r="G70" s="986">
        <f>G60*12</f>
        <v>0</v>
      </c>
      <c r="H70" s="987"/>
      <c r="I70" s="985">
        <f>+D70*$H$70</f>
        <v>0</v>
      </c>
      <c r="J70" s="985">
        <f>+E70*$H$70</f>
        <v>0</v>
      </c>
      <c r="K70" s="985">
        <f>+F70*$H$70</f>
        <v>0</v>
      </c>
      <c r="L70" s="985">
        <f>+G70*$H$70</f>
        <v>0</v>
      </c>
      <c r="M70" s="968"/>
    </row>
    <row r="71" spans="1:13">
      <c r="A71" s="968"/>
      <c r="B71" s="913" t="s">
        <v>687</v>
      </c>
      <c r="C71" s="907" t="s">
        <v>11</v>
      </c>
      <c r="D71" s="986">
        <f>ROUNDUP(((D60+D61)/5),0)*12</f>
        <v>0</v>
      </c>
      <c r="E71" s="986">
        <f>ROUNDUP(((E60+E61)/5),0)*12</f>
        <v>0</v>
      </c>
      <c r="F71" s="986">
        <f>ROUNDUP(((F60+F61)/5),0)*12</f>
        <v>0</v>
      </c>
      <c r="G71" s="986">
        <f>ROUNDUP(((G60+G61)/5),0)*12</f>
        <v>0</v>
      </c>
      <c r="H71" s="987"/>
      <c r="I71" s="985">
        <f>+D71*$H$71</f>
        <v>0</v>
      </c>
      <c r="J71" s="985">
        <f>+E71*$H$71</f>
        <v>0</v>
      </c>
      <c r="K71" s="985">
        <f>+F71*$H$71</f>
        <v>0</v>
      </c>
      <c r="L71" s="985">
        <f>+G71*$H$71</f>
        <v>0</v>
      </c>
      <c r="M71" s="968"/>
    </row>
    <row r="72" spans="1:13">
      <c r="A72" s="968"/>
      <c r="B72" s="913" t="s">
        <v>2348</v>
      </c>
      <c r="C72" s="907" t="s">
        <v>2349</v>
      </c>
      <c r="D72" s="935">
        <f>'Planteamiento Técnico'!$E$121*(D60+D61)</f>
        <v>0</v>
      </c>
      <c r="E72" s="935">
        <f>'Planteamiento Técnico'!$E$121*(E60+E61)</f>
        <v>0</v>
      </c>
      <c r="F72" s="935">
        <f>'Planteamiento Técnico'!$E$121*(F60+F61)</f>
        <v>0</v>
      </c>
      <c r="G72" s="935">
        <f>'Planteamiento Técnico'!$E$121*(G60+G61)</f>
        <v>0</v>
      </c>
      <c r="H72" s="987"/>
      <c r="I72" s="985">
        <f>+D72*$H$72</f>
        <v>0</v>
      </c>
      <c r="J72" s="985">
        <f>+E72*$H$72</f>
        <v>0</v>
      </c>
      <c r="K72" s="985">
        <f>+F72*$H$72</f>
        <v>0</v>
      </c>
      <c r="L72" s="985">
        <f>+G72*$H$72</f>
        <v>0</v>
      </c>
      <c r="M72" s="968"/>
    </row>
    <row r="73" spans="1:13">
      <c r="A73" s="968"/>
      <c r="B73" s="984" t="s">
        <v>2889</v>
      </c>
      <c r="C73" s="985"/>
      <c r="D73" s="986"/>
      <c r="E73" s="986"/>
      <c r="F73" s="986"/>
      <c r="G73" s="986"/>
      <c r="H73" s="986"/>
      <c r="I73" s="857">
        <f>+SUM(I74:I83)</f>
        <v>0</v>
      </c>
      <c r="J73" s="857">
        <f>+SUM(J74:J83)</f>
        <v>0</v>
      </c>
      <c r="K73" s="857">
        <f>+SUM(K74:K83)</f>
        <v>0</v>
      </c>
      <c r="L73" s="857">
        <f>+SUM(L74:L83)</f>
        <v>0</v>
      </c>
      <c r="M73" s="968"/>
    </row>
    <row r="74" spans="1:13">
      <c r="A74" s="968"/>
      <c r="B74" s="913" t="s">
        <v>2350</v>
      </c>
      <c r="C74" s="907" t="s">
        <v>11</v>
      </c>
      <c r="D74" s="986">
        <f>'Planteamiento Técnico'!$E$126*(D60+D61)</f>
        <v>0</v>
      </c>
      <c r="E74" s="986">
        <f>'Planteamiento Técnico'!$E$126*(E60+E61)</f>
        <v>0</v>
      </c>
      <c r="F74" s="986">
        <f>'Planteamiento Técnico'!$E$126*(F60+F61)</f>
        <v>0</v>
      </c>
      <c r="G74" s="986">
        <f>'Planteamiento Técnico'!$E$126*(G60+G61)</f>
        <v>0</v>
      </c>
      <c r="H74" s="987"/>
      <c r="I74" s="985">
        <f>+D74*$H$74</f>
        <v>0</v>
      </c>
      <c r="J74" s="985">
        <f>+E74*$H$74</f>
        <v>0</v>
      </c>
      <c r="K74" s="985">
        <f>+F74*$H$74</f>
        <v>0</v>
      </c>
      <c r="L74" s="985">
        <f>+G74*$H$74</f>
        <v>0</v>
      </c>
      <c r="M74" s="968"/>
    </row>
    <row r="75" spans="1:13" ht="25.5">
      <c r="A75" s="968"/>
      <c r="B75" s="913" t="s">
        <v>2351</v>
      </c>
      <c r="C75" s="907" t="s">
        <v>11</v>
      </c>
      <c r="D75" s="986">
        <f>'Planteamiento Técnico'!$E$127*(E60+E61)</f>
        <v>0</v>
      </c>
      <c r="E75" s="986">
        <f>'Planteamiento Técnico'!$E$127*(F60+F61)</f>
        <v>0</v>
      </c>
      <c r="F75" s="986">
        <f>'Planteamiento Técnico'!$E$127*(G60+G61)</f>
        <v>0</v>
      </c>
      <c r="G75" s="986">
        <f>'Planteamiento Técnico'!$E$127*(H60+H61)</f>
        <v>0</v>
      </c>
      <c r="H75" s="987"/>
      <c r="I75" s="985">
        <f>+D75*$H$75</f>
        <v>0</v>
      </c>
      <c r="J75" s="985">
        <f>+E75*$H$75</f>
        <v>0</v>
      </c>
      <c r="K75" s="985">
        <f>+F75*$H$75</f>
        <v>0</v>
      </c>
      <c r="L75" s="985">
        <f>+G75*$H$75</f>
        <v>0</v>
      </c>
      <c r="M75" s="968"/>
    </row>
    <row r="76" spans="1:13">
      <c r="A76" s="968"/>
      <c r="B76" s="913" t="s">
        <v>808</v>
      </c>
      <c r="C76" s="907" t="s">
        <v>11</v>
      </c>
      <c r="D76" s="986">
        <f>'Planteamiento Técnico'!$E$128*(E60+E61)</f>
        <v>0</v>
      </c>
      <c r="E76" s="986">
        <f>'Planteamiento Técnico'!$E$128*(F60+F61)</f>
        <v>0</v>
      </c>
      <c r="F76" s="986">
        <f>'Planteamiento Técnico'!$E$128*(G60+G61)</f>
        <v>0</v>
      </c>
      <c r="G76" s="986">
        <f>'Planteamiento Técnico'!$E$128*(H60+H61)</f>
        <v>0</v>
      </c>
      <c r="H76" s="987"/>
      <c r="I76" s="985">
        <f>+D76*$H$76</f>
        <v>0</v>
      </c>
      <c r="J76" s="985">
        <f>+E76*$H$76</f>
        <v>0</v>
      </c>
      <c r="K76" s="985">
        <f>+F76*$H$76</f>
        <v>0</v>
      </c>
      <c r="L76" s="985">
        <f>+G76*$H$76</f>
        <v>0</v>
      </c>
      <c r="M76" s="968"/>
    </row>
    <row r="77" spans="1:13">
      <c r="A77" s="968"/>
      <c r="B77" s="913" t="s">
        <v>230</v>
      </c>
      <c r="C77" s="907" t="s">
        <v>11</v>
      </c>
      <c r="D77" s="986">
        <f>'Planteamiento Técnico'!$E$129*(E60+E61)</f>
        <v>0</v>
      </c>
      <c r="E77" s="986">
        <f>'Planteamiento Técnico'!$E$129*(F60+F61)</f>
        <v>0</v>
      </c>
      <c r="F77" s="986">
        <f>'Planteamiento Técnico'!$E$129*(G60+G61)</f>
        <v>0</v>
      </c>
      <c r="G77" s="986">
        <f>'Planteamiento Técnico'!$E$129*(H60+H61)</f>
        <v>0</v>
      </c>
      <c r="H77" s="987"/>
      <c r="I77" s="985">
        <f>+D77*$H$77</f>
        <v>0</v>
      </c>
      <c r="J77" s="985">
        <f>+E77*$H$77</f>
        <v>0</v>
      </c>
      <c r="K77" s="985">
        <f>+F77*$H$77</f>
        <v>0</v>
      </c>
      <c r="L77" s="985">
        <f>+G77*$H$77</f>
        <v>0</v>
      </c>
      <c r="M77" s="968"/>
    </row>
    <row r="78" spans="1:13">
      <c r="A78" s="968"/>
      <c r="B78" s="913" t="s">
        <v>2069</v>
      </c>
      <c r="C78" s="907" t="s">
        <v>11</v>
      </c>
      <c r="D78" s="986">
        <f>'Planteamiento Técnico'!$E$130*(E60+E61)</f>
        <v>0</v>
      </c>
      <c r="E78" s="986">
        <f>'Planteamiento Técnico'!$E$130*(F60+F61)</f>
        <v>0</v>
      </c>
      <c r="F78" s="986">
        <f>'Planteamiento Técnico'!$E$130*(G60+G61)</f>
        <v>0</v>
      </c>
      <c r="G78" s="986">
        <f>'Planteamiento Técnico'!$E$130*(H60+H61)</f>
        <v>0</v>
      </c>
      <c r="H78" s="987"/>
      <c r="I78" s="985">
        <f>+D78*$H$78</f>
        <v>0</v>
      </c>
      <c r="J78" s="985">
        <f>+E78*$H$78</f>
        <v>0</v>
      </c>
      <c r="K78" s="985">
        <f>+F78*$H$78</f>
        <v>0</v>
      </c>
      <c r="L78" s="985">
        <f>+G78*$H$78</f>
        <v>0</v>
      </c>
      <c r="M78" s="968"/>
    </row>
    <row r="79" spans="1:13">
      <c r="A79" s="968"/>
      <c r="B79" s="913" t="s">
        <v>2070</v>
      </c>
      <c r="C79" s="907" t="s">
        <v>11</v>
      </c>
      <c r="D79" s="986">
        <f>'Planteamiento Técnico'!$E$131*(E60+E61)</f>
        <v>0</v>
      </c>
      <c r="E79" s="986">
        <f>'Planteamiento Técnico'!$E$131*(F60+F61)</f>
        <v>0</v>
      </c>
      <c r="F79" s="986">
        <f>'Planteamiento Técnico'!$E$131*(G60+G61)</f>
        <v>0</v>
      </c>
      <c r="G79" s="986">
        <f>'Planteamiento Técnico'!$E$131*(H60+H61)</f>
        <v>0</v>
      </c>
      <c r="H79" s="987"/>
      <c r="I79" s="985">
        <f>+D79*$H$79</f>
        <v>0</v>
      </c>
      <c r="J79" s="985">
        <f>+E79*$H$79</f>
        <v>0</v>
      </c>
      <c r="K79" s="985">
        <f>+F79*$H$79</f>
        <v>0</v>
      </c>
      <c r="L79" s="985">
        <f>+G79*$H$79</f>
        <v>0</v>
      </c>
      <c r="M79" s="968"/>
    </row>
    <row r="80" spans="1:13">
      <c r="A80" s="968"/>
      <c r="B80" s="913" t="s">
        <v>233</v>
      </c>
      <c r="C80" s="907" t="s">
        <v>11</v>
      </c>
      <c r="D80" s="986">
        <f>'Planteamiento Técnico'!$E$132*(E60+E61)</f>
        <v>0</v>
      </c>
      <c r="E80" s="986">
        <f>'Planteamiento Técnico'!$E$132*(F60+F61)</f>
        <v>0</v>
      </c>
      <c r="F80" s="986">
        <f>'Planteamiento Técnico'!$E$132*(G60+G61)</f>
        <v>0</v>
      </c>
      <c r="G80" s="986">
        <f>'Planteamiento Técnico'!$E$132*(H60+H61)</f>
        <v>0</v>
      </c>
      <c r="H80" s="987"/>
      <c r="I80" s="985">
        <f>+D80*$H$80</f>
        <v>0</v>
      </c>
      <c r="J80" s="985">
        <f>+E80*$H$80</f>
        <v>0</v>
      </c>
      <c r="K80" s="985">
        <f>+F80*$H$80</f>
        <v>0</v>
      </c>
      <c r="L80" s="985">
        <f>+G80*$H$80</f>
        <v>0</v>
      </c>
      <c r="M80" s="968"/>
    </row>
    <row r="81" spans="1:13">
      <c r="A81" s="968"/>
      <c r="B81" s="913" t="s">
        <v>809</v>
      </c>
      <c r="C81" s="907" t="s">
        <v>11</v>
      </c>
      <c r="D81" s="986">
        <f>'Planteamiento Técnico'!$E$133*(E60+E61)</f>
        <v>0</v>
      </c>
      <c r="E81" s="986">
        <f>'Planteamiento Técnico'!$E$133*(F60+F61)</f>
        <v>0</v>
      </c>
      <c r="F81" s="986">
        <f>'Planteamiento Técnico'!$E$133*(G60+G61)</f>
        <v>0</v>
      </c>
      <c r="G81" s="986">
        <f>'Planteamiento Técnico'!$E$133*(H60+H61)</f>
        <v>0</v>
      </c>
      <c r="H81" s="987"/>
      <c r="I81" s="985">
        <f>+D81*$H$81</f>
        <v>0</v>
      </c>
      <c r="J81" s="985">
        <f>+E81*$H$81</f>
        <v>0</v>
      </c>
      <c r="K81" s="985">
        <f>+F81*$H$81</f>
        <v>0</v>
      </c>
      <c r="L81" s="985">
        <f>+G81*$H$81</f>
        <v>0</v>
      </c>
      <c r="M81" s="968"/>
    </row>
    <row r="82" spans="1:13">
      <c r="A82" s="968"/>
      <c r="B82" s="913" t="s">
        <v>263</v>
      </c>
      <c r="C82" s="907" t="s">
        <v>11</v>
      </c>
      <c r="D82" s="986">
        <f>'Planteamiento Técnico'!$E$134*(E60+E61)</f>
        <v>0</v>
      </c>
      <c r="E82" s="986">
        <f>'Planteamiento Técnico'!$E$134*(F60+F61)</f>
        <v>0</v>
      </c>
      <c r="F82" s="986">
        <f>'Planteamiento Técnico'!$E$134*(G60+G61)</f>
        <v>0</v>
      </c>
      <c r="G82" s="986">
        <f>'Planteamiento Técnico'!$E$134*(H60+H61)</f>
        <v>0</v>
      </c>
      <c r="H82" s="987"/>
      <c r="I82" s="985">
        <f>+D82*$H$82</f>
        <v>0</v>
      </c>
      <c r="J82" s="985">
        <f>+E82*$H$82</f>
        <v>0</v>
      </c>
      <c r="K82" s="985">
        <f>+F82*$H$82</f>
        <v>0</v>
      </c>
      <c r="L82" s="985">
        <f>+G82*$H$82</f>
        <v>0</v>
      </c>
      <c r="M82" s="968"/>
    </row>
    <row r="83" spans="1:13">
      <c r="A83" s="968"/>
      <c r="B83" s="913" t="s">
        <v>234</v>
      </c>
      <c r="C83" s="907" t="s">
        <v>11</v>
      </c>
      <c r="D83" s="986">
        <f>'Planteamiento Técnico'!$E$135*(E60+E61)</f>
        <v>0</v>
      </c>
      <c r="E83" s="986">
        <f>'Planteamiento Técnico'!$E$135*(F60+F61)</f>
        <v>0</v>
      </c>
      <c r="F83" s="986">
        <f>'Planteamiento Técnico'!$E$135*(G60+G61)</f>
        <v>0</v>
      </c>
      <c r="G83" s="986">
        <f>'Planteamiento Técnico'!$E$135*(H60+H61)</f>
        <v>0</v>
      </c>
      <c r="H83" s="987"/>
      <c r="I83" s="985">
        <f>+D83*$H$83</f>
        <v>0</v>
      </c>
      <c r="J83" s="985">
        <f>+E83*$H$83</f>
        <v>0</v>
      </c>
      <c r="K83" s="985">
        <f>+F83*$H$83</f>
        <v>0</v>
      </c>
      <c r="L83" s="985">
        <f>+G83*$H$83</f>
        <v>0</v>
      </c>
      <c r="M83" s="968"/>
    </row>
    <row r="84" spans="1:13">
      <c r="A84" s="968"/>
      <c r="B84" s="984" t="s">
        <v>2352</v>
      </c>
      <c r="C84" s="985"/>
      <c r="D84" s="986"/>
      <c r="E84" s="986"/>
      <c r="F84" s="986"/>
      <c r="G84" s="986"/>
      <c r="H84" s="986"/>
      <c r="I84" s="857">
        <f>+SUM(I85:I86)</f>
        <v>0</v>
      </c>
      <c r="J84" s="857">
        <f>+SUM(J85:J86)</f>
        <v>0</v>
      </c>
      <c r="K84" s="857">
        <f>+SUM(K85:K86)</f>
        <v>0</v>
      </c>
      <c r="L84" s="857">
        <f>+SUM(L85:L86)</f>
        <v>0</v>
      </c>
      <c r="M84" s="968"/>
    </row>
    <row r="85" spans="1:13">
      <c r="A85" s="968"/>
      <c r="B85" s="916" t="s">
        <v>2353</v>
      </c>
      <c r="C85" s="985" t="s">
        <v>864</v>
      </c>
      <c r="D85" s="986">
        <v>12</v>
      </c>
      <c r="E85" s="986">
        <v>12</v>
      </c>
      <c r="F85" s="986">
        <v>12</v>
      </c>
      <c r="G85" s="986">
        <v>12</v>
      </c>
      <c r="H85" s="987"/>
      <c r="I85" s="985">
        <f>+D85*$H$85</f>
        <v>0</v>
      </c>
      <c r="J85" s="985">
        <f>+E85*$H$85</f>
        <v>0</v>
      </c>
      <c r="K85" s="985">
        <f>+F85*$H$85</f>
        <v>0</v>
      </c>
      <c r="L85" s="985">
        <f>+G85*$H$85</f>
        <v>0</v>
      </c>
      <c r="M85" s="968"/>
    </row>
    <row r="86" spans="1:13" ht="18" customHeight="1">
      <c r="A86" s="968"/>
      <c r="B86" s="916" t="s">
        <v>2360</v>
      </c>
      <c r="C86" s="985" t="s">
        <v>2336</v>
      </c>
      <c r="D86" s="987"/>
      <c r="E86" s="987"/>
      <c r="F86" s="987"/>
      <c r="G86" s="987"/>
      <c r="H86" s="987"/>
      <c r="I86" s="985">
        <f>+D86*$H$86</f>
        <v>0</v>
      </c>
      <c r="J86" s="985">
        <f>+E86*$H$86</f>
        <v>0</v>
      </c>
      <c r="K86" s="985">
        <f>+F86*$H$86</f>
        <v>0</v>
      </c>
      <c r="L86" s="985">
        <f>+G86*$H$86</f>
        <v>0</v>
      </c>
      <c r="M86" s="968"/>
    </row>
    <row r="87" spans="1:13">
      <c r="A87" s="968"/>
      <c r="B87" s="984" t="s">
        <v>2361</v>
      </c>
      <c r="C87" s="985"/>
      <c r="D87" s="986"/>
      <c r="E87" s="986"/>
      <c r="F87" s="986"/>
      <c r="G87" s="986"/>
      <c r="H87" s="986"/>
      <c r="I87" s="857">
        <f>+SUM(I88:I88)</f>
        <v>0</v>
      </c>
      <c r="J87" s="857">
        <f>+SUM(J88:J88)</f>
        <v>0</v>
      </c>
      <c r="K87" s="857">
        <f>+SUM(K88:K88)</f>
        <v>0</v>
      </c>
      <c r="L87" s="857">
        <f>+SUM(L88:L88)</f>
        <v>0</v>
      </c>
      <c r="M87" s="968"/>
    </row>
    <row r="88" spans="1:13">
      <c r="A88" s="968"/>
      <c r="B88" s="916" t="s">
        <v>2362</v>
      </c>
      <c r="C88" s="985" t="s">
        <v>2363</v>
      </c>
      <c r="D88" s="986" t="b">
        <f>'Planteamiento Técnico'!D112</f>
        <v>0</v>
      </c>
      <c r="E88" s="986" t="b">
        <f>'Planteamiento Técnico'!E112</f>
        <v>0</v>
      </c>
      <c r="F88" s="986" t="b">
        <f>'Planteamiento Técnico'!F112</f>
        <v>0</v>
      </c>
      <c r="G88" s="986" t="b">
        <f>'Planteamiento Técnico'!G112</f>
        <v>0</v>
      </c>
      <c r="H88" s="987"/>
      <c r="I88" s="985">
        <f>+D88*$H$88</f>
        <v>0</v>
      </c>
      <c r="J88" s="985">
        <f>+E88*$H$88</f>
        <v>0</v>
      </c>
      <c r="K88" s="985">
        <f>+F88*$H$88</f>
        <v>0</v>
      </c>
      <c r="L88" s="985">
        <f>+G88*$H$88</f>
        <v>0</v>
      </c>
      <c r="M88" s="968"/>
    </row>
    <row r="89" spans="1:13">
      <c r="A89" s="968"/>
      <c r="B89" s="989"/>
      <c r="C89" s="990"/>
      <c r="D89" s="991"/>
      <c r="E89" s="991"/>
      <c r="F89" s="991"/>
      <c r="G89" s="991"/>
      <c r="H89" s="991"/>
      <c r="I89" s="990"/>
      <c r="J89" s="990"/>
      <c r="K89" s="990"/>
      <c r="L89" s="990"/>
      <c r="M89" s="968"/>
    </row>
    <row r="90" spans="1:13">
      <c r="A90" s="968"/>
      <c r="B90" s="968"/>
      <c r="M90" s="968"/>
    </row>
    <row r="91" spans="1:13">
      <c r="A91" s="1931" t="s">
        <v>2354</v>
      </c>
      <c r="B91" s="1931"/>
      <c r="M91" s="968"/>
    </row>
    <row r="92" spans="1:13">
      <c r="A92" s="968"/>
      <c r="B92" s="968"/>
      <c r="M92" s="968"/>
    </row>
    <row r="93" spans="1:13" ht="51">
      <c r="A93" s="968"/>
      <c r="B93" s="578" t="s">
        <v>7</v>
      </c>
      <c r="C93" s="578" t="s">
        <v>11</v>
      </c>
      <c r="D93" s="578" t="s">
        <v>2309</v>
      </c>
      <c r="E93" s="578" t="s">
        <v>2310</v>
      </c>
      <c r="F93" s="578" t="s">
        <v>2311</v>
      </c>
      <c r="G93" s="578" t="s">
        <v>2312</v>
      </c>
      <c r="H93" s="578" t="s">
        <v>3270</v>
      </c>
      <c r="I93" s="578" t="s">
        <v>2330</v>
      </c>
      <c r="J93" s="578" t="s">
        <v>2331</v>
      </c>
      <c r="K93" s="578" t="s">
        <v>2332</v>
      </c>
      <c r="L93" s="578" t="s">
        <v>2333</v>
      </c>
      <c r="M93" s="968"/>
    </row>
    <row r="94" spans="1:13">
      <c r="A94" s="968"/>
      <c r="B94" s="984" t="s">
        <v>2355</v>
      </c>
      <c r="C94" s="985"/>
      <c r="D94" s="986"/>
      <c r="E94" s="986"/>
      <c r="F94" s="986"/>
      <c r="G94" s="986"/>
      <c r="H94" s="986"/>
      <c r="I94" s="857">
        <f>+I95</f>
        <v>0</v>
      </c>
      <c r="J94" s="857">
        <f>+J95</f>
        <v>0</v>
      </c>
      <c r="K94" s="857">
        <f>+K95</f>
        <v>0</v>
      </c>
      <c r="L94" s="857">
        <f>+L95</f>
        <v>0</v>
      </c>
      <c r="M94" s="968"/>
    </row>
    <row r="95" spans="1:13">
      <c r="A95" s="968"/>
      <c r="B95" s="913" t="s">
        <v>298</v>
      </c>
      <c r="C95" s="985" t="s">
        <v>12</v>
      </c>
      <c r="D95" s="987"/>
      <c r="E95" s="987"/>
      <c r="F95" s="987"/>
      <c r="G95" s="987"/>
      <c r="H95" s="987"/>
      <c r="I95" s="985">
        <f>+D95*$H$95</f>
        <v>0</v>
      </c>
      <c r="J95" s="985">
        <f>+E95*$H$95</f>
        <v>0</v>
      </c>
      <c r="K95" s="985">
        <f>+F95*$H$95</f>
        <v>0</v>
      </c>
      <c r="L95" s="985">
        <f>+G95*$H$95</f>
        <v>0</v>
      </c>
      <c r="M95" s="968"/>
    </row>
    <row r="96" spans="1:13">
      <c r="A96" s="968"/>
      <c r="B96" s="984" t="s">
        <v>2356</v>
      </c>
      <c r="C96" s="985"/>
      <c r="D96" s="986"/>
      <c r="E96" s="986"/>
      <c r="F96" s="986"/>
      <c r="G96" s="986"/>
      <c r="H96" s="986"/>
      <c r="I96" s="857">
        <f>SUM(I97:I99)</f>
        <v>0</v>
      </c>
      <c r="J96" s="857">
        <f>SUM(J97:J99)</f>
        <v>0</v>
      </c>
      <c r="K96" s="857">
        <f>SUM(K97:K99)</f>
        <v>0</v>
      </c>
      <c r="L96" s="857">
        <f>SUM(L97:L99)</f>
        <v>0</v>
      </c>
      <c r="M96" s="968"/>
    </row>
    <row r="97" spans="1:13">
      <c r="A97" s="968"/>
      <c r="B97" s="913" t="s">
        <v>2357</v>
      </c>
      <c r="C97" s="985" t="s">
        <v>2336</v>
      </c>
      <c r="D97" s="996">
        <f>'Planteamiento Técnico'!D68</f>
        <v>0</v>
      </c>
      <c r="E97" s="996">
        <f>'Planteamiento Técnico'!E68</f>
        <v>0</v>
      </c>
      <c r="F97" s="996">
        <f>'Planteamiento Técnico'!F68</f>
        <v>0</v>
      </c>
      <c r="G97" s="996">
        <f>'Planteamiento Técnico'!G68</f>
        <v>0</v>
      </c>
      <c r="H97" s="987"/>
      <c r="I97" s="985">
        <f>+D97*$H$97</f>
        <v>0</v>
      </c>
      <c r="J97" s="985">
        <f>+E97*$H$97</f>
        <v>0</v>
      </c>
      <c r="K97" s="985">
        <f>+F97*$H$97</f>
        <v>0</v>
      </c>
      <c r="L97" s="985">
        <f>+G97*$H$97</f>
        <v>0</v>
      </c>
      <c r="M97" s="968"/>
    </row>
    <row r="98" spans="1:13">
      <c r="A98" s="968"/>
      <c r="B98" s="913" t="s">
        <v>2419</v>
      </c>
      <c r="C98" s="985" t="s">
        <v>2336</v>
      </c>
      <c r="D98" s="996">
        <f>'Planteamiento Técnico'!D69</f>
        <v>0</v>
      </c>
      <c r="E98" s="996">
        <f>'Planteamiento Técnico'!E69</f>
        <v>0</v>
      </c>
      <c r="F98" s="996">
        <f>'Planteamiento Técnico'!F69</f>
        <v>0</v>
      </c>
      <c r="G98" s="996">
        <f>'Planteamiento Técnico'!G69</f>
        <v>0</v>
      </c>
      <c r="H98" s="987"/>
      <c r="I98" s="985">
        <f>+D98*$H$98</f>
        <v>0</v>
      </c>
      <c r="J98" s="985">
        <f>+E98*$H$98</f>
        <v>0</v>
      </c>
      <c r="K98" s="985">
        <f>+F98*$H$98</f>
        <v>0</v>
      </c>
      <c r="L98" s="985">
        <f>+G98*$H$98</f>
        <v>0</v>
      </c>
      <c r="M98" s="968"/>
    </row>
    <row r="99" spans="1:13">
      <c r="A99" s="968"/>
      <c r="B99" s="913" t="s">
        <v>2364</v>
      </c>
      <c r="C99" s="985" t="s">
        <v>2336</v>
      </c>
      <c r="D99" s="928" t="b">
        <f>'Planteamiento Técnico'!D112</f>
        <v>0</v>
      </c>
      <c r="E99" s="928" t="b">
        <f>'Planteamiento Técnico'!E112</f>
        <v>0</v>
      </c>
      <c r="F99" s="928" t="b">
        <f>'Planteamiento Técnico'!F112</f>
        <v>0</v>
      </c>
      <c r="G99" s="928" t="b">
        <f>'Planteamiento Técnico'!G112</f>
        <v>0</v>
      </c>
      <c r="H99" s="987"/>
      <c r="I99" s="985">
        <f>+D99*$H$99</f>
        <v>0</v>
      </c>
      <c r="J99" s="985">
        <f>+E99*$H$99</f>
        <v>0</v>
      </c>
      <c r="K99" s="985">
        <f>+F99*$H$99</f>
        <v>0</v>
      </c>
      <c r="L99" s="985">
        <f>+G99*$H$99</f>
        <v>0</v>
      </c>
      <c r="M99" s="968"/>
    </row>
    <row r="100" spans="1:13">
      <c r="A100" s="968"/>
      <c r="B100" s="968"/>
      <c r="M100" s="968"/>
    </row>
    <row r="101" spans="1:13">
      <c r="A101" s="1932" t="s">
        <v>2365</v>
      </c>
      <c r="B101" s="1932"/>
      <c r="C101" s="1932"/>
      <c r="D101" s="1932"/>
      <c r="E101" s="1932"/>
      <c r="F101" s="1932"/>
      <c r="G101" s="1932"/>
      <c r="H101" s="1932"/>
      <c r="I101" s="1932"/>
      <c r="J101" s="1932"/>
      <c r="K101" s="1932"/>
      <c r="L101" s="1932"/>
      <c r="M101" s="968"/>
    </row>
    <row r="102" spans="1:13">
      <c r="A102" s="968"/>
      <c r="B102" s="968"/>
      <c r="M102" s="968"/>
    </row>
    <row r="103" spans="1:13">
      <c r="A103" s="1931" t="s">
        <v>2340</v>
      </c>
      <c r="B103" s="1931"/>
      <c r="C103" s="1942" t="s">
        <v>2420</v>
      </c>
      <c r="D103" s="1942"/>
      <c r="E103" s="1942"/>
      <c r="F103" s="1942"/>
      <c r="G103" s="1942"/>
      <c r="H103" s="1942"/>
      <c r="I103" s="1942"/>
      <c r="J103" s="1942"/>
      <c r="K103" s="1942"/>
      <c r="L103" s="1942"/>
      <c r="M103" s="968"/>
    </row>
    <row r="104" spans="1:13">
      <c r="A104" s="968"/>
      <c r="B104" s="968"/>
      <c r="M104" s="968"/>
    </row>
    <row r="105" spans="1:13" ht="51">
      <c r="A105" s="968"/>
      <c r="B105" s="578" t="s">
        <v>7</v>
      </c>
      <c r="C105" s="578" t="s">
        <v>11</v>
      </c>
      <c r="D105" s="578" t="s">
        <v>2309</v>
      </c>
      <c r="E105" s="578" t="s">
        <v>2310</v>
      </c>
      <c r="F105" s="578" t="s">
        <v>2311</v>
      </c>
      <c r="G105" s="578" t="s">
        <v>2312</v>
      </c>
      <c r="H105" s="578" t="s">
        <v>3270</v>
      </c>
      <c r="I105" s="578" t="s">
        <v>2330</v>
      </c>
      <c r="J105" s="578" t="s">
        <v>2331</v>
      </c>
      <c r="K105" s="578" t="s">
        <v>2332</v>
      </c>
      <c r="L105" s="578" t="s">
        <v>2333</v>
      </c>
      <c r="M105" s="968"/>
    </row>
    <row r="106" spans="1:13">
      <c r="A106" s="968"/>
      <c r="B106" s="984" t="s">
        <v>206</v>
      </c>
      <c r="C106" s="907"/>
      <c r="D106" s="907"/>
      <c r="E106" s="907"/>
      <c r="F106" s="907"/>
      <c r="G106" s="907"/>
      <c r="H106" s="907"/>
      <c r="I106" s="857">
        <f>+I107+I108</f>
        <v>0</v>
      </c>
      <c r="J106" s="857">
        <f>+J107+J108</f>
        <v>0</v>
      </c>
      <c r="K106" s="857">
        <f>+K107+K108</f>
        <v>0</v>
      </c>
      <c r="L106" s="857">
        <f>+L107+L108</f>
        <v>0</v>
      </c>
      <c r="M106" s="968"/>
    </row>
    <row r="107" spans="1:13">
      <c r="A107" s="968"/>
      <c r="B107" s="913" t="s">
        <v>208</v>
      </c>
      <c r="C107" s="985" t="s">
        <v>2344</v>
      </c>
      <c r="D107" s="935">
        <f>'Planteamiento Técnico'!D207</f>
        <v>0</v>
      </c>
      <c r="E107" s="935">
        <f t="shared" ref="E107:G108" si="0">D107</f>
        <v>0</v>
      </c>
      <c r="F107" s="935">
        <f t="shared" si="0"/>
        <v>0</v>
      </c>
      <c r="G107" s="935">
        <f t="shared" si="0"/>
        <v>0</v>
      </c>
      <c r="H107" s="987"/>
      <c r="I107" s="985">
        <f>+D107*$H$107</f>
        <v>0</v>
      </c>
      <c r="J107" s="985">
        <f>+E107*$H$107</f>
        <v>0</v>
      </c>
      <c r="K107" s="985">
        <f>+F107*$H$107</f>
        <v>0</v>
      </c>
      <c r="L107" s="985">
        <f>+G107*$H$107</f>
        <v>0</v>
      </c>
      <c r="M107" s="968"/>
    </row>
    <row r="108" spans="1:13">
      <c r="A108" s="968"/>
      <c r="B108" s="913" t="s">
        <v>224</v>
      </c>
      <c r="C108" s="985" t="s">
        <v>2366</v>
      </c>
      <c r="D108" s="935">
        <f>'Planteamiento Técnico'!D204</f>
        <v>0</v>
      </c>
      <c r="E108" s="935">
        <f t="shared" si="0"/>
        <v>0</v>
      </c>
      <c r="F108" s="935">
        <f t="shared" si="0"/>
        <v>0</v>
      </c>
      <c r="G108" s="935">
        <f t="shared" si="0"/>
        <v>0</v>
      </c>
      <c r="H108" s="987"/>
      <c r="I108" s="985">
        <f>+D108*$H$108</f>
        <v>0</v>
      </c>
      <c r="J108" s="985">
        <f>+E108*$H$108</f>
        <v>0</v>
      </c>
      <c r="K108" s="985">
        <f>+F108*$H$108</f>
        <v>0</v>
      </c>
      <c r="L108" s="985">
        <f>+G108*$H$108</f>
        <v>0</v>
      </c>
      <c r="M108" s="968"/>
    </row>
    <row r="109" spans="1:13">
      <c r="A109" s="968"/>
      <c r="B109" s="984" t="s">
        <v>2367</v>
      </c>
      <c r="C109" s="985"/>
      <c r="D109" s="986"/>
      <c r="E109" s="986"/>
      <c r="F109" s="986"/>
      <c r="G109" s="986"/>
      <c r="H109" s="986"/>
      <c r="I109" s="857">
        <f>SUM(I110:I117)</f>
        <v>0</v>
      </c>
      <c r="J109" s="857">
        <f>SUM(J110:J117)</f>
        <v>0</v>
      </c>
      <c r="K109" s="857">
        <f>SUM(K110:K117)</f>
        <v>0</v>
      </c>
      <c r="L109" s="857">
        <f>SUM(L110:L117)</f>
        <v>0</v>
      </c>
      <c r="M109" s="968"/>
    </row>
    <row r="110" spans="1:13">
      <c r="A110" s="968"/>
      <c r="B110" s="994" t="str">
        <f>'Planteamiento Técnico'!B211</f>
        <v>Escobas de paja</v>
      </c>
      <c r="C110" s="907" t="s">
        <v>11</v>
      </c>
      <c r="D110" s="928">
        <f>'Planteamiento Técnico'!G211</f>
        <v>0</v>
      </c>
      <c r="E110" s="928">
        <f>D110</f>
        <v>0</v>
      </c>
      <c r="F110" s="928">
        <f>E110</f>
        <v>0</v>
      </c>
      <c r="G110" s="928">
        <f>F110</f>
        <v>0</v>
      </c>
      <c r="H110" s="987"/>
      <c r="I110" s="985">
        <f>+D110*$H$110</f>
        <v>0</v>
      </c>
      <c r="J110" s="985">
        <f>+E110*$H$110</f>
        <v>0</v>
      </c>
      <c r="K110" s="985">
        <f>+F110*$H$110</f>
        <v>0</v>
      </c>
      <c r="L110" s="985">
        <f>+G110*$H$110</f>
        <v>0</v>
      </c>
      <c r="M110" s="968"/>
    </row>
    <row r="111" spans="1:13">
      <c r="A111" s="968"/>
      <c r="B111" s="994" t="str">
        <f>'Planteamiento Técnico'!B212</f>
        <v>Manta de nylon</v>
      </c>
      <c r="C111" s="907" t="s">
        <v>11</v>
      </c>
      <c r="D111" s="928">
        <f>'Planteamiento Técnico'!G212</f>
        <v>0</v>
      </c>
      <c r="E111" s="928">
        <f t="shared" ref="E111:G117" si="1">D111</f>
        <v>0</v>
      </c>
      <c r="F111" s="928">
        <f t="shared" si="1"/>
        <v>0</v>
      </c>
      <c r="G111" s="928">
        <f t="shared" si="1"/>
        <v>0</v>
      </c>
      <c r="H111" s="987"/>
      <c r="I111" s="985">
        <f>+D111*$H$111</f>
        <v>0</v>
      </c>
      <c r="J111" s="985">
        <f>+E111*$H$111</f>
        <v>0</v>
      </c>
      <c r="K111" s="985">
        <f>+F111*$H$111</f>
        <v>0</v>
      </c>
      <c r="L111" s="985">
        <f>+G111*$H$111</f>
        <v>0</v>
      </c>
      <c r="M111" s="968"/>
    </row>
    <row r="112" spans="1:13">
      <c r="A112" s="968"/>
      <c r="B112" s="994" t="str">
        <f>'Planteamiento Técnico'!B213</f>
        <v>Pala cuchara</v>
      </c>
      <c r="C112" s="907" t="s">
        <v>11</v>
      </c>
      <c r="D112" s="928">
        <f>'Planteamiento Técnico'!G213</f>
        <v>0</v>
      </c>
      <c r="E112" s="928">
        <f t="shared" si="1"/>
        <v>0</v>
      </c>
      <c r="F112" s="928">
        <f t="shared" si="1"/>
        <v>0</v>
      </c>
      <c r="G112" s="928">
        <f t="shared" si="1"/>
        <v>0</v>
      </c>
      <c r="H112" s="987"/>
      <c r="I112" s="985">
        <f>+D112*$H$112</f>
        <v>0</v>
      </c>
      <c r="J112" s="985">
        <f>+E112*$H$112</f>
        <v>0</v>
      </c>
      <c r="K112" s="985">
        <f>+F112*$H$112</f>
        <v>0</v>
      </c>
      <c r="L112" s="985">
        <f>+G112*$H$112</f>
        <v>0</v>
      </c>
      <c r="M112" s="968"/>
    </row>
    <row r="113" spans="1:13">
      <c r="A113" s="968"/>
      <c r="B113" s="994" t="str">
        <f>'Planteamiento Técnico'!B214</f>
        <v>Zapas</v>
      </c>
      <c r="C113" s="907" t="s">
        <v>11</v>
      </c>
      <c r="D113" s="928">
        <f>'Planteamiento Técnico'!G214</f>
        <v>0</v>
      </c>
      <c r="E113" s="928">
        <f t="shared" si="1"/>
        <v>0</v>
      </c>
      <c r="F113" s="928">
        <f t="shared" si="1"/>
        <v>0</v>
      </c>
      <c r="G113" s="928">
        <f t="shared" si="1"/>
        <v>0</v>
      </c>
      <c r="H113" s="987"/>
      <c r="I113" s="985">
        <f>+D113*$H$113</f>
        <v>0</v>
      </c>
      <c r="J113" s="985">
        <f>+E113*$H$113</f>
        <v>0</v>
      </c>
      <c r="K113" s="985">
        <f>+F113*$H$113</f>
        <v>0</v>
      </c>
      <c r="L113" s="985">
        <f>+G113*$H$113</f>
        <v>0</v>
      </c>
      <c r="M113" s="968"/>
    </row>
    <row r="114" spans="1:13">
      <c r="A114" s="968"/>
      <c r="B114" s="994" t="str">
        <f>'Planteamiento Técnico'!B215</f>
        <v xml:space="preserve">Rastrillos </v>
      </c>
      <c r="C114" s="907" t="s">
        <v>11</v>
      </c>
      <c r="D114" s="928">
        <f>'Planteamiento Técnico'!G215</f>
        <v>0</v>
      </c>
      <c r="E114" s="928">
        <f t="shared" si="1"/>
        <v>0</v>
      </c>
      <c r="F114" s="928">
        <f t="shared" si="1"/>
        <v>0</v>
      </c>
      <c r="G114" s="928">
        <f t="shared" si="1"/>
        <v>0</v>
      </c>
      <c r="H114" s="987"/>
      <c r="I114" s="985">
        <f>+D114*$H$114</f>
        <v>0</v>
      </c>
      <c r="J114" s="985">
        <f>+E114*$H$114</f>
        <v>0</v>
      </c>
      <c r="K114" s="985">
        <f>+F114*$H$114</f>
        <v>0</v>
      </c>
      <c r="L114" s="985">
        <f>+G114*$H$114</f>
        <v>0</v>
      </c>
      <c r="M114" s="968"/>
    </row>
    <row r="115" spans="1:13" ht="25.5">
      <c r="A115" s="968"/>
      <c r="B115" s="994" t="str">
        <f>'Planteamiento Técnico'!B216</f>
        <v>Conos de Seguridad color naranja fosforescente</v>
      </c>
      <c r="C115" s="907" t="s">
        <v>11</v>
      </c>
      <c r="D115" s="928">
        <f>'Planteamiento Técnico'!G216</f>
        <v>0</v>
      </c>
      <c r="E115" s="928">
        <f t="shared" si="1"/>
        <v>0</v>
      </c>
      <c r="F115" s="928">
        <f t="shared" si="1"/>
        <v>0</v>
      </c>
      <c r="G115" s="928">
        <f t="shared" si="1"/>
        <v>0</v>
      </c>
      <c r="H115" s="987"/>
      <c r="I115" s="985">
        <f>+D115*$H$115</f>
        <v>0</v>
      </c>
      <c r="J115" s="985">
        <f t="shared" ref="J115:L116" si="2">+E115*$H$115</f>
        <v>0</v>
      </c>
      <c r="K115" s="985">
        <f t="shared" si="2"/>
        <v>0</v>
      </c>
      <c r="L115" s="985">
        <f t="shared" si="2"/>
        <v>0</v>
      </c>
      <c r="M115" s="968"/>
    </row>
    <row r="116" spans="1:13">
      <c r="A116" s="968"/>
      <c r="B116" s="994" t="str">
        <f>'Planteamiento Técnico'!B217</f>
        <v>Botiquín</v>
      </c>
      <c r="C116" s="907" t="s">
        <v>11</v>
      </c>
      <c r="D116" s="928">
        <f>'Planteamiento Técnico'!G217</f>
        <v>0</v>
      </c>
      <c r="E116" s="928">
        <f t="shared" si="1"/>
        <v>0</v>
      </c>
      <c r="F116" s="928">
        <f t="shared" si="1"/>
        <v>0</v>
      </c>
      <c r="G116" s="928">
        <f t="shared" si="1"/>
        <v>0</v>
      </c>
      <c r="H116" s="987"/>
      <c r="I116" s="985">
        <f>+D116*$H$115</f>
        <v>0</v>
      </c>
      <c r="J116" s="985">
        <f t="shared" si="2"/>
        <v>0</v>
      </c>
      <c r="K116" s="985">
        <f t="shared" si="2"/>
        <v>0</v>
      </c>
      <c r="L116" s="985">
        <f t="shared" si="2"/>
        <v>0</v>
      </c>
      <c r="M116" s="968"/>
    </row>
    <row r="117" spans="1:13">
      <c r="A117" s="968"/>
      <c r="B117" s="994" t="str">
        <f>'Planteamiento Técnico'!B218</f>
        <v>Extintor</v>
      </c>
      <c r="C117" s="907" t="s">
        <v>11</v>
      </c>
      <c r="D117" s="928">
        <f>'Planteamiento Técnico'!G218</f>
        <v>0</v>
      </c>
      <c r="E117" s="928">
        <f t="shared" si="1"/>
        <v>0</v>
      </c>
      <c r="F117" s="928">
        <f t="shared" si="1"/>
        <v>0</v>
      </c>
      <c r="G117" s="928">
        <f t="shared" si="1"/>
        <v>0</v>
      </c>
      <c r="H117" s="987"/>
      <c r="I117" s="985">
        <f>+D117*$H$117</f>
        <v>0</v>
      </c>
      <c r="J117" s="985">
        <f>+E117*$H$117</f>
        <v>0</v>
      </c>
      <c r="K117" s="985">
        <f>+F117*$H$117</f>
        <v>0</v>
      </c>
      <c r="L117" s="985">
        <f>+G117*$H$117</f>
        <v>0</v>
      </c>
      <c r="M117" s="968"/>
    </row>
    <row r="118" spans="1:13">
      <c r="A118" s="968"/>
      <c r="B118" s="984" t="s">
        <v>2347</v>
      </c>
      <c r="C118" s="985"/>
      <c r="D118" s="986"/>
      <c r="E118" s="986"/>
      <c r="F118" s="986"/>
      <c r="G118" s="986"/>
      <c r="H118" s="986"/>
      <c r="I118" s="857">
        <f>+SUM(I119:I120)</f>
        <v>0</v>
      </c>
      <c r="J118" s="857">
        <f>+SUM(J119:J120)</f>
        <v>0</v>
      </c>
      <c r="K118" s="857">
        <f>+SUM(K119:K120)</f>
        <v>0</v>
      </c>
      <c r="L118" s="857">
        <f>+SUM(L119:L120)</f>
        <v>0</v>
      </c>
      <c r="M118" s="968"/>
    </row>
    <row r="119" spans="1:13">
      <c r="A119" s="968"/>
      <c r="B119" s="913" t="s">
        <v>205</v>
      </c>
      <c r="C119" s="907" t="s">
        <v>12</v>
      </c>
      <c r="D119" s="986">
        <f>(D108+D107)*12</f>
        <v>0</v>
      </c>
      <c r="E119" s="986">
        <f t="shared" ref="E119:G120" si="3">D119</f>
        <v>0</v>
      </c>
      <c r="F119" s="986">
        <f t="shared" si="3"/>
        <v>0</v>
      </c>
      <c r="G119" s="986">
        <f t="shared" si="3"/>
        <v>0</v>
      </c>
      <c r="H119" s="987"/>
      <c r="I119" s="985">
        <f>+D119*$H$29</f>
        <v>0</v>
      </c>
      <c r="J119" s="985">
        <f>+E119*$H$29</f>
        <v>0</v>
      </c>
      <c r="K119" s="985">
        <f>+F119*$H$29</f>
        <v>0</v>
      </c>
      <c r="L119" s="985">
        <f>+G119*$H$29</f>
        <v>0</v>
      </c>
      <c r="M119" s="968"/>
    </row>
    <row r="120" spans="1:13">
      <c r="A120" s="968"/>
      <c r="B120" s="913" t="s">
        <v>687</v>
      </c>
      <c r="C120" s="907" t="s">
        <v>12</v>
      </c>
      <c r="D120" s="986">
        <f>ROUNDUP(((D107+D108)/5),0)*12</f>
        <v>0</v>
      </c>
      <c r="E120" s="986">
        <f t="shared" si="3"/>
        <v>0</v>
      </c>
      <c r="F120" s="986">
        <f t="shared" si="3"/>
        <v>0</v>
      </c>
      <c r="G120" s="986">
        <f t="shared" si="3"/>
        <v>0</v>
      </c>
      <c r="H120" s="987"/>
      <c r="I120" s="985">
        <f>+D120*$H$30</f>
        <v>0</v>
      </c>
      <c r="J120" s="985">
        <f>+E120*$H$30</f>
        <v>0</v>
      </c>
      <c r="K120" s="985">
        <f>+F120*$H$30</f>
        <v>0</v>
      </c>
      <c r="L120" s="985">
        <f>+G120*$H$30</f>
        <v>0</v>
      </c>
      <c r="M120" s="968"/>
    </row>
    <row r="121" spans="1:13">
      <c r="A121" s="968"/>
      <c r="B121" s="984" t="s">
        <v>2368</v>
      </c>
      <c r="C121" s="985"/>
      <c r="D121" s="986"/>
      <c r="E121" s="986"/>
      <c r="F121" s="986"/>
      <c r="G121" s="986"/>
      <c r="H121" s="986"/>
      <c r="I121" s="857">
        <f>SUM(I122:I134)</f>
        <v>0</v>
      </c>
      <c r="J121" s="857">
        <f>SUM(J122:J134)</f>
        <v>0</v>
      </c>
      <c r="K121" s="857">
        <f>SUM(K122:K134)</f>
        <v>0</v>
      </c>
      <c r="L121" s="857">
        <f>SUM(L122:L134)</f>
        <v>0</v>
      </c>
      <c r="M121" s="968"/>
    </row>
    <row r="122" spans="1:13">
      <c r="A122" s="968"/>
      <c r="B122" s="994" t="str">
        <f>'Planteamiento Técnico'!B223</f>
        <v>Camisaco con cinta reflectiva</v>
      </c>
      <c r="C122" s="907" t="s">
        <v>11</v>
      </c>
      <c r="D122" s="986">
        <f>'Planteamiento Técnico'!G223</f>
        <v>0</v>
      </c>
      <c r="E122" s="986">
        <f>D122</f>
        <v>0</v>
      </c>
      <c r="F122" s="986">
        <f>E122</f>
        <v>0</v>
      </c>
      <c r="G122" s="986">
        <f>F122</f>
        <v>0</v>
      </c>
      <c r="H122" s="987"/>
      <c r="I122" s="985">
        <f>+D122*$H$122</f>
        <v>0</v>
      </c>
      <c r="J122" s="985">
        <f>+E122*$H$122</f>
        <v>0</v>
      </c>
      <c r="K122" s="985">
        <f>+F122*$H$122</f>
        <v>0</v>
      </c>
      <c r="L122" s="985">
        <f>+G122*$H$122</f>
        <v>0</v>
      </c>
      <c r="M122" s="968"/>
    </row>
    <row r="123" spans="1:13">
      <c r="A123" s="968"/>
      <c r="B123" s="994" t="str">
        <f>'Planteamiento Técnico'!B224</f>
        <v>Pantalón con cinta reflectiva</v>
      </c>
      <c r="C123" s="907" t="s">
        <v>11</v>
      </c>
      <c r="D123" s="986">
        <f>'Planteamiento Técnico'!G224</f>
        <v>0</v>
      </c>
      <c r="E123" s="986">
        <f t="shared" ref="E123:G134" si="4">D123</f>
        <v>0</v>
      </c>
      <c r="F123" s="986">
        <f t="shared" si="4"/>
        <v>0</v>
      </c>
      <c r="G123" s="986">
        <f t="shared" si="4"/>
        <v>0</v>
      </c>
      <c r="H123" s="987"/>
      <c r="I123" s="985">
        <f>+D123*$H$123</f>
        <v>0</v>
      </c>
      <c r="J123" s="985">
        <f>+E123*$H$123</f>
        <v>0</v>
      </c>
      <c r="K123" s="985">
        <f>+F123*$H$123</f>
        <v>0</v>
      </c>
      <c r="L123" s="985">
        <f>+G123*$H$123</f>
        <v>0</v>
      </c>
      <c r="M123" s="968"/>
    </row>
    <row r="124" spans="1:13">
      <c r="A124" s="968"/>
      <c r="B124" s="994" t="str">
        <f>'Planteamiento Técnico'!B225</f>
        <v>Polos</v>
      </c>
      <c r="C124" s="907" t="s">
        <v>11</v>
      </c>
      <c r="D124" s="986">
        <f>'Planteamiento Técnico'!G225</f>
        <v>0</v>
      </c>
      <c r="E124" s="986">
        <f t="shared" si="4"/>
        <v>0</v>
      </c>
      <c r="F124" s="986">
        <f t="shared" si="4"/>
        <v>0</v>
      </c>
      <c r="G124" s="986">
        <f t="shared" si="4"/>
        <v>0</v>
      </c>
      <c r="H124" s="987"/>
      <c r="I124" s="985">
        <f>+D124*$H$124</f>
        <v>0</v>
      </c>
      <c r="J124" s="985">
        <f>+E124*$H$124</f>
        <v>0</v>
      </c>
      <c r="K124" s="985">
        <f>+F124*$H$124</f>
        <v>0</v>
      </c>
      <c r="L124" s="985">
        <f>+G124*$H$124</f>
        <v>0</v>
      </c>
      <c r="M124" s="968"/>
    </row>
    <row r="125" spans="1:13">
      <c r="A125" s="968"/>
      <c r="B125" s="994" t="str">
        <f>'Planteamiento Técnico'!B226</f>
        <v>Faja</v>
      </c>
      <c r="C125" s="907" t="s">
        <v>11</v>
      </c>
      <c r="D125" s="986">
        <f>'Planteamiento Técnico'!G226</f>
        <v>0</v>
      </c>
      <c r="E125" s="986">
        <f t="shared" si="4"/>
        <v>0</v>
      </c>
      <c r="F125" s="986">
        <f t="shared" si="4"/>
        <v>0</v>
      </c>
      <c r="G125" s="986">
        <f t="shared" si="4"/>
        <v>0</v>
      </c>
      <c r="H125" s="987"/>
      <c r="I125" s="985">
        <f>+D125*$H$125</f>
        <v>0</v>
      </c>
      <c r="J125" s="985">
        <f>+E125*$H$125</f>
        <v>0</v>
      </c>
      <c r="K125" s="985">
        <f>+F125*$H$125</f>
        <v>0</v>
      </c>
      <c r="L125" s="985">
        <f>+G125*$H$125</f>
        <v>0</v>
      </c>
      <c r="M125" s="968"/>
    </row>
    <row r="126" spans="1:13">
      <c r="A126" s="968"/>
      <c r="B126" s="994" t="str">
        <f>'Planteamiento Técnico'!B227</f>
        <v xml:space="preserve">Gorro taslan </v>
      </c>
      <c r="C126" s="907" t="s">
        <v>11</v>
      </c>
      <c r="D126" s="986">
        <f>'Planteamiento Técnico'!G227</f>
        <v>0</v>
      </c>
      <c r="E126" s="986">
        <f t="shared" si="4"/>
        <v>0</v>
      </c>
      <c r="F126" s="986">
        <f t="shared" si="4"/>
        <v>0</v>
      </c>
      <c r="G126" s="986">
        <f t="shared" si="4"/>
        <v>0</v>
      </c>
      <c r="H126" s="987"/>
      <c r="I126" s="985">
        <f>+D126*$H$126</f>
        <v>0</v>
      </c>
      <c r="J126" s="985">
        <f>+E126*$H$126</f>
        <v>0</v>
      </c>
      <c r="K126" s="985">
        <f>+F126*$H$126</f>
        <v>0</v>
      </c>
      <c r="L126" s="985">
        <f>+G126*$H$126</f>
        <v>0</v>
      </c>
      <c r="M126" s="968"/>
    </row>
    <row r="127" spans="1:13">
      <c r="A127" s="968"/>
      <c r="B127" s="994" t="str">
        <f>'Planteamiento Técnico'!B228</f>
        <v>Poncho impermeable</v>
      </c>
      <c r="C127" s="907" t="s">
        <v>11</v>
      </c>
      <c r="D127" s="986">
        <f>'Planteamiento Técnico'!G228</f>
        <v>0</v>
      </c>
      <c r="E127" s="986">
        <f t="shared" si="4"/>
        <v>0</v>
      </c>
      <c r="F127" s="986">
        <f t="shared" si="4"/>
        <v>0</v>
      </c>
      <c r="G127" s="986">
        <f t="shared" si="4"/>
        <v>0</v>
      </c>
      <c r="H127" s="987"/>
      <c r="I127" s="985">
        <f>+D127*$H$127</f>
        <v>0</v>
      </c>
      <c r="J127" s="985">
        <f>+E127*$H$127</f>
        <v>0</v>
      </c>
      <c r="K127" s="985">
        <f>+F127*$H$127</f>
        <v>0</v>
      </c>
      <c r="L127" s="985">
        <f>+G127*$H$127</f>
        <v>0</v>
      </c>
      <c r="M127" s="968"/>
    </row>
    <row r="128" spans="1:13">
      <c r="A128" s="968"/>
      <c r="B128" s="994" t="str">
        <f>'Planteamiento Técnico'!B229</f>
        <v>Lentes</v>
      </c>
      <c r="C128" s="907" t="s">
        <v>11</v>
      </c>
      <c r="D128" s="986">
        <f>'Planteamiento Técnico'!G229</f>
        <v>0</v>
      </c>
      <c r="E128" s="986">
        <f t="shared" si="4"/>
        <v>0</v>
      </c>
      <c r="F128" s="986">
        <f t="shared" si="4"/>
        <v>0</v>
      </c>
      <c r="G128" s="986">
        <f t="shared" si="4"/>
        <v>0</v>
      </c>
      <c r="H128" s="987"/>
      <c r="I128" s="985">
        <f>+D128*$H$128</f>
        <v>0</v>
      </c>
      <c r="J128" s="985">
        <f>+E128*$H$128</f>
        <v>0</v>
      </c>
      <c r="K128" s="985">
        <f>+F128*$H$128</f>
        <v>0</v>
      </c>
      <c r="L128" s="985">
        <f>+G128*$H$128</f>
        <v>0</v>
      </c>
      <c r="M128" s="968"/>
    </row>
    <row r="129" spans="1:13">
      <c r="A129" s="968"/>
      <c r="B129" s="994" t="str">
        <f>'Planteamiento Técnico'!B230</f>
        <v>Guante nylon</v>
      </c>
      <c r="C129" s="907" t="s">
        <v>11</v>
      </c>
      <c r="D129" s="986">
        <f>'Planteamiento Técnico'!G230</f>
        <v>0</v>
      </c>
      <c r="E129" s="986">
        <f t="shared" si="4"/>
        <v>0</v>
      </c>
      <c r="F129" s="986">
        <f t="shared" si="4"/>
        <v>0</v>
      </c>
      <c r="G129" s="986">
        <f t="shared" si="4"/>
        <v>0</v>
      </c>
      <c r="H129" s="987"/>
      <c r="I129" s="985">
        <f>+D129*$H$129</f>
        <v>0</v>
      </c>
      <c r="J129" s="985">
        <f>+E129*$H$129</f>
        <v>0</v>
      </c>
      <c r="K129" s="985">
        <f>+F129*$H$129</f>
        <v>0</v>
      </c>
      <c r="L129" s="985">
        <f>+G129*$H$129</f>
        <v>0</v>
      </c>
      <c r="M129" s="968"/>
    </row>
    <row r="130" spans="1:13">
      <c r="A130" s="968"/>
      <c r="B130" s="994" t="str">
        <f>'Planteamiento Técnico'!B231</f>
        <v>Guantes de cuero reforzados</v>
      </c>
      <c r="C130" s="907" t="s">
        <v>11</v>
      </c>
      <c r="D130" s="986">
        <f>'Planteamiento Técnico'!G231</f>
        <v>0</v>
      </c>
      <c r="E130" s="986">
        <f t="shared" si="4"/>
        <v>0</v>
      </c>
      <c r="F130" s="986">
        <f t="shared" si="4"/>
        <v>0</v>
      </c>
      <c r="G130" s="986">
        <f t="shared" si="4"/>
        <v>0</v>
      </c>
      <c r="H130" s="987"/>
      <c r="I130" s="985">
        <f>+D130*$H$130</f>
        <v>0</v>
      </c>
      <c r="J130" s="985">
        <f>+E130*$H$130</f>
        <v>0</v>
      </c>
      <c r="K130" s="985">
        <f>+F130*$H$130</f>
        <v>0</v>
      </c>
      <c r="L130" s="985">
        <f>+G130*$H$130</f>
        <v>0</v>
      </c>
      <c r="M130" s="968"/>
    </row>
    <row r="131" spans="1:13">
      <c r="A131" s="968"/>
      <c r="B131" s="994" t="str">
        <f>'Planteamiento Técnico'!B232</f>
        <v>Mascarilla de Drill</v>
      </c>
      <c r="C131" s="907" t="s">
        <v>262</v>
      </c>
      <c r="D131" s="986">
        <f>'Planteamiento Técnico'!G232</f>
        <v>0</v>
      </c>
      <c r="E131" s="986">
        <f t="shared" si="4"/>
        <v>0</v>
      </c>
      <c r="F131" s="986">
        <f t="shared" si="4"/>
        <v>0</v>
      </c>
      <c r="G131" s="986">
        <f t="shared" si="4"/>
        <v>0</v>
      </c>
      <c r="H131" s="987"/>
      <c r="I131" s="985">
        <f>+D131*$H$131</f>
        <v>0</v>
      </c>
      <c r="J131" s="985">
        <f>+E131*$H$131</f>
        <v>0</v>
      </c>
      <c r="K131" s="985">
        <f>+F131*$H$131</f>
        <v>0</v>
      </c>
      <c r="L131" s="985">
        <f>+G131*$H$131</f>
        <v>0</v>
      </c>
      <c r="M131" s="968"/>
    </row>
    <row r="132" spans="1:13">
      <c r="A132" s="968"/>
      <c r="B132" s="994" t="str">
        <f>'Planteamiento Técnico'!B233</f>
        <v>Botín de cuero con punta de acero</v>
      </c>
      <c r="C132" s="907" t="s">
        <v>262</v>
      </c>
      <c r="D132" s="986">
        <f>'Planteamiento Técnico'!G233</f>
        <v>0</v>
      </c>
      <c r="E132" s="986">
        <f t="shared" si="4"/>
        <v>0</v>
      </c>
      <c r="F132" s="986">
        <f t="shared" si="4"/>
        <v>0</v>
      </c>
      <c r="G132" s="986">
        <f t="shared" si="4"/>
        <v>0</v>
      </c>
      <c r="H132" s="987"/>
      <c r="I132" s="985">
        <f>+D132*$H$132</f>
        <v>0</v>
      </c>
      <c r="J132" s="985">
        <f>+E132*$H$132</f>
        <v>0</v>
      </c>
      <c r="K132" s="985">
        <f>+F132*$H$132</f>
        <v>0</v>
      </c>
      <c r="L132" s="985">
        <f>+G132*$H$132</f>
        <v>0</v>
      </c>
      <c r="M132" s="968"/>
    </row>
    <row r="133" spans="1:13">
      <c r="A133" s="968"/>
      <c r="B133" s="994" t="str">
        <f>'Planteamiento Técnico'!B234</f>
        <v>Botas de jebe con forro</v>
      </c>
      <c r="C133" s="907" t="s">
        <v>262</v>
      </c>
      <c r="D133" s="986">
        <f>'Planteamiento Técnico'!G234</f>
        <v>0</v>
      </c>
      <c r="E133" s="986">
        <f t="shared" si="4"/>
        <v>0</v>
      </c>
      <c r="F133" s="986">
        <f t="shared" si="4"/>
        <v>0</v>
      </c>
      <c r="G133" s="986">
        <f t="shared" si="4"/>
        <v>0</v>
      </c>
      <c r="H133" s="987"/>
      <c r="I133" s="985">
        <f>+D133*$H$133</f>
        <v>0</v>
      </c>
      <c r="J133" s="985">
        <f>+E133*$H$133</f>
        <v>0</v>
      </c>
      <c r="K133" s="985">
        <f>+F133*$H$133</f>
        <v>0</v>
      </c>
      <c r="L133" s="985">
        <f>+G133*$H$133</f>
        <v>0</v>
      </c>
      <c r="M133" s="968"/>
    </row>
    <row r="134" spans="1:13">
      <c r="A134" s="968"/>
      <c r="B134" s="994" t="str">
        <f>'Planteamiento Técnico'!B235</f>
        <v>Mochilas</v>
      </c>
      <c r="C134" s="907" t="s">
        <v>11</v>
      </c>
      <c r="D134" s="986">
        <f>'Planteamiento Técnico'!G235</f>
        <v>0</v>
      </c>
      <c r="E134" s="986">
        <f t="shared" si="4"/>
        <v>0</v>
      </c>
      <c r="F134" s="986">
        <f t="shared" si="4"/>
        <v>0</v>
      </c>
      <c r="G134" s="986">
        <f t="shared" si="4"/>
        <v>0</v>
      </c>
      <c r="H134" s="987"/>
      <c r="I134" s="985">
        <f>+D134*$H$134</f>
        <v>0</v>
      </c>
      <c r="J134" s="985">
        <f>+E134*$H$134</f>
        <v>0</v>
      </c>
      <c r="K134" s="985">
        <f>+F134*$H$134</f>
        <v>0</v>
      </c>
      <c r="L134" s="985">
        <f>+G134*$H$134</f>
        <v>0</v>
      </c>
      <c r="M134" s="968"/>
    </row>
    <row r="135" spans="1:13">
      <c r="A135" s="968"/>
      <c r="B135" s="984" t="s">
        <v>2370</v>
      </c>
      <c r="C135" s="985"/>
      <c r="D135" s="986"/>
      <c r="E135" s="986"/>
      <c r="F135" s="986"/>
      <c r="G135" s="986"/>
      <c r="H135" s="986"/>
      <c r="I135" s="857">
        <f>SUM(I136:I140)</f>
        <v>0</v>
      </c>
      <c r="J135" s="857">
        <f>SUM(J136:J140)</f>
        <v>0</v>
      </c>
      <c r="K135" s="857">
        <f>SUM(K136:K140)</f>
        <v>0</v>
      </c>
      <c r="L135" s="857">
        <f>SUM(L136:L140)</f>
        <v>0</v>
      </c>
      <c r="M135" s="968"/>
    </row>
    <row r="136" spans="1:13">
      <c r="A136" s="968"/>
      <c r="B136" s="994" t="str">
        <f>'Planteamiento Técnico'!B239</f>
        <v>Camisaco con cinta reflectiva</v>
      </c>
      <c r="C136" s="907" t="s">
        <v>11</v>
      </c>
      <c r="D136" s="986">
        <f>'Planteamiento Técnico'!G239</f>
        <v>0</v>
      </c>
      <c r="E136" s="986">
        <f>D136</f>
        <v>0</v>
      </c>
      <c r="F136" s="986">
        <f>E136</f>
        <v>0</v>
      </c>
      <c r="G136" s="986">
        <f>F136</f>
        <v>0</v>
      </c>
      <c r="H136" s="987"/>
      <c r="I136" s="985">
        <f>+D136*$H$136</f>
        <v>0</v>
      </c>
      <c r="J136" s="985">
        <f>+E136*$H$136</f>
        <v>0</v>
      </c>
      <c r="K136" s="985">
        <f>+F136*$H$136</f>
        <v>0</v>
      </c>
      <c r="L136" s="985">
        <f>+G136*$H$136</f>
        <v>0</v>
      </c>
      <c r="M136" s="968"/>
    </row>
    <row r="137" spans="1:13" ht="17.25" customHeight="1">
      <c r="A137" s="968"/>
      <c r="B137" s="994" t="str">
        <f>'Planteamiento Técnico'!B240</f>
        <v>Pantalón de drill  con cinta reflectiva</v>
      </c>
      <c r="C137" s="907" t="s">
        <v>11</v>
      </c>
      <c r="D137" s="986">
        <f>'Planteamiento Técnico'!G240</f>
        <v>0</v>
      </c>
      <c r="E137" s="986">
        <f t="shared" ref="E137:G140" si="5">D137</f>
        <v>0</v>
      </c>
      <c r="F137" s="986">
        <f t="shared" si="5"/>
        <v>0</v>
      </c>
      <c r="G137" s="986">
        <f t="shared" si="5"/>
        <v>0</v>
      </c>
      <c r="H137" s="987"/>
      <c r="I137" s="985">
        <f>+D137*$H$137</f>
        <v>0</v>
      </c>
      <c r="J137" s="985">
        <f>+E137*$H$137</f>
        <v>0</v>
      </c>
      <c r="K137" s="985">
        <f>+F137*$H$137</f>
        <v>0</v>
      </c>
      <c r="L137" s="985">
        <f>+G137*$H$137</f>
        <v>0</v>
      </c>
      <c r="M137" s="968"/>
    </row>
    <row r="138" spans="1:13">
      <c r="A138" s="968"/>
      <c r="B138" s="994" t="str">
        <f>'Planteamiento Técnico'!B241</f>
        <v xml:space="preserve">Polos </v>
      </c>
      <c r="C138" s="907" t="s">
        <v>11</v>
      </c>
      <c r="D138" s="986">
        <f>'Planteamiento Técnico'!G241</f>
        <v>0</v>
      </c>
      <c r="E138" s="986">
        <f t="shared" si="5"/>
        <v>0</v>
      </c>
      <c r="F138" s="986">
        <f t="shared" si="5"/>
        <v>0</v>
      </c>
      <c r="G138" s="986">
        <f t="shared" si="5"/>
        <v>0</v>
      </c>
      <c r="H138" s="987"/>
      <c r="I138" s="985">
        <f>+D138*$H$138</f>
        <v>0</v>
      </c>
      <c r="J138" s="985">
        <f>+E138*$H$138</f>
        <v>0</v>
      </c>
      <c r="K138" s="985">
        <f>+F138*$H$138</f>
        <v>0</v>
      </c>
      <c r="L138" s="985">
        <f>+G138*$H$138</f>
        <v>0</v>
      </c>
      <c r="M138" s="968"/>
    </row>
    <row r="139" spans="1:13">
      <c r="A139" s="968"/>
      <c r="B139" s="994" t="str">
        <f>'Planteamiento Técnico'!B242</f>
        <v xml:space="preserve">Gorro taslan </v>
      </c>
      <c r="C139" s="907" t="s">
        <v>11</v>
      </c>
      <c r="D139" s="986">
        <f>'Planteamiento Técnico'!G242</f>
        <v>0</v>
      </c>
      <c r="E139" s="986">
        <f t="shared" si="5"/>
        <v>0</v>
      </c>
      <c r="F139" s="986">
        <f t="shared" si="5"/>
        <v>0</v>
      </c>
      <c r="G139" s="986">
        <f t="shared" si="5"/>
        <v>0</v>
      </c>
      <c r="H139" s="987"/>
      <c r="I139" s="985">
        <f>+D139*$H$139</f>
        <v>0</v>
      </c>
      <c r="J139" s="985">
        <f>+E139*$H$139</f>
        <v>0</v>
      </c>
      <c r="K139" s="985">
        <f>+F139*$H$139</f>
        <v>0</v>
      </c>
      <c r="L139" s="985">
        <f>+G139*$H$139</f>
        <v>0</v>
      </c>
      <c r="M139" s="968"/>
    </row>
    <row r="140" spans="1:13">
      <c r="A140" s="968"/>
      <c r="B140" s="994" t="str">
        <f>'Planteamiento Técnico'!B243</f>
        <v>Botín de cuero con punta de acero</v>
      </c>
      <c r="C140" s="907" t="s">
        <v>11</v>
      </c>
      <c r="D140" s="986">
        <f>'Planteamiento Técnico'!G243</f>
        <v>0</v>
      </c>
      <c r="E140" s="986">
        <f t="shared" si="5"/>
        <v>0</v>
      </c>
      <c r="F140" s="986">
        <f t="shared" si="5"/>
        <v>0</v>
      </c>
      <c r="G140" s="986">
        <f t="shared" si="5"/>
        <v>0</v>
      </c>
      <c r="H140" s="987"/>
      <c r="I140" s="985">
        <f>+D140*$H$140</f>
        <v>0</v>
      </c>
      <c r="J140" s="985">
        <f>+E140*$H$140</f>
        <v>0</v>
      </c>
      <c r="K140" s="985">
        <f>+F140*$H$140</f>
        <v>0</v>
      </c>
      <c r="L140" s="985">
        <f>+G140*$H$140</f>
        <v>0</v>
      </c>
      <c r="M140" s="968"/>
    </row>
    <row r="141" spans="1:13">
      <c r="A141" s="968"/>
      <c r="B141" s="984" t="s">
        <v>2371</v>
      </c>
      <c r="C141" s="985"/>
      <c r="D141" s="986"/>
      <c r="E141" s="986"/>
      <c r="F141" s="986"/>
      <c r="G141" s="986"/>
      <c r="H141" s="986"/>
      <c r="I141" s="857">
        <f>SUM(I142:I150)</f>
        <v>0</v>
      </c>
      <c r="J141" s="857">
        <f>SUM(J142:J150)</f>
        <v>0</v>
      </c>
      <c r="K141" s="857">
        <f>SUM(K142:K150)</f>
        <v>0</v>
      </c>
      <c r="L141" s="857">
        <f>SUM(L142:L150)</f>
        <v>0</v>
      </c>
      <c r="M141" s="968"/>
    </row>
    <row r="142" spans="1:13">
      <c r="A142" s="968"/>
      <c r="B142" s="994" t="s">
        <v>2372</v>
      </c>
      <c r="C142" s="907" t="s">
        <v>983</v>
      </c>
      <c r="D142" s="995">
        <f>'Planteamiento Técnico'!J159+'Planteamiento Técnico'!J165+'Planteamiento Técnico'!J185+'Planteamiento Técnico'!J191</f>
        <v>0</v>
      </c>
      <c r="E142" s="995">
        <f>D142</f>
        <v>0</v>
      </c>
      <c r="F142" s="995">
        <f>E142</f>
        <v>0</v>
      </c>
      <c r="G142" s="995">
        <f>F142</f>
        <v>0</v>
      </c>
      <c r="H142" s="987"/>
      <c r="I142" s="985">
        <f>+D142*$H$142</f>
        <v>0</v>
      </c>
      <c r="J142" s="985">
        <f>+E142*$H$142</f>
        <v>0</v>
      </c>
      <c r="K142" s="985">
        <f>+F142*$H$142</f>
        <v>0</v>
      </c>
      <c r="L142" s="985">
        <f>+G142*$H$142</f>
        <v>0</v>
      </c>
      <c r="M142" s="968"/>
    </row>
    <row r="143" spans="1:13" ht="25.5">
      <c r="A143" s="968"/>
      <c r="B143" s="994" t="s">
        <v>2373</v>
      </c>
      <c r="C143" s="907" t="s">
        <v>11</v>
      </c>
      <c r="D143" s="995">
        <f t="shared" ref="D143:D150" si="6">D142</f>
        <v>0</v>
      </c>
      <c r="E143" s="995">
        <f t="shared" ref="E143:G150" si="7">D143</f>
        <v>0</v>
      </c>
      <c r="F143" s="995">
        <f t="shared" si="7"/>
        <v>0</v>
      </c>
      <c r="G143" s="995">
        <f t="shared" si="7"/>
        <v>0</v>
      </c>
      <c r="H143" s="987"/>
      <c r="I143" s="985">
        <f>+D143*$H$143</f>
        <v>0</v>
      </c>
      <c r="J143" s="985">
        <f>+E143*$H$143</f>
        <v>0</v>
      </c>
      <c r="K143" s="985">
        <f>+F143*$H$143</f>
        <v>0</v>
      </c>
      <c r="L143" s="985">
        <f>+G143*$H$143</f>
        <v>0</v>
      </c>
      <c r="M143" s="968"/>
    </row>
    <row r="144" spans="1:13" ht="25.5">
      <c r="A144" s="968"/>
      <c r="B144" s="994" t="s">
        <v>2374</v>
      </c>
      <c r="C144" s="907" t="s">
        <v>11</v>
      </c>
      <c r="D144" s="995">
        <f t="shared" si="6"/>
        <v>0</v>
      </c>
      <c r="E144" s="995">
        <f t="shared" si="7"/>
        <v>0</v>
      </c>
      <c r="F144" s="995">
        <f t="shared" si="7"/>
        <v>0</v>
      </c>
      <c r="G144" s="995">
        <f t="shared" si="7"/>
        <v>0</v>
      </c>
      <c r="H144" s="987"/>
      <c r="I144" s="985">
        <f>+D144*$H$144</f>
        <v>0</v>
      </c>
      <c r="J144" s="985">
        <f>+E144*$H$144</f>
        <v>0</v>
      </c>
      <c r="K144" s="985">
        <f>+F144*$H$144</f>
        <v>0</v>
      </c>
      <c r="L144" s="985">
        <f>+G144*$H$144</f>
        <v>0</v>
      </c>
      <c r="M144" s="968"/>
    </row>
    <row r="145" spans="1:13">
      <c r="A145" s="968"/>
      <c r="B145" s="994" t="s">
        <v>210</v>
      </c>
      <c r="C145" s="907" t="s">
        <v>11</v>
      </c>
      <c r="D145" s="995">
        <f t="shared" si="6"/>
        <v>0</v>
      </c>
      <c r="E145" s="995">
        <f t="shared" si="7"/>
        <v>0</v>
      </c>
      <c r="F145" s="995">
        <f t="shared" si="7"/>
        <v>0</v>
      </c>
      <c r="G145" s="995">
        <f t="shared" si="7"/>
        <v>0</v>
      </c>
      <c r="H145" s="987"/>
      <c r="I145" s="985">
        <f>+D145*$H$145</f>
        <v>0</v>
      </c>
      <c r="J145" s="985">
        <f>+E145*$H$145</f>
        <v>0</v>
      </c>
      <c r="K145" s="985">
        <f>+F145*$H$145</f>
        <v>0</v>
      </c>
      <c r="L145" s="985">
        <f>+G145*$H$145</f>
        <v>0</v>
      </c>
      <c r="M145" s="968"/>
    </row>
    <row r="146" spans="1:13">
      <c r="A146" s="968"/>
      <c r="B146" s="994" t="s">
        <v>211</v>
      </c>
      <c r="C146" s="907" t="s">
        <v>11</v>
      </c>
      <c r="D146" s="995">
        <f t="shared" si="6"/>
        <v>0</v>
      </c>
      <c r="E146" s="995">
        <f t="shared" si="7"/>
        <v>0</v>
      </c>
      <c r="F146" s="995">
        <f t="shared" si="7"/>
        <v>0</v>
      </c>
      <c r="G146" s="995">
        <f t="shared" si="7"/>
        <v>0</v>
      </c>
      <c r="H146" s="987"/>
      <c r="I146" s="985">
        <f>+D146*$H$146</f>
        <v>0</v>
      </c>
      <c r="J146" s="985">
        <f>+E146*$H$146</f>
        <v>0</v>
      </c>
      <c r="K146" s="985">
        <f>+F146*$H$146</f>
        <v>0</v>
      </c>
      <c r="L146" s="985">
        <f>+G146*$H$146</f>
        <v>0</v>
      </c>
      <c r="M146" s="968"/>
    </row>
    <row r="147" spans="1:13">
      <c r="A147" s="968"/>
      <c r="B147" s="994" t="s">
        <v>212</v>
      </c>
      <c r="C147" s="907" t="s">
        <v>11</v>
      </c>
      <c r="D147" s="995">
        <f t="shared" si="6"/>
        <v>0</v>
      </c>
      <c r="E147" s="995">
        <f t="shared" si="7"/>
        <v>0</v>
      </c>
      <c r="F147" s="995">
        <f t="shared" si="7"/>
        <v>0</v>
      </c>
      <c r="G147" s="995">
        <f t="shared" si="7"/>
        <v>0</v>
      </c>
      <c r="H147" s="987"/>
      <c r="I147" s="985">
        <f>+D147*$H$147</f>
        <v>0</v>
      </c>
      <c r="J147" s="985">
        <f>+E147*$H$147</f>
        <v>0</v>
      </c>
      <c r="K147" s="985">
        <f>+F147*$H$147</f>
        <v>0</v>
      </c>
      <c r="L147" s="985">
        <f>+G147*$H$147</f>
        <v>0</v>
      </c>
      <c r="M147" s="968"/>
    </row>
    <row r="148" spans="1:13">
      <c r="A148" s="968"/>
      <c r="B148" s="994" t="s">
        <v>213</v>
      </c>
      <c r="C148" s="907" t="s">
        <v>11</v>
      </c>
      <c r="D148" s="995">
        <f t="shared" si="6"/>
        <v>0</v>
      </c>
      <c r="E148" s="995">
        <f t="shared" si="7"/>
        <v>0</v>
      </c>
      <c r="F148" s="995">
        <f t="shared" si="7"/>
        <v>0</v>
      </c>
      <c r="G148" s="995">
        <f t="shared" si="7"/>
        <v>0</v>
      </c>
      <c r="H148" s="987"/>
      <c r="I148" s="985">
        <f>+D148*$H$148</f>
        <v>0</v>
      </c>
      <c r="J148" s="985">
        <f>+E148*$H$148</f>
        <v>0</v>
      </c>
      <c r="K148" s="985">
        <f>+F148*$H$148</f>
        <v>0</v>
      </c>
      <c r="L148" s="985">
        <f>+G148*$H$148</f>
        <v>0</v>
      </c>
      <c r="M148" s="968"/>
    </row>
    <row r="149" spans="1:13">
      <c r="A149" s="968"/>
      <c r="B149" s="994" t="s">
        <v>214</v>
      </c>
      <c r="C149" s="907" t="s">
        <v>11</v>
      </c>
      <c r="D149" s="995">
        <f t="shared" si="6"/>
        <v>0</v>
      </c>
      <c r="E149" s="995">
        <f t="shared" si="7"/>
        <v>0</v>
      </c>
      <c r="F149" s="995">
        <f t="shared" si="7"/>
        <v>0</v>
      </c>
      <c r="G149" s="995">
        <f t="shared" si="7"/>
        <v>0</v>
      </c>
      <c r="H149" s="987"/>
      <c r="I149" s="985">
        <f>+D149*$H$149</f>
        <v>0</v>
      </c>
      <c r="J149" s="985">
        <f>+E149*$H$149</f>
        <v>0</v>
      </c>
      <c r="K149" s="985">
        <f>+F149*$H$149</f>
        <v>0</v>
      </c>
      <c r="L149" s="985">
        <f>+G149*$H$149</f>
        <v>0</v>
      </c>
      <c r="M149" s="968"/>
    </row>
    <row r="150" spans="1:13">
      <c r="A150" s="968"/>
      <c r="B150" s="994" t="s">
        <v>215</v>
      </c>
      <c r="C150" s="907" t="s">
        <v>11</v>
      </c>
      <c r="D150" s="995">
        <f t="shared" si="6"/>
        <v>0</v>
      </c>
      <c r="E150" s="995">
        <f t="shared" si="7"/>
        <v>0</v>
      </c>
      <c r="F150" s="995">
        <f t="shared" si="7"/>
        <v>0</v>
      </c>
      <c r="G150" s="995">
        <f t="shared" si="7"/>
        <v>0</v>
      </c>
      <c r="H150" s="987"/>
      <c r="I150" s="985">
        <f>+D150*$H$150</f>
        <v>0</v>
      </c>
      <c r="J150" s="985">
        <f>+E150*$H$150</f>
        <v>0</v>
      </c>
      <c r="K150" s="985">
        <f>+F150*$H$150</f>
        <v>0</v>
      </c>
      <c r="L150" s="985">
        <f>+G150*$H$150</f>
        <v>0</v>
      </c>
      <c r="M150" s="968"/>
    </row>
    <row r="151" spans="1:13">
      <c r="A151" s="968"/>
      <c r="B151" s="984" t="s">
        <v>2375</v>
      </c>
      <c r="C151" s="907"/>
      <c r="D151" s="986"/>
      <c r="E151" s="986"/>
      <c r="F151" s="986"/>
      <c r="G151" s="986"/>
      <c r="H151" s="986"/>
      <c r="I151" s="857">
        <f>SUM(I152:I160)</f>
        <v>0</v>
      </c>
      <c r="J151" s="857">
        <f>SUM(J152:J160)</f>
        <v>0</v>
      </c>
      <c r="K151" s="857">
        <f>SUM(K152:K160)</f>
        <v>0</v>
      </c>
      <c r="L151" s="857">
        <f>SUM(L152:L160)</f>
        <v>0</v>
      </c>
      <c r="M151" s="968"/>
    </row>
    <row r="152" spans="1:13" ht="25.5">
      <c r="A152" s="968"/>
      <c r="B152" s="994" t="s">
        <v>3176</v>
      </c>
      <c r="C152" s="907" t="s">
        <v>2336</v>
      </c>
      <c r="D152" s="996"/>
      <c r="E152" s="928">
        <f t="shared" ref="E152:G153" si="8">D152</f>
        <v>0</v>
      </c>
      <c r="F152" s="928">
        <f t="shared" si="8"/>
        <v>0</v>
      </c>
      <c r="G152" s="928">
        <f t="shared" si="8"/>
        <v>0</v>
      </c>
      <c r="H152" s="987"/>
      <c r="I152" s="985">
        <f>+D152*$H$152</f>
        <v>0</v>
      </c>
      <c r="J152" s="985">
        <f>+E152*$H$152</f>
        <v>0</v>
      </c>
      <c r="K152" s="985">
        <f>+F152*$H$152</f>
        <v>0</v>
      </c>
      <c r="L152" s="985">
        <f>+G152*$H$152</f>
        <v>0</v>
      </c>
      <c r="M152" s="968"/>
    </row>
    <row r="153" spans="1:13" ht="25.5">
      <c r="A153" s="968"/>
      <c r="B153" s="994" t="s">
        <v>3177</v>
      </c>
      <c r="C153" s="907" t="s">
        <v>2336</v>
      </c>
      <c r="D153" s="987"/>
      <c r="E153" s="986">
        <f t="shared" si="8"/>
        <v>0</v>
      </c>
      <c r="F153" s="986">
        <f t="shared" si="8"/>
        <v>0</v>
      </c>
      <c r="G153" s="986">
        <f t="shared" si="8"/>
        <v>0</v>
      </c>
      <c r="H153" s="987"/>
      <c r="I153" s="985">
        <f>+D153*$H$153</f>
        <v>0</v>
      </c>
      <c r="J153" s="985">
        <f>+E153*$H$153</f>
        <v>0</v>
      </c>
      <c r="K153" s="985">
        <f>+F153*$H$153</f>
        <v>0</v>
      </c>
      <c r="L153" s="985">
        <f>+G153*$H$153</f>
        <v>0</v>
      </c>
      <c r="M153" s="968"/>
    </row>
    <row r="154" spans="1:13" ht="17.25" customHeight="1">
      <c r="A154" s="968"/>
      <c r="B154" s="997" t="s">
        <v>2376</v>
      </c>
      <c r="C154" s="907" t="s">
        <v>2336</v>
      </c>
      <c r="D154" s="987"/>
      <c r="E154" s="928">
        <f>E152</f>
        <v>0</v>
      </c>
      <c r="F154" s="928">
        <f t="shared" ref="F154:G157" si="9">E154</f>
        <v>0</v>
      </c>
      <c r="G154" s="928">
        <f t="shared" si="9"/>
        <v>0</v>
      </c>
      <c r="H154" s="987"/>
      <c r="I154" s="985">
        <f>+D154*$H$154</f>
        <v>0</v>
      </c>
      <c r="J154" s="985">
        <f>+E154*$H$154</f>
        <v>0</v>
      </c>
      <c r="K154" s="985">
        <f>+F154*$H$154</f>
        <v>0</v>
      </c>
      <c r="L154" s="985">
        <f>+G154*$H$154</f>
        <v>0</v>
      </c>
      <c r="M154" s="968"/>
    </row>
    <row r="155" spans="1:13">
      <c r="A155" s="968"/>
      <c r="B155" s="997" t="s">
        <v>2377</v>
      </c>
      <c r="C155" s="907" t="s">
        <v>2336</v>
      </c>
      <c r="D155" s="987"/>
      <c r="E155" s="986">
        <f>E153</f>
        <v>0</v>
      </c>
      <c r="F155" s="928">
        <f t="shared" si="9"/>
        <v>0</v>
      </c>
      <c r="G155" s="928">
        <f t="shared" si="9"/>
        <v>0</v>
      </c>
      <c r="H155" s="987"/>
      <c r="I155" s="985">
        <f>+D155*$H$155</f>
        <v>0</v>
      </c>
      <c r="J155" s="985">
        <f>+E155*$H$155</f>
        <v>0</v>
      </c>
      <c r="K155" s="985">
        <f>+F155*$H$155</f>
        <v>0</v>
      </c>
      <c r="L155" s="985">
        <f>+G155*$H$155</f>
        <v>0</v>
      </c>
      <c r="M155" s="968"/>
    </row>
    <row r="156" spans="1:13">
      <c r="A156" s="968"/>
      <c r="B156" s="997" t="s">
        <v>2378</v>
      </c>
      <c r="C156" s="907" t="s">
        <v>2336</v>
      </c>
      <c r="D156" s="986"/>
      <c r="E156" s="986">
        <f>D156</f>
        <v>0</v>
      </c>
      <c r="F156" s="986">
        <f t="shared" si="9"/>
        <v>0</v>
      </c>
      <c r="G156" s="986">
        <f t="shared" si="9"/>
        <v>0</v>
      </c>
      <c r="H156" s="987"/>
      <c r="I156" s="985">
        <f>+D156*$H$156</f>
        <v>0</v>
      </c>
      <c r="J156" s="985">
        <f>+E156*$H$156</f>
        <v>0</v>
      </c>
      <c r="K156" s="985">
        <f>+F156*$H$156</f>
        <v>0</v>
      </c>
      <c r="L156" s="985">
        <f>+G156*$H$156</f>
        <v>0</v>
      </c>
      <c r="M156" s="968"/>
    </row>
    <row r="157" spans="1:13">
      <c r="A157" s="968"/>
      <c r="B157" s="994" t="s">
        <v>220</v>
      </c>
      <c r="C157" s="907" t="s">
        <v>2336</v>
      </c>
      <c r="D157" s="995">
        <f>SUM(D152:D156)</f>
        <v>0</v>
      </c>
      <c r="E157" s="995">
        <f>D157</f>
        <v>0</v>
      </c>
      <c r="F157" s="995">
        <f t="shared" si="9"/>
        <v>0</v>
      </c>
      <c r="G157" s="995">
        <f t="shared" si="9"/>
        <v>0</v>
      </c>
      <c r="H157" s="987"/>
      <c r="I157" s="985">
        <f>+D157*$H$157</f>
        <v>0</v>
      </c>
      <c r="J157" s="985">
        <f>+E157*$H$157</f>
        <v>0</v>
      </c>
      <c r="K157" s="985">
        <f>+F157*$H$157</f>
        <v>0</v>
      </c>
      <c r="L157" s="985">
        <f>+G157*$H$157</f>
        <v>0</v>
      </c>
      <c r="M157" s="968"/>
    </row>
    <row r="158" spans="1:13">
      <c r="A158" s="968"/>
      <c r="B158" s="994" t="s">
        <v>221</v>
      </c>
      <c r="C158" s="907" t="s">
        <v>2336</v>
      </c>
      <c r="D158" s="995">
        <f>D157</f>
        <v>0</v>
      </c>
      <c r="E158" s="995">
        <f t="shared" ref="E158:G160" si="10">D158</f>
        <v>0</v>
      </c>
      <c r="F158" s="995">
        <f t="shared" si="10"/>
        <v>0</v>
      </c>
      <c r="G158" s="995">
        <f t="shared" si="10"/>
        <v>0</v>
      </c>
      <c r="H158" s="987"/>
      <c r="I158" s="985">
        <f>+D158*$H$158</f>
        <v>0</v>
      </c>
      <c r="J158" s="985">
        <f>+E158*$H$158</f>
        <v>0</v>
      </c>
      <c r="K158" s="985">
        <f>+F158*$H$158</f>
        <v>0</v>
      </c>
      <c r="L158" s="985">
        <f>+G158*$H$158</f>
        <v>0</v>
      </c>
      <c r="M158" s="968"/>
    </row>
    <row r="159" spans="1:13">
      <c r="A159" s="968"/>
      <c r="B159" s="994" t="s">
        <v>222</v>
      </c>
      <c r="C159" s="907" t="s">
        <v>2336</v>
      </c>
      <c r="D159" s="995">
        <f>D158</f>
        <v>0</v>
      </c>
      <c r="E159" s="995">
        <f t="shared" si="10"/>
        <v>0</v>
      </c>
      <c r="F159" s="995">
        <f t="shared" si="10"/>
        <v>0</v>
      </c>
      <c r="G159" s="995">
        <f t="shared" si="10"/>
        <v>0</v>
      </c>
      <c r="H159" s="987"/>
      <c r="I159" s="985">
        <f>+D159*$H$159</f>
        <v>0</v>
      </c>
      <c r="J159" s="985">
        <f>+E159*$H$159</f>
        <v>0</v>
      </c>
      <c r="K159" s="985">
        <f>+F159*$H$159</f>
        <v>0</v>
      </c>
      <c r="L159" s="985">
        <f>+G159*$H$159</f>
        <v>0</v>
      </c>
      <c r="M159" s="968"/>
    </row>
    <row r="160" spans="1:13">
      <c r="A160" s="968"/>
      <c r="B160" s="994" t="s">
        <v>223</v>
      </c>
      <c r="C160" s="907" t="s">
        <v>2336</v>
      </c>
      <c r="D160" s="995">
        <f>D159</f>
        <v>0</v>
      </c>
      <c r="E160" s="995">
        <f t="shared" si="10"/>
        <v>0</v>
      </c>
      <c r="F160" s="995">
        <f>E160</f>
        <v>0</v>
      </c>
      <c r="G160" s="995">
        <f>F160</f>
        <v>0</v>
      </c>
      <c r="H160" s="987"/>
      <c r="I160" s="985">
        <f>+D160*$H$160</f>
        <v>0</v>
      </c>
      <c r="J160" s="985">
        <f>+E160*$H$160</f>
        <v>0</v>
      </c>
      <c r="K160" s="985">
        <f>+F160*$H$160</f>
        <v>0</v>
      </c>
      <c r="L160" s="985">
        <f>+G160*$H$160</f>
        <v>0</v>
      </c>
      <c r="M160" s="968"/>
    </row>
    <row r="161" spans="1:13">
      <c r="A161" s="968"/>
      <c r="B161" s="984" t="s">
        <v>2379</v>
      </c>
      <c r="C161" s="907"/>
      <c r="D161" s="986"/>
      <c r="E161" s="986"/>
      <c r="F161" s="986"/>
      <c r="G161" s="986"/>
      <c r="H161" s="986"/>
      <c r="I161" s="857">
        <f>SUM(I162:I165)</f>
        <v>0</v>
      </c>
      <c r="J161" s="857">
        <f>SUM(J162:J165)</f>
        <v>0</v>
      </c>
      <c r="K161" s="857">
        <f>SUM(K162:K165)</f>
        <v>0</v>
      </c>
      <c r="L161" s="857">
        <f>SUM(L162:L165)</f>
        <v>0</v>
      </c>
      <c r="M161" s="968"/>
    </row>
    <row r="162" spans="1:13" ht="25.5">
      <c r="A162" s="968"/>
      <c r="B162" s="916" t="s">
        <v>3178</v>
      </c>
      <c r="C162" s="907" t="s">
        <v>2363</v>
      </c>
      <c r="D162" s="986">
        <f>'Planteamiento Técnico'!$C$148*'Planteamiento Técnico'!$O$159*4*12/18</f>
        <v>0</v>
      </c>
      <c r="E162" s="986">
        <f>D162</f>
        <v>0</v>
      </c>
      <c r="F162" s="986">
        <f>E162</f>
        <v>0</v>
      </c>
      <c r="G162" s="986">
        <f>F162</f>
        <v>0</v>
      </c>
      <c r="H162" s="987"/>
      <c r="I162" s="985">
        <f>+D162*$H$162</f>
        <v>0</v>
      </c>
      <c r="J162" s="985">
        <f>+E162*$H$162</f>
        <v>0</v>
      </c>
      <c r="K162" s="985">
        <f>+F162*$H$162</f>
        <v>0</v>
      </c>
      <c r="L162" s="985">
        <f>+G162*$H$162</f>
        <v>0</v>
      </c>
      <c r="M162" s="968"/>
    </row>
    <row r="163" spans="1:13" ht="25.5">
      <c r="A163" s="968"/>
      <c r="B163" s="916" t="s">
        <v>3179</v>
      </c>
      <c r="C163" s="907" t="s">
        <v>2363</v>
      </c>
      <c r="D163" s="986">
        <f>'Planteamiento Técnico'!$C$148*'Planteamiento Técnico'!$O$165*4*12/10</f>
        <v>0</v>
      </c>
      <c r="E163" s="986"/>
      <c r="F163" s="986"/>
      <c r="G163" s="986"/>
      <c r="H163" s="987"/>
      <c r="I163" s="985"/>
      <c r="J163" s="985"/>
      <c r="K163" s="985"/>
      <c r="L163" s="985"/>
      <c r="M163" s="968"/>
    </row>
    <row r="164" spans="1:13" ht="25.5">
      <c r="A164" s="968"/>
      <c r="B164" s="916" t="s">
        <v>3180</v>
      </c>
      <c r="C164" s="907" t="s">
        <v>2363</v>
      </c>
      <c r="D164" s="986">
        <f>'Planteamiento Técnico'!$C$179*'Planteamiento Técnico'!$O$185*4*12/18</f>
        <v>0</v>
      </c>
      <c r="E164" s="986"/>
      <c r="F164" s="986"/>
      <c r="G164" s="986"/>
      <c r="H164" s="987"/>
      <c r="I164" s="985"/>
      <c r="J164" s="985"/>
      <c r="K164" s="985"/>
      <c r="L164" s="985"/>
      <c r="M164" s="968"/>
    </row>
    <row r="165" spans="1:13" ht="25.5">
      <c r="A165" s="968"/>
      <c r="B165" s="916" t="s">
        <v>3181</v>
      </c>
      <c r="C165" s="907" t="s">
        <v>2363</v>
      </c>
      <c r="D165" s="986">
        <f>'Planteamiento Técnico'!$C$179*'Planteamiento Técnico'!$O$191*4*12/10</f>
        <v>0</v>
      </c>
      <c r="E165" s="986">
        <f>D165</f>
        <v>0</v>
      </c>
      <c r="F165" s="986">
        <f>E165</f>
        <v>0</v>
      </c>
      <c r="G165" s="986">
        <f>F165</f>
        <v>0</v>
      </c>
      <c r="H165" s="987"/>
      <c r="I165" s="985">
        <f>+D165*$H$165</f>
        <v>0</v>
      </c>
      <c r="J165" s="985">
        <f>+E165*$H$165</f>
        <v>0</v>
      </c>
      <c r="K165" s="985">
        <f>+F165*$H$165</f>
        <v>0</v>
      </c>
      <c r="L165" s="985">
        <f>+G165*$H$165</f>
        <v>0</v>
      </c>
      <c r="M165" s="968"/>
    </row>
    <row r="166" spans="1:13">
      <c r="A166" s="968"/>
      <c r="B166" s="989"/>
      <c r="C166" s="955"/>
      <c r="D166" s="991"/>
      <c r="E166" s="991"/>
      <c r="F166" s="991"/>
      <c r="G166" s="991"/>
      <c r="H166" s="991"/>
      <c r="I166" s="990"/>
      <c r="J166" s="990"/>
      <c r="K166" s="990"/>
      <c r="L166" s="990"/>
      <c r="M166" s="968"/>
    </row>
    <row r="167" spans="1:13">
      <c r="A167" s="1931" t="s">
        <v>2340</v>
      </c>
      <c r="B167" s="1931"/>
      <c r="C167" s="1942" t="s">
        <v>2380</v>
      </c>
      <c r="D167" s="1942"/>
      <c r="E167" s="1942"/>
      <c r="F167" s="1942"/>
      <c r="G167" s="1942"/>
      <c r="H167" s="1942"/>
      <c r="I167" s="1942"/>
      <c r="J167" s="1942"/>
      <c r="K167" s="1942"/>
      <c r="L167" s="1942"/>
      <c r="M167" s="968"/>
    </row>
    <row r="168" spans="1:13">
      <c r="A168" s="968"/>
      <c r="B168" s="968"/>
      <c r="M168" s="968"/>
    </row>
    <row r="169" spans="1:13" ht="51">
      <c r="A169" s="968"/>
      <c r="B169" s="578" t="s">
        <v>7</v>
      </c>
      <c r="C169" s="578" t="s">
        <v>11</v>
      </c>
      <c r="D169" s="578" t="s">
        <v>2309</v>
      </c>
      <c r="E169" s="578" t="s">
        <v>2310</v>
      </c>
      <c r="F169" s="578" t="s">
        <v>2311</v>
      </c>
      <c r="G169" s="578" t="s">
        <v>2312</v>
      </c>
      <c r="H169" s="578" t="s">
        <v>3270</v>
      </c>
      <c r="I169" s="578" t="s">
        <v>2330</v>
      </c>
      <c r="J169" s="578" t="s">
        <v>2331</v>
      </c>
      <c r="K169" s="578" t="s">
        <v>2332</v>
      </c>
      <c r="L169" s="578" t="s">
        <v>2333</v>
      </c>
      <c r="M169" s="968"/>
    </row>
    <row r="170" spans="1:13">
      <c r="A170" s="968"/>
      <c r="B170" s="984" t="s">
        <v>206</v>
      </c>
      <c r="C170" s="907"/>
      <c r="D170" s="907"/>
      <c r="E170" s="907"/>
      <c r="F170" s="907"/>
      <c r="G170" s="907"/>
      <c r="H170" s="907"/>
      <c r="I170" s="857">
        <f>+I171+I172</f>
        <v>0</v>
      </c>
      <c r="J170" s="857">
        <f>+J171+J172</f>
        <v>0</v>
      </c>
      <c r="K170" s="857">
        <f>+K171+K172</f>
        <v>0</v>
      </c>
      <c r="L170" s="857">
        <f>+L171+L172</f>
        <v>0</v>
      </c>
      <c r="M170" s="968"/>
    </row>
    <row r="171" spans="1:13">
      <c r="A171" s="968"/>
      <c r="B171" s="913" t="s">
        <v>208</v>
      </c>
      <c r="C171" s="985" t="s">
        <v>2344</v>
      </c>
      <c r="D171" s="935">
        <f>'Planteamiento Técnico'!D301</f>
        <v>0</v>
      </c>
      <c r="E171" s="935">
        <f t="shared" ref="E171:G172" si="11">D171</f>
        <v>0</v>
      </c>
      <c r="F171" s="935">
        <f t="shared" si="11"/>
        <v>0</v>
      </c>
      <c r="G171" s="935">
        <f t="shared" si="11"/>
        <v>0</v>
      </c>
      <c r="H171" s="987"/>
      <c r="I171" s="985">
        <f>+D171*$H$171</f>
        <v>0</v>
      </c>
      <c r="J171" s="985">
        <f>+E171*$H$171</f>
        <v>0</v>
      </c>
      <c r="K171" s="985">
        <f>+F171*$H$171</f>
        <v>0</v>
      </c>
      <c r="L171" s="985">
        <f>+G171*$H$171</f>
        <v>0</v>
      </c>
      <c r="M171" s="968"/>
    </row>
    <row r="172" spans="1:13">
      <c r="A172" s="968"/>
      <c r="B172" s="913" t="s">
        <v>224</v>
      </c>
      <c r="C172" s="985" t="s">
        <v>2366</v>
      </c>
      <c r="D172" s="935">
        <f>'Planteamiento Técnico'!D298</f>
        <v>0</v>
      </c>
      <c r="E172" s="935">
        <f t="shared" si="11"/>
        <v>0</v>
      </c>
      <c r="F172" s="935">
        <f t="shared" si="11"/>
        <v>0</v>
      </c>
      <c r="G172" s="935">
        <f t="shared" si="11"/>
        <v>0</v>
      </c>
      <c r="H172" s="987"/>
      <c r="I172" s="985">
        <f>+D172*$H$172</f>
        <v>0</v>
      </c>
      <c r="J172" s="985">
        <f>+E172*$H$172</f>
        <v>0</v>
      </c>
      <c r="K172" s="985">
        <f>+F172*$H$172</f>
        <v>0</v>
      </c>
      <c r="L172" s="985">
        <f>+G172*$H$172</f>
        <v>0</v>
      </c>
      <c r="M172" s="968"/>
    </row>
    <row r="173" spans="1:13">
      <c r="A173" s="968"/>
      <c r="B173" s="984" t="s">
        <v>2367</v>
      </c>
      <c r="C173" s="985"/>
      <c r="D173" s="986"/>
      <c r="E173" s="986"/>
      <c r="F173" s="986"/>
      <c r="G173" s="986"/>
      <c r="H173" s="986"/>
      <c r="I173" s="857">
        <f>SUM(I174:I181)</f>
        <v>0</v>
      </c>
      <c r="J173" s="857">
        <f>SUM(J174:J181)</f>
        <v>0</v>
      </c>
      <c r="K173" s="857">
        <f>SUM(K174:K181)</f>
        <v>0</v>
      </c>
      <c r="L173" s="857">
        <f>SUM(L174:L181)</f>
        <v>0</v>
      </c>
      <c r="M173" s="968"/>
    </row>
    <row r="174" spans="1:13">
      <c r="A174" s="968"/>
      <c r="B174" s="994" t="str">
        <f>'Planteamiento Técnico'!B305</f>
        <v>Escobas de paja</v>
      </c>
      <c r="C174" s="907" t="s">
        <v>11</v>
      </c>
      <c r="D174" s="928">
        <f>'Planteamiento Técnico'!G305</f>
        <v>0</v>
      </c>
      <c r="E174" s="928">
        <f>D174</f>
        <v>0</v>
      </c>
      <c r="F174" s="928">
        <f>E174</f>
        <v>0</v>
      </c>
      <c r="G174" s="928">
        <f>F174</f>
        <v>0</v>
      </c>
      <c r="H174" s="987"/>
      <c r="I174" s="985">
        <f>+D174*$H$174</f>
        <v>0</v>
      </c>
      <c r="J174" s="985">
        <f>+E174*$H$174</f>
        <v>0</v>
      </c>
      <c r="K174" s="985">
        <f>+F174*$H$174</f>
        <v>0</v>
      </c>
      <c r="L174" s="985">
        <f>+G174*$H$174</f>
        <v>0</v>
      </c>
      <c r="M174" s="968"/>
    </row>
    <row r="175" spans="1:13">
      <c r="A175" s="968"/>
      <c r="B175" s="994" t="str">
        <f>'Planteamiento Técnico'!B306</f>
        <v>Manta de nylon</v>
      </c>
      <c r="C175" s="907" t="s">
        <v>11</v>
      </c>
      <c r="D175" s="928">
        <f>'Planteamiento Técnico'!G306</f>
        <v>0</v>
      </c>
      <c r="E175" s="928">
        <f t="shared" ref="E175:G181" si="12">D175</f>
        <v>0</v>
      </c>
      <c r="F175" s="928">
        <f t="shared" si="12"/>
        <v>0</v>
      </c>
      <c r="G175" s="928">
        <f t="shared" si="12"/>
        <v>0</v>
      </c>
      <c r="H175" s="987"/>
      <c r="I175" s="985">
        <f>+D175*$H$175</f>
        <v>0</v>
      </c>
      <c r="J175" s="985">
        <f>+E175*$H$175</f>
        <v>0</v>
      </c>
      <c r="K175" s="985">
        <f>+F175*$H$175</f>
        <v>0</v>
      </c>
      <c r="L175" s="985">
        <f>+G175*$H$175</f>
        <v>0</v>
      </c>
      <c r="M175" s="968"/>
    </row>
    <row r="176" spans="1:13">
      <c r="A176" s="968"/>
      <c r="B176" s="994" t="str">
        <f>'Planteamiento Técnico'!B307</f>
        <v>Pala cuchara</v>
      </c>
      <c r="C176" s="907" t="s">
        <v>11</v>
      </c>
      <c r="D176" s="928">
        <f>'Planteamiento Técnico'!G307</f>
        <v>0</v>
      </c>
      <c r="E176" s="928">
        <f t="shared" si="12"/>
        <v>0</v>
      </c>
      <c r="F176" s="928">
        <f t="shared" si="12"/>
        <v>0</v>
      </c>
      <c r="G176" s="928">
        <f t="shared" si="12"/>
        <v>0</v>
      </c>
      <c r="H176" s="987"/>
      <c r="I176" s="985">
        <f>+D176*$H$176</f>
        <v>0</v>
      </c>
      <c r="J176" s="985">
        <f>+E176*$H$176</f>
        <v>0</v>
      </c>
      <c r="K176" s="985">
        <f>+F176*$H$176</f>
        <v>0</v>
      </c>
      <c r="L176" s="985">
        <f>+G176*$H$176</f>
        <v>0</v>
      </c>
      <c r="M176" s="968"/>
    </row>
    <row r="177" spans="1:13">
      <c r="A177" s="968"/>
      <c r="B177" s="994" t="str">
        <f>'Planteamiento Técnico'!B308</f>
        <v>Zapas</v>
      </c>
      <c r="C177" s="907" t="s">
        <v>11</v>
      </c>
      <c r="D177" s="928">
        <f>'Planteamiento Técnico'!G308</f>
        <v>0</v>
      </c>
      <c r="E177" s="928">
        <f t="shared" si="12"/>
        <v>0</v>
      </c>
      <c r="F177" s="928">
        <f t="shared" si="12"/>
        <v>0</v>
      </c>
      <c r="G177" s="928">
        <f t="shared" si="12"/>
        <v>0</v>
      </c>
      <c r="H177" s="987"/>
      <c r="I177" s="985">
        <f>+D177*$H$177</f>
        <v>0</v>
      </c>
      <c r="J177" s="985">
        <f>+E177*$H$177</f>
        <v>0</v>
      </c>
      <c r="K177" s="985">
        <f>+F177*$H$177</f>
        <v>0</v>
      </c>
      <c r="L177" s="985">
        <f>+G177*$H$177</f>
        <v>0</v>
      </c>
      <c r="M177" s="968"/>
    </row>
    <row r="178" spans="1:13">
      <c r="A178" s="968"/>
      <c r="B178" s="994" t="str">
        <f>'Planteamiento Técnico'!B309</f>
        <v xml:space="preserve">Rastrillos </v>
      </c>
      <c r="C178" s="907" t="s">
        <v>11</v>
      </c>
      <c r="D178" s="928">
        <f>'Planteamiento Técnico'!G309</f>
        <v>0</v>
      </c>
      <c r="E178" s="928">
        <f t="shared" si="12"/>
        <v>0</v>
      </c>
      <c r="F178" s="928">
        <f t="shared" si="12"/>
        <v>0</v>
      </c>
      <c r="G178" s="928">
        <f t="shared" si="12"/>
        <v>0</v>
      </c>
      <c r="H178" s="987"/>
      <c r="I178" s="985">
        <f>+D178*$H$178</f>
        <v>0</v>
      </c>
      <c r="J178" s="985">
        <f>+E178*$H$178</f>
        <v>0</v>
      </c>
      <c r="K178" s="985">
        <f>+F178*$H$178</f>
        <v>0</v>
      </c>
      <c r="L178" s="985">
        <f>+G178*$H$178</f>
        <v>0</v>
      </c>
      <c r="M178" s="968"/>
    </row>
    <row r="179" spans="1:13" ht="25.5">
      <c r="A179" s="968"/>
      <c r="B179" s="994" t="str">
        <f>'Planteamiento Técnico'!B310</f>
        <v>Conos de seguridad color naranja fosforescente</v>
      </c>
      <c r="C179" s="907" t="s">
        <v>11</v>
      </c>
      <c r="D179" s="928">
        <f>'Planteamiento Técnico'!G310</f>
        <v>0</v>
      </c>
      <c r="E179" s="928">
        <f t="shared" si="12"/>
        <v>0</v>
      </c>
      <c r="F179" s="928">
        <f t="shared" si="12"/>
        <v>0</v>
      </c>
      <c r="G179" s="928">
        <f t="shared" si="12"/>
        <v>0</v>
      </c>
      <c r="H179" s="987"/>
      <c r="I179" s="985">
        <f>+D179*$H$179</f>
        <v>0</v>
      </c>
      <c r="J179" s="985">
        <f>+E179*$H$179</f>
        <v>0</v>
      </c>
      <c r="K179" s="985">
        <f>+F179*$H$179</f>
        <v>0</v>
      </c>
      <c r="L179" s="985">
        <f>+G179*$H$179</f>
        <v>0</v>
      </c>
      <c r="M179" s="968"/>
    </row>
    <row r="180" spans="1:13">
      <c r="A180" s="968"/>
      <c r="B180" s="994" t="str">
        <f>'Planteamiento Técnico'!B311</f>
        <v>Botiquín</v>
      </c>
      <c r="C180" s="907" t="s">
        <v>11</v>
      </c>
      <c r="D180" s="928">
        <f>'Planteamiento Técnico'!G311</f>
        <v>0</v>
      </c>
      <c r="E180" s="928">
        <f t="shared" si="12"/>
        <v>0</v>
      </c>
      <c r="F180" s="928">
        <f t="shared" si="12"/>
        <v>0</v>
      </c>
      <c r="G180" s="928">
        <f t="shared" si="12"/>
        <v>0</v>
      </c>
      <c r="H180" s="987"/>
      <c r="I180" s="985">
        <f>+D180*$H$180</f>
        <v>0</v>
      </c>
      <c r="J180" s="985">
        <f>+E180*$H$180</f>
        <v>0</v>
      </c>
      <c r="K180" s="985">
        <f>+F180*$H$180</f>
        <v>0</v>
      </c>
      <c r="L180" s="985">
        <f>+G180*$H$180</f>
        <v>0</v>
      </c>
      <c r="M180" s="968"/>
    </row>
    <row r="181" spans="1:13">
      <c r="A181" s="968"/>
      <c r="B181" s="994" t="str">
        <f>'Planteamiento Técnico'!B312</f>
        <v>Extintor</v>
      </c>
      <c r="C181" s="907" t="s">
        <v>11</v>
      </c>
      <c r="D181" s="928">
        <f>'Planteamiento Técnico'!G312</f>
        <v>0</v>
      </c>
      <c r="E181" s="928">
        <f t="shared" si="12"/>
        <v>0</v>
      </c>
      <c r="F181" s="928">
        <f t="shared" si="12"/>
        <v>0</v>
      </c>
      <c r="G181" s="928">
        <f t="shared" si="12"/>
        <v>0</v>
      </c>
      <c r="H181" s="987"/>
      <c r="I181" s="985">
        <f>+D181*$H$181</f>
        <v>0</v>
      </c>
      <c r="J181" s="985">
        <f>+E181*$H$181</f>
        <v>0</v>
      </c>
      <c r="K181" s="985">
        <f>+F181*$H$181</f>
        <v>0</v>
      </c>
      <c r="L181" s="985">
        <f>+G181*$H$181</f>
        <v>0</v>
      </c>
      <c r="M181" s="968"/>
    </row>
    <row r="182" spans="1:13">
      <c r="A182" s="968"/>
      <c r="B182" s="984" t="s">
        <v>2347</v>
      </c>
      <c r="C182" s="985"/>
      <c r="D182" s="986"/>
      <c r="E182" s="986"/>
      <c r="F182" s="986"/>
      <c r="G182" s="986"/>
      <c r="H182" s="986"/>
      <c r="I182" s="857">
        <f>+SUM(I183:I184)</f>
        <v>0</v>
      </c>
      <c r="J182" s="857">
        <f>+SUM(J183:J184)</f>
        <v>0</v>
      </c>
      <c r="K182" s="857">
        <f>+SUM(K183:K184)</f>
        <v>0</v>
      </c>
      <c r="L182" s="857">
        <f>+SUM(L183:L184)</f>
        <v>0</v>
      </c>
      <c r="M182" s="968"/>
    </row>
    <row r="183" spans="1:13">
      <c r="A183" s="968"/>
      <c r="B183" s="913" t="s">
        <v>205</v>
      </c>
      <c r="C183" s="907" t="s">
        <v>12</v>
      </c>
      <c r="D183" s="935">
        <f>(D171+D172)*12</f>
        <v>0</v>
      </c>
      <c r="E183" s="935">
        <f>(E171+E172)*12</f>
        <v>0</v>
      </c>
      <c r="F183" s="935">
        <f>(F171+F172)*12</f>
        <v>0</v>
      </c>
      <c r="G183" s="935">
        <f>(G171+G172)*12</f>
        <v>0</v>
      </c>
      <c r="H183" s="987"/>
      <c r="I183" s="985">
        <f>+D183*$H$183</f>
        <v>0</v>
      </c>
      <c r="J183" s="985">
        <f>+E183*$H$183</f>
        <v>0</v>
      </c>
      <c r="K183" s="985">
        <f>+F183*$H$183</f>
        <v>0</v>
      </c>
      <c r="L183" s="985">
        <f>+G183*$H$183</f>
        <v>0</v>
      </c>
      <c r="M183" s="968"/>
    </row>
    <row r="184" spans="1:13">
      <c r="A184" s="968"/>
      <c r="B184" s="913" t="s">
        <v>687</v>
      </c>
      <c r="C184" s="907" t="s">
        <v>12</v>
      </c>
      <c r="D184" s="986">
        <f>ROUNDUP(((D171+D172)/5)*12,0)</f>
        <v>0</v>
      </c>
      <c r="E184" s="986">
        <f>ROUNDUP(((E171+E172)/5)*12,0)</f>
        <v>0</v>
      </c>
      <c r="F184" s="986">
        <f>ROUNDUP(((F171+F172)/5)*12,0)</f>
        <v>0</v>
      </c>
      <c r="G184" s="986">
        <f>ROUNDUP(((G171+G172)/5)*12,0)</f>
        <v>0</v>
      </c>
      <c r="H184" s="987"/>
      <c r="I184" s="985">
        <f>+D184*$H$184</f>
        <v>0</v>
      </c>
      <c r="J184" s="985">
        <f>+E184*$H$184</f>
        <v>0</v>
      </c>
      <c r="K184" s="985">
        <f>+F184*$H$184</f>
        <v>0</v>
      </c>
      <c r="L184" s="985">
        <f>+G184*$H$184</f>
        <v>0</v>
      </c>
      <c r="M184" s="968"/>
    </row>
    <row r="185" spans="1:13">
      <c r="A185" s="968"/>
      <c r="B185" s="984" t="s">
        <v>2368</v>
      </c>
      <c r="C185" s="985"/>
      <c r="D185" s="986"/>
      <c r="E185" s="986"/>
      <c r="F185" s="986"/>
      <c r="G185" s="986"/>
      <c r="H185" s="986"/>
      <c r="I185" s="857">
        <f>SUM(I186:I198)</f>
        <v>0</v>
      </c>
      <c r="J185" s="857">
        <f>SUM(J186:J198)</f>
        <v>0</v>
      </c>
      <c r="K185" s="857">
        <f>SUM(K186:K198)</f>
        <v>0</v>
      </c>
      <c r="L185" s="857">
        <f>SUM(L186:L198)</f>
        <v>0</v>
      </c>
      <c r="M185" s="968"/>
    </row>
    <row r="186" spans="1:13">
      <c r="A186" s="968"/>
      <c r="B186" s="994" t="str">
        <f>'Planteamiento Técnico'!B317</f>
        <v>Camisaco con cinta reflectiva</v>
      </c>
      <c r="C186" s="907" t="s">
        <v>11</v>
      </c>
      <c r="D186" s="986">
        <f>'Planteamiento Técnico'!G317</f>
        <v>0</v>
      </c>
      <c r="E186" s="986">
        <f>D186</f>
        <v>0</v>
      </c>
      <c r="F186" s="986">
        <f>E186</f>
        <v>0</v>
      </c>
      <c r="G186" s="986">
        <f>F186</f>
        <v>0</v>
      </c>
      <c r="H186" s="987"/>
      <c r="I186" s="985">
        <f>+D186*$H$186</f>
        <v>0</v>
      </c>
      <c r="J186" s="985">
        <f>+E186*$H$186</f>
        <v>0</v>
      </c>
      <c r="K186" s="985">
        <f>+F186*$H$186</f>
        <v>0</v>
      </c>
      <c r="L186" s="985">
        <f>+G186*$H$186</f>
        <v>0</v>
      </c>
      <c r="M186" s="968"/>
    </row>
    <row r="187" spans="1:13">
      <c r="A187" s="968"/>
      <c r="B187" s="994" t="str">
        <f>'Planteamiento Técnico'!B318</f>
        <v>Pantalón con cinta reflectiva</v>
      </c>
      <c r="C187" s="907" t="s">
        <v>11</v>
      </c>
      <c r="D187" s="986">
        <f>'Planteamiento Técnico'!G318</f>
        <v>0</v>
      </c>
      <c r="E187" s="986">
        <f t="shared" ref="E187:G198" si="13">D187</f>
        <v>0</v>
      </c>
      <c r="F187" s="986">
        <f t="shared" si="13"/>
        <v>0</v>
      </c>
      <c r="G187" s="986">
        <f t="shared" si="13"/>
        <v>0</v>
      </c>
      <c r="H187" s="987"/>
      <c r="I187" s="985">
        <f>+D187*$H$187</f>
        <v>0</v>
      </c>
      <c r="J187" s="985">
        <f>+E187*$H$187</f>
        <v>0</v>
      </c>
      <c r="K187" s="985">
        <f>+F187*$H$187</f>
        <v>0</v>
      </c>
      <c r="L187" s="985">
        <f>+G187*$H$187</f>
        <v>0</v>
      </c>
      <c r="M187" s="968"/>
    </row>
    <row r="188" spans="1:13">
      <c r="A188" s="968"/>
      <c r="B188" s="994" t="str">
        <f>'Planteamiento Técnico'!B319</f>
        <v>Polos</v>
      </c>
      <c r="C188" s="907" t="s">
        <v>11</v>
      </c>
      <c r="D188" s="986">
        <f>'Planteamiento Técnico'!G319</f>
        <v>0</v>
      </c>
      <c r="E188" s="986">
        <f t="shared" si="13"/>
        <v>0</v>
      </c>
      <c r="F188" s="986">
        <f t="shared" si="13"/>
        <v>0</v>
      </c>
      <c r="G188" s="986">
        <f t="shared" si="13"/>
        <v>0</v>
      </c>
      <c r="H188" s="987"/>
      <c r="I188" s="985">
        <f>+D188*$H$188</f>
        <v>0</v>
      </c>
      <c r="J188" s="985">
        <f>+E188*$H$124</f>
        <v>0</v>
      </c>
      <c r="K188" s="985">
        <f>+F188*$H$124</f>
        <v>0</v>
      </c>
      <c r="L188" s="985">
        <f>+G188*$H$124</f>
        <v>0</v>
      </c>
      <c r="M188" s="968"/>
    </row>
    <row r="189" spans="1:13">
      <c r="A189" s="968"/>
      <c r="B189" s="994" t="str">
        <f>'Planteamiento Técnico'!B320</f>
        <v>Faja</v>
      </c>
      <c r="C189" s="907" t="s">
        <v>11</v>
      </c>
      <c r="D189" s="986">
        <f>'Planteamiento Técnico'!G320</f>
        <v>0</v>
      </c>
      <c r="E189" s="986">
        <f t="shared" si="13"/>
        <v>0</v>
      </c>
      <c r="F189" s="986">
        <f t="shared" si="13"/>
        <v>0</v>
      </c>
      <c r="G189" s="986">
        <f t="shared" si="13"/>
        <v>0</v>
      </c>
      <c r="H189" s="987"/>
      <c r="I189" s="985">
        <f>+D189*H189</f>
        <v>0</v>
      </c>
      <c r="J189" s="985">
        <f>+E189*I189</f>
        <v>0</v>
      </c>
      <c r="K189" s="985">
        <f>+F189*J189</f>
        <v>0</v>
      </c>
      <c r="L189" s="985">
        <f>+G189*K189</f>
        <v>0</v>
      </c>
      <c r="M189" s="968"/>
    </row>
    <row r="190" spans="1:13">
      <c r="A190" s="968"/>
      <c r="B190" s="994" t="str">
        <f>'Planteamiento Técnico'!B321</f>
        <v>Gorro</v>
      </c>
      <c r="C190" s="907" t="s">
        <v>11</v>
      </c>
      <c r="D190" s="986">
        <f>'Planteamiento Técnico'!G321</f>
        <v>0</v>
      </c>
      <c r="E190" s="986">
        <f t="shared" si="13"/>
        <v>0</v>
      </c>
      <c r="F190" s="986">
        <f t="shared" si="13"/>
        <v>0</v>
      </c>
      <c r="G190" s="986">
        <f t="shared" si="13"/>
        <v>0</v>
      </c>
      <c r="H190" s="987"/>
      <c r="I190" s="985">
        <f>+D190*$H$190</f>
        <v>0</v>
      </c>
      <c r="J190" s="985">
        <f>+E190*$H$190</f>
        <v>0</v>
      </c>
      <c r="K190" s="985">
        <f>+F190*$H$190</f>
        <v>0</v>
      </c>
      <c r="L190" s="985">
        <f>+G190*$H$190</f>
        <v>0</v>
      </c>
      <c r="M190" s="968"/>
    </row>
    <row r="191" spans="1:13">
      <c r="A191" s="968"/>
      <c r="B191" s="994" t="str">
        <f>'Planteamiento Técnico'!B322</f>
        <v>Poncho impermeable</v>
      </c>
      <c r="C191" s="907" t="s">
        <v>11</v>
      </c>
      <c r="D191" s="986">
        <f>'Planteamiento Técnico'!G322</f>
        <v>0</v>
      </c>
      <c r="E191" s="986">
        <f t="shared" si="13"/>
        <v>0</v>
      </c>
      <c r="F191" s="986">
        <f t="shared" si="13"/>
        <v>0</v>
      </c>
      <c r="G191" s="986">
        <f t="shared" si="13"/>
        <v>0</v>
      </c>
      <c r="H191" s="987"/>
      <c r="I191" s="985">
        <f>+D191*$H$191</f>
        <v>0</v>
      </c>
      <c r="J191" s="985">
        <f>+E191*$H$191</f>
        <v>0</v>
      </c>
      <c r="K191" s="985">
        <f>+F191*$H$191</f>
        <v>0</v>
      </c>
      <c r="L191" s="985">
        <f>+G191*$H$191</f>
        <v>0</v>
      </c>
      <c r="M191" s="968"/>
    </row>
    <row r="192" spans="1:13">
      <c r="A192" s="968"/>
      <c r="B192" s="994" t="str">
        <f>'Planteamiento Técnico'!B323</f>
        <v>Lentes</v>
      </c>
      <c r="C192" s="907" t="s">
        <v>11</v>
      </c>
      <c r="D192" s="986">
        <f>'Planteamiento Técnico'!G323</f>
        <v>0</v>
      </c>
      <c r="E192" s="986">
        <f t="shared" si="13"/>
        <v>0</v>
      </c>
      <c r="F192" s="986">
        <f t="shared" si="13"/>
        <v>0</v>
      </c>
      <c r="G192" s="986">
        <f t="shared" si="13"/>
        <v>0</v>
      </c>
      <c r="H192" s="987"/>
      <c r="I192" s="985">
        <f>+D192*$H$192</f>
        <v>0</v>
      </c>
      <c r="J192" s="985">
        <f>+E192*$H$192</f>
        <v>0</v>
      </c>
      <c r="K192" s="985">
        <f>+F192*$H$192</f>
        <v>0</v>
      </c>
      <c r="L192" s="985">
        <f>+G192*$H$192</f>
        <v>0</v>
      </c>
      <c r="M192" s="968"/>
    </row>
    <row r="193" spans="1:13">
      <c r="A193" s="968"/>
      <c r="B193" s="994" t="str">
        <f>'Planteamiento Técnico'!B324</f>
        <v>Guante nylon</v>
      </c>
      <c r="C193" s="907" t="s">
        <v>11</v>
      </c>
      <c r="D193" s="986">
        <f>'Planteamiento Técnico'!G324</f>
        <v>0</v>
      </c>
      <c r="E193" s="986">
        <f t="shared" si="13"/>
        <v>0</v>
      </c>
      <c r="F193" s="986">
        <f t="shared" si="13"/>
        <v>0</v>
      </c>
      <c r="G193" s="986">
        <f t="shared" si="13"/>
        <v>0</v>
      </c>
      <c r="H193" s="987"/>
      <c r="I193" s="985">
        <f>+D193*$H$193</f>
        <v>0</v>
      </c>
      <c r="J193" s="985">
        <f>+E193*$H$193</f>
        <v>0</v>
      </c>
      <c r="K193" s="985">
        <f>+F193*$H$193</f>
        <v>0</v>
      </c>
      <c r="L193" s="985">
        <f>+G193*$H$193</f>
        <v>0</v>
      </c>
      <c r="M193" s="968"/>
    </row>
    <row r="194" spans="1:13">
      <c r="A194" s="968"/>
      <c r="B194" s="994" t="str">
        <f>'Planteamiento Técnico'!B325</f>
        <v>Guantes de cuero reforzados</v>
      </c>
      <c r="C194" s="907" t="s">
        <v>11</v>
      </c>
      <c r="D194" s="986">
        <f>'Planteamiento Técnico'!G325</f>
        <v>0</v>
      </c>
      <c r="E194" s="986">
        <f t="shared" si="13"/>
        <v>0</v>
      </c>
      <c r="F194" s="986">
        <f t="shared" si="13"/>
        <v>0</v>
      </c>
      <c r="G194" s="986">
        <f t="shared" si="13"/>
        <v>0</v>
      </c>
      <c r="H194" s="987"/>
      <c r="I194" s="985">
        <f>+D194*$H$194</f>
        <v>0</v>
      </c>
      <c r="J194" s="985">
        <f>+E194*$H$194</f>
        <v>0</v>
      </c>
      <c r="K194" s="985">
        <f>+F194*$H$194</f>
        <v>0</v>
      </c>
      <c r="L194" s="985">
        <f>+G194*$H$194</f>
        <v>0</v>
      </c>
      <c r="M194" s="968"/>
    </row>
    <row r="195" spans="1:13">
      <c r="A195" s="968"/>
      <c r="B195" s="994" t="str">
        <f>'Planteamiento Técnico'!B326</f>
        <v>Mascarilla de Drill</v>
      </c>
      <c r="C195" s="907" t="s">
        <v>11</v>
      </c>
      <c r="D195" s="986">
        <f>'Planteamiento Técnico'!G326</f>
        <v>0</v>
      </c>
      <c r="E195" s="986">
        <f t="shared" si="13"/>
        <v>0</v>
      </c>
      <c r="F195" s="986">
        <f t="shared" si="13"/>
        <v>0</v>
      </c>
      <c r="G195" s="986">
        <f t="shared" si="13"/>
        <v>0</v>
      </c>
      <c r="H195" s="987"/>
      <c r="I195" s="985">
        <f>+D195*$H$195</f>
        <v>0</v>
      </c>
      <c r="J195" s="985">
        <f>+E195*$H$195</f>
        <v>0</v>
      </c>
      <c r="K195" s="985">
        <f>+F195*$H$195</f>
        <v>0</v>
      </c>
      <c r="L195" s="985">
        <f>+G195*$H$195</f>
        <v>0</v>
      </c>
      <c r="M195" s="968"/>
    </row>
    <row r="196" spans="1:13">
      <c r="A196" s="968"/>
      <c r="B196" s="994" t="str">
        <f>'Planteamiento Técnico'!B327</f>
        <v>Botín de cuero con punta de acero</v>
      </c>
      <c r="C196" s="907" t="s">
        <v>262</v>
      </c>
      <c r="D196" s="986">
        <f>'Planteamiento Técnico'!G327</f>
        <v>0</v>
      </c>
      <c r="E196" s="986">
        <f t="shared" si="13"/>
        <v>0</v>
      </c>
      <c r="F196" s="986">
        <f t="shared" si="13"/>
        <v>0</v>
      </c>
      <c r="G196" s="986">
        <f t="shared" si="13"/>
        <v>0</v>
      </c>
      <c r="H196" s="987"/>
      <c r="I196" s="985">
        <f>+D196*$H$196</f>
        <v>0</v>
      </c>
      <c r="J196" s="985">
        <f>+E196*$H$196</f>
        <v>0</v>
      </c>
      <c r="K196" s="985">
        <f>+F196*$H$196</f>
        <v>0</v>
      </c>
      <c r="L196" s="985">
        <f>+G196*$H$196</f>
        <v>0</v>
      </c>
      <c r="M196" s="968"/>
    </row>
    <row r="197" spans="1:13">
      <c r="A197" s="968"/>
      <c r="B197" s="994" t="str">
        <f>'Planteamiento Técnico'!B328</f>
        <v>Botas de jebe con forro</v>
      </c>
      <c r="C197" s="907" t="s">
        <v>262</v>
      </c>
      <c r="D197" s="986">
        <f>'Planteamiento Técnico'!G328</f>
        <v>0</v>
      </c>
      <c r="E197" s="986">
        <f t="shared" si="13"/>
        <v>0</v>
      </c>
      <c r="F197" s="986">
        <f t="shared" si="13"/>
        <v>0</v>
      </c>
      <c r="G197" s="986">
        <f t="shared" si="13"/>
        <v>0</v>
      </c>
      <c r="H197" s="987"/>
      <c r="I197" s="985">
        <f>+D197*$H$197</f>
        <v>0</v>
      </c>
      <c r="J197" s="985">
        <f>+E197*$H$197</f>
        <v>0</v>
      </c>
      <c r="K197" s="985">
        <f>+F197*$H$197</f>
        <v>0</v>
      </c>
      <c r="L197" s="985">
        <f>+G197*$H$197</f>
        <v>0</v>
      </c>
      <c r="M197" s="968"/>
    </row>
    <row r="198" spans="1:13">
      <c r="A198" s="968"/>
      <c r="B198" s="994" t="str">
        <f>'Planteamiento Técnico'!B329</f>
        <v>Mochilas</v>
      </c>
      <c r="C198" s="907" t="s">
        <v>11</v>
      </c>
      <c r="D198" s="986">
        <f>'Planteamiento Técnico'!G329</f>
        <v>0</v>
      </c>
      <c r="E198" s="986">
        <f t="shared" si="13"/>
        <v>0</v>
      </c>
      <c r="F198" s="986">
        <f t="shared" si="13"/>
        <v>0</v>
      </c>
      <c r="G198" s="986">
        <f t="shared" si="13"/>
        <v>0</v>
      </c>
      <c r="H198" s="987"/>
      <c r="I198" s="985">
        <f>+D198*$H$198</f>
        <v>0</v>
      </c>
      <c r="J198" s="985">
        <f>+E198*$H$198</f>
        <v>0</v>
      </c>
      <c r="K198" s="985">
        <f>+F198*$H$198</f>
        <v>0</v>
      </c>
      <c r="L198" s="985">
        <f>+G198*$H$198</f>
        <v>0</v>
      </c>
      <c r="M198" s="968"/>
    </row>
    <row r="199" spans="1:13">
      <c r="A199" s="968"/>
      <c r="B199" s="984" t="s">
        <v>2370</v>
      </c>
      <c r="C199" s="985"/>
      <c r="D199" s="986"/>
      <c r="E199" s="986"/>
      <c r="F199" s="986"/>
      <c r="G199" s="986"/>
      <c r="H199" s="986"/>
      <c r="I199" s="857">
        <f>SUM(I200:I204)</f>
        <v>0</v>
      </c>
      <c r="J199" s="857">
        <f>SUM(J200:J204)</f>
        <v>0</v>
      </c>
      <c r="K199" s="857">
        <f>SUM(K200:K204)</f>
        <v>0</v>
      </c>
      <c r="L199" s="857">
        <f>SUM(L200:L204)</f>
        <v>0</v>
      </c>
      <c r="M199" s="968"/>
    </row>
    <row r="200" spans="1:13">
      <c r="A200" s="968"/>
      <c r="B200" s="994" t="str">
        <f>'Planteamiento Técnico'!B333</f>
        <v>Camisaco con cinta reflectiva</v>
      </c>
      <c r="C200" s="907" t="s">
        <v>11</v>
      </c>
      <c r="D200" s="986">
        <f>'Planteamiento Técnico'!G333</f>
        <v>0</v>
      </c>
      <c r="E200" s="986">
        <f>D200</f>
        <v>0</v>
      </c>
      <c r="F200" s="986">
        <f>E200</f>
        <v>0</v>
      </c>
      <c r="G200" s="986">
        <f>F200</f>
        <v>0</v>
      </c>
      <c r="H200" s="987"/>
      <c r="I200" s="985">
        <f>+D200*$H$200</f>
        <v>0</v>
      </c>
      <c r="J200" s="985">
        <f>+E200*$H$200</f>
        <v>0</v>
      </c>
      <c r="K200" s="985">
        <f>+F200*$H$200</f>
        <v>0</v>
      </c>
      <c r="L200" s="985">
        <f>+G200*$H$200</f>
        <v>0</v>
      </c>
      <c r="M200" s="968"/>
    </row>
    <row r="201" spans="1:13">
      <c r="A201" s="968"/>
      <c r="B201" s="994" t="str">
        <f>'Planteamiento Técnico'!B334</f>
        <v>Pantalón de drill con cinta reflectiva</v>
      </c>
      <c r="C201" s="907" t="s">
        <v>11</v>
      </c>
      <c r="D201" s="986">
        <f>'Planteamiento Técnico'!G334</f>
        <v>0</v>
      </c>
      <c r="E201" s="986">
        <f t="shared" ref="E201:G204" si="14">D201</f>
        <v>0</v>
      </c>
      <c r="F201" s="986">
        <f t="shared" si="14"/>
        <v>0</v>
      </c>
      <c r="G201" s="986">
        <f t="shared" si="14"/>
        <v>0</v>
      </c>
      <c r="H201" s="987"/>
      <c r="I201" s="985">
        <f>+D201*$H$201</f>
        <v>0</v>
      </c>
      <c r="J201" s="985">
        <f>+E201*$H$201</f>
        <v>0</v>
      </c>
      <c r="K201" s="985">
        <f>+F201*$H$201</f>
        <v>0</v>
      </c>
      <c r="L201" s="985">
        <f>+G201*$H$201</f>
        <v>0</v>
      </c>
      <c r="M201" s="968"/>
    </row>
    <row r="202" spans="1:13">
      <c r="A202" s="968"/>
      <c r="B202" s="994" t="str">
        <f>'Planteamiento Técnico'!B335</f>
        <v xml:space="preserve">Polos </v>
      </c>
      <c r="C202" s="907" t="s">
        <v>11</v>
      </c>
      <c r="D202" s="986">
        <f>'Planteamiento Técnico'!G335</f>
        <v>0</v>
      </c>
      <c r="E202" s="986">
        <f t="shared" si="14"/>
        <v>0</v>
      </c>
      <c r="F202" s="986">
        <f t="shared" si="14"/>
        <v>0</v>
      </c>
      <c r="G202" s="986">
        <f t="shared" si="14"/>
        <v>0</v>
      </c>
      <c r="H202" s="987"/>
      <c r="I202" s="985">
        <f>+D202*$H$202</f>
        <v>0</v>
      </c>
      <c r="J202" s="985">
        <f>+E202*$H$202</f>
        <v>0</v>
      </c>
      <c r="K202" s="985">
        <f>+F202*$H$202</f>
        <v>0</v>
      </c>
      <c r="L202" s="985">
        <f>+G202*$H$202</f>
        <v>0</v>
      </c>
      <c r="M202" s="968"/>
    </row>
    <row r="203" spans="1:13">
      <c r="A203" s="968"/>
      <c r="B203" s="994" t="str">
        <f>'Planteamiento Técnico'!B336</f>
        <v xml:space="preserve">Gorro taslan </v>
      </c>
      <c r="C203" s="907" t="s">
        <v>11</v>
      </c>
      <c r="D203" s="986">
        <f>'Planteamiento Técnico'!G336</f>
        <v>0</v>
      </c>
      <c r="E203" s="986">
        <f t="shared" si="14"/>
        <v>0</v>
      </c>
      <c r="F203" s="986">
        <f t="shared" si="14"/>
        <v>0</v>
      </c>
      <c r="G203" s="986">
        <f t="shared" si="14"/>
        <v>0</v>
      </c>
      <c r="H203" s="987"/>
      <c r="I203" s="985">
        <f>+D203*$H$203</f>
        <v>0</v>
      </c>
      <c r="J203" s="985">
        <f>+E203*$H$203</f>
        <v>0</v>
      </c>
      <c r="K203" s="985">
        <f>+F203*$H$203</f>
        <v>0</v>
      </c>
      <c r="L203" s="985">
        <f>+G203*$H$203</f>
        <v>0</v>
      </c>
      <c r="M203" s="968"/>
    </row>
    <row r="204" spans="1:13">
      <c r="A204" s="968"/>
      <c r="B204" s="994" t="str">
        <f>'Planteamiento Técnico'!B337</f>
        <v xml:space="preserve">Botín de cuero </v>
      </c>
      <c r="C204" s="907" t="s">
        <v>262</v>
      </c>
      <c r="D204" s="986">
        <f>'Planteamiento Técnico'!G337</f>
        <v>0</v>
      </c>
      <c r="E204" s="986">
        <f t="shared" si="14"/>
        <v>0</v>
      </c>
      <c r="F204" s="986">
        <f t="shared" si="14"/>
        <v>0</v>
      </c>
      <c r="G204" s="986">
        <f t="shared" si="14"/>
        <v>0</v>
      </c>
      <c r="H204" s="987"/>
      <c r="I204" s="985">
        <f>+D204*$H$204</f>
        <v>0</v>
      </c>
      <c r="J204" s="985">
        <f>+E204*$H$204</f>
        <v>0</v>
      </c>
      <c r="K204" s="985">
        <f>+F204*$H$204</f>
        <v>0</v>
      </c>
      <c r="L204" s="985">
        <f>+G204*$H$204</f>
        <v>0</v>
      </c>
      <c r="M204" s="968"/>
    </row>
    <row r="205" spans="1:13">
      <c r="A205" s="968"/>
      <c r="B205" s="984" t="s">
        <v>2371</v>
      </c>
      <c r="C205" s="985"/>
      <c r="D205" s="986"/>
      <c r="E205" s="986"/>
      <c r="F205" s="986"/>
      <c r="G205" s="986"/>
      <c r="H205" s="986"/>
      <c r="I205" s="857">
        <f>SUM(I206:I214)</f>
        <v>0</v>
      </c>
      <c r="J205" s="857">
        <f>SUM(J206:J214)</f>
        <v>0</v>
      </c>
      <c r="K205" s="857">
        <f>SUM(K206:K214)</f>
        <v>0</v>
      </c>
      <c r="L205" s="857">
        <f>SUM(L206:L214)</f>
        <v>0</v>
      </c>
      <c r="M205" s="968"/>
    </row>
    <row r="206" spans="1:13">
      <c r="A206" s="968"/>
      <c r="B206" s="994" t="s">
        <v>2372</v>
      </c>
      <c r="C206" s="907" t="s">
        <v>983</v>
      </c>
      <c r="D206" s="995">
        <f>'Planteamiento Técnico'!H285+'Planteamiento Técnico'!H280+'Planteamiento Técnico'!J266</f>
        <v>0</v>
      </c>
      <c r="E206" s="995">
        <f>D206</f>
        <v>0</v>
      </c>
      <c r="F206" s="995">
        <f>E206</f>
        <v>0</v>
      </c>
      <c r="G206" s="995">
        <f>F206</f>
        <v>0</v>
      </c>
      <c r="H206" s="987"/>
      <c r="I206" s="985">
        <f>+D206*$H$206</f>
        <v>0</v>
      </c>
      <c r="J206" s="985">
        <f>+E206*$H$206</f>
        <v>0</v>
      </c>
      <c r="K206" s="985">
        <f>+F206*$H$206</f>
        <v>0</v>
      </c>
      <c r="L206" s="985">
        <f>+G206*$H$206</f>
        <v>0</v>
      </c>
      <c r="M206" s="968"/>
    </row>
    <row r="207" spans="1:13" ht="25.5">
      <c r="A207" s="968"/>
      <c r="B207" s="994" t="s">
        <v>2373</v>
      </c>
      <c r="C207" s="907" t="s">
        <v>11</v>
      </c>
      <c r="D207" s="995">
        <f>D206</f>
        <v>0</v>
      </c>
      <c r="E207" s="995">
        <f t="shared" ref="E207:G214" si="15">D207</f>
        <v>0</v>
      </c>
      <c r="F207" s="995">
        <f t="shared" si="15"/>
        <v>0</v>
      </c>
      <c r="G207" s="995">
        <f t="shared" si="15"/>
        <v>0</v>
      </c>
      <c r="H207" s="987"/>
      <c r="I207" s="985">
        <f>+D207*$H$207</f>
        <v>0</v>
      </c>
      <c r="J207" s="985">
        <f>+E207*$H$207</f>
        <v>0</v>
      </c>
      <c r="K207" s="985">
        <f>+F207*$H$207</f>
        <v>0</v>
      </c>
      <c r="L207" s="985">
        <f>+G207*$H$207</f>
        <v>0</v>
      </c>
      <c r="M207" s="968"/>
    </row>
    <row r="208" spans="1:13" ht="25.5">
      <c r="A208" s="968"/>
      <c r="B208" s="994" t="s">
        <v>2374</v>
      </c>
      <c r="C208" s="907" t="s">
        <v>11</v>
      </c>
      <c r="D208" s="995">
        <f t="shared" ref="D208:D214" si="16">D207</f>
        <v>0</v>
      </c>
      <c r="E208" s="995">
        <f t="shared" si="15"/>
        <v>0</v>
      </c>
      <c r="F208" s="995">
        <f t="shared" si="15"/>
        <v>0</v>
      </c>
      <c r="G208" s="995">
        <f t="shared" si="15"/>
        <v>0</v>
      </c>
      <c r="H208" s="987"/>
      <c r="I208" s="985">
        <f>+D208*$H$208</f>
        <v>0</v>
      </c>
      <c r="J208" s="985">
        <f>+E208*$H$208</f>
        <v>0</v>
      </c>
      <c r="K208" s="985">
        <f>+F208*$H$208</f>
        <v>0</v>
      </c>
      <c r="L208" s="985">
        <f>+G208*$H$208</f>
        <v>0</v>
      </c>
      <c r="M208" s="968"/>
    </row>
    <row r="209" spans="1:13">
      <c r="A209" s="968"/>
      <c r="B209" s="994" t="s">
        <v>210</v>
      </c>
      <c r="C209" s="907" t="s">
        <v>11</v>
      </c>
      <c r="D209" s="995">
        <f t="shared" si="16"/>
        <v>0</v>
      </c>
      <c r="E209" s="995">
        <f t="shared" si="15"/>
        <v>0</v>
      </c>
      <c r="F209" s="995">
        <f t="shared" si="15"/>
        <v>0</v>
      </c>
      <c r="G209" s="995">
        <f t="shared" si="15"/>
        <v>0</v>
      </c>
      <c r="H209" s="987"/>
      <c r="I209" s="985">
        <f>+D209*$H$209</f>
        <v>0</v>
      </c>
      <c r="J209" s="985">
        <f>+E209*$H$209</f>
        <v>0</v>
      </c>
      <c r="K209" s="985">
        <f>+F209*$H$209</f>
        <v>0</v>
      </c>
      <c r="L209" s="985">
        <f>+G209*$H$209</f>
        <v>0</v>
      </c>
      <c r="M209" s="968"/>
    </row>
    <row r="210" spans="1:13">
      <c r="A210" s="968"/>
      <c r="B210" s="994" t="s">
        <v>211</v>
      </c>
      <c r="C210" s="907" t="s">
        <v>11</v>
      </c>
      <c r="D210" s="995">
        <f t="shared" si="16"/>
        <v>0</v>
      </c>
      <c r="E210" s="995">
        <f t="shared" si="15"/>
        <v>0</v>
      </c>
      <c r="F210" s="995">
        <f t="shared" si="15"/>
        <v>0</v>
      </c>
      <c r="G210" s="995">
        <f t="shared" si="15"/>
        <v>0</v>
      </c>
      <c r="H210" s="987"/>
      <c r="I210" s="985">
        <f>+D210*$H$210</f>
        <v>0</v>
      </c>
      <c r="J210" s="985">
        <f>+E210*$H$210</f>
        <v>0</v>
      </c>
      <c r="K210" s="985">
        <f>+F210*$H$210</f>
        <v>0</v>
      </c>
      <c r="L210" s="985">
        <f>+G210*$H$210</f>
        <v>0</v>
      </c>
      <c r="M210" s="968"/>
    </row>
    <row r="211" spans="1:13">
      <c r="A211" s="968"/>
      <c r="B211" s="994" t="s">
        <v>212</v>
      </c>
      <c r="C211" s="907" t="s">
        <v>11</v>
      </c>
      <c r="D211" s="995">
        <f t="shared" si="16"/>
        <v>0</v>
      </c>
      <c r="E211" s="995">
        <f t="shared" si="15"/>
        <v>0</v>
      </c>
      <c r="F211" s="995">
        <f t="shared" si="15"/>
        <v>0</v>
      </c>
      <c r="G211" s="995">
        <f t="shared" si="15"/>
        <v>0</v>
      </c>
      <c r="H211" s="987"/>
      <c r="I211" s="985">
        <f>+D211*$H$211</f>
        <v>0</v>
      </c>
      <c r="J211" s="985">
        <f>+E211*$H$211</f>
        <v>0</v>
      </c>
      <c r="K211" s="985">
        <f>+F211*$H$211</f>
        <v>0</v>
      </c>
      <c r="L211" s="985">
        <f>+G211*$H$211</f>
        <v>0</v>
      </c>
      <c r="M211" s="968"/>
    </row>
    <row r="212" spans="1:13">
      <c r="A212" s="968"/>
      <c r="B212" s="994" t="s">
        <v>213</v>
      </c>
      <c r="C212" s="907" t="s">
        <v>11</v>
      </c>
      <c r="D212" s="995">
        <f t="shared" si="16"/>
        <v>0</v>
      </c>
      <c r="E212" s="995">
        <f t="shared" si="15"/>
        <v>0</v>
      </c>
      <c r="F212" s="995">
        <f t="shared" si="15"/>
        <v>0</v>
      </c>
      <c r="G212" s="995">
        <f t="shared" si="15"/>
        <v>0</v>
      </c>
      <c r="H212" s="987"/>
      <c r="I212" s="985">
        <f>+D212*$H$212</f>
        <v>0</v>
      </c>
      <c r="J212" s="985">
        <f>+E212*$H$212</f>
        <v>0</v>
      </c>
      <c r="K212" s="985">
        <f>+F212*$H$212</f>
        <v>0</v>
      </c>
      <c r="L212" s="985">
        <f>+G212*$H$212</f>
        <v>0</v>
      </c>
      <c r="M212" s="968"/>
    </row>
    <row r="213" spans="1:13">
      <c r="A213" s="968"/>
      <c r="B213" s="994" t="s">
        <v>214</v>
      </c>
      <c r="C213" s="907" t="s">
        <v>11</v>
      </c>
      <c r="D213" s="995">
        <f t="shared" si="16"/>
        <v>0</v>
      </c>
      <c r="E213" s="995">
        <f t="shared" si="15"/>
        <v>0</v>
      </c>
      <c r="F213" s="995">
        <f t="shared" si="15"/>
        <v>0</v>
      </c>
      <c r="G213" s="995">
        <f t="shared" si="15"/>
        <v>0</v>
      </c>
      <c r="H213" s="987"/>
      <c r="I213" s="985">
        <f>+D213*$H$213</f>
        <v>0</v>
      </c>
      <c r="J213" s="985">
        <f>+E213*$H$213</f>
        <v>0</v>
      </c>
      <c r="K213" s="985">
        <f>+F213*$H$213</f>
        <v>0</v>
      </c>
      <c r="L213" s="985">
        <f>+G213*$H$213</f>
        <v>0</v>
      </c>
      <c r="M213" s="968"/>
    </row>
    <row r="214" spans="1:13">
      <c r="A214" s="968"/>
      <c r="B214" s="994" t="s">
        <v>215</v>
      </c>
      <c r="C214" s="907" t="s">
        <v>11</v>
      </c>
      <c r="D214" s="995">
        <f t="shared" si="16"/>
        <v>0</v>
      </c>
      <c r="E214" s="995">
        <f t="shared" si="15"/>
        <v>0</v>
      </c>
      <c r="F214" s="995">
        <f t="shared" si="15"/>
        <v>0</v>
      </c>
      <c r="G214" s="995">
        <f t="shared" si="15"/>
        <v>0</v>
      </c>
      <c r="H214" s="987"/>
      <c r="I214" s="985">
        <f>+D214*$H$214</f>
        <v>0</v>
      </c>
      <c r="J214" s="985">
        <f>+E214*$H$214</f>
        <v>0</v>
      </c>
      <c r="K214" s="985">
        <f>+F214*$H$214</f>
        <v>0</v>
      </c>
      <c r="L214" s="985">
        <f>+G214*$H$214</f>
        <v>0</v>
      </c>
      <c r="M214" s="968"/>
    </row>
    <row r="215" spans="1:13">
      <c r="A215" s="968"/>
      <c r="B215" s="984" t="s">
        <v>2381</v>
      </c>
      <c r="C215" s="907"/>
      <c r="D215" s="986"/>
      <c r="E215" s="986"/>
      <c r="F215" s="986"/>
      <c r="G215" s="986"/>
      <c r="H215" s="986"/>
      <c r="I215" s="857">
        <f>SUM(I216:I224)</f>
        <v>0</v>
      </c>
      <c r="J215" s="857">
        <f>SUM(J216:J224)</f>
        <v>0</v>
      </c>
      <c r="K215" s="857">
        <f>SUM(K216:K224)</f>
        <v>0</v>
      </c>
      <c r="L215" s="857">
        <f>SUM(L216:L224)</f>
        <v>0</v>
      </c>
      <c r="M215" s="968"/>
    </row>
    <row r="216" spans="1:13" ht="25.5">
      <c r="A216" s="968"/>
      <c r="B216" s="994" t="s">
        <v>3176</v>
      </c>
      <c r="C216" s="907" t="s">
        <v>2336</v>
      </c>
      <c r="D216" s="987"/>
      <c r="E216" s="986">
        <f t="shared" ref="E216:G220" si="17">D216</f>
        <v>0</v>
      </c>
      <c r="F216" s="986">
        <f t="shared" si="17"/>
        <v>0</v>
      </c>
      <c r="G216" s="986">
        <f t="shared" si="17"/>
        <v>0</v>
      </c>
      <c r="H216" s="987"/>
      <c r="I216" s="985">
        <f>+D216*$H$216</f>
        <v>0</v>
      </c>
      <c r="J216" s="985">
        <f>+E216*$H$216</f>
        <v>0</v>
      </c>
      <c r="K216" s="985">
        <f>+F216*$H$216</f>
        <v>0</v>
      </c>
      <c r="L216" s="985">
        <f>+G216*$H$216</f>
        <v>0</v>
      </c>
      <c r="M216" s="968"/>
    </row>
    <row r="217" spans="1:13" ht="25.5">
      <c r="A217" s="968"/>
      <c r="B217" s="994" t="s">
        <v>3177</v>
      </c>
      <c r="C217" s="907" t="s">
        <v>2336</v>
      </c>
      <c r="D217" s="987"/>
      <c r="E217" s="986">
        <f t="shared" si="17"/>
        <v>0</v>
      </c>
      <c r="F217" s="986">
        <f t="shared" si="17"/>
        <v>0</v>
      </c>
      <c r="G217" s="986">
        <f t="shared" si="17"/>
        <v>0</v>
      </c>
      <c r="H217" s="987"/>
      <c r="I217" s="985">
        <f>+D217*$H$217</f>
        <v>0</v>
      </c>
      <c r="J217" s="985">
        <f>+E217*$H$153</f>
        <v>0</v>
      </c>
      <c r="K217" s="985">
        <f>+F217*$H$153</f>
        <v>0</v>
      </c>
      <c r="L217" s="985">
        <f>+G217*$H$153</f>
        <v>0</v>
      </c>
      <c r="M217" s="968"/>
    </row>
    <row r="218" spans="1:13">
      <c r="A218" s="968"/>
      <c r="B218" s="997" t="s">
        <v>2376</v>
      </c>
      <c r="C218" s="907" t="s">
        <v>2336</v>
      </c>
      <c r="D218" s="987"/>
      <c r="E218" s="986">
        <f t="shared" si="17"/>
        <v>0</v>
      </c>
      <c r="F218" s="986">
        <f t="shared" si="17"/>
        <v>0</v>
      </c>
      <c r="G218" s="986">
        <f t="shared" si="17"/>
        <v>0</v>
      </c>
      <c r="H218" s="987"/>
      <c r="I218" s="985">
        <f>+D218*$H$218</f>
        <v>0</v>
      </c>
      <c r="J218" s="985">
        <f>+E218*$H$218</f>
        <v>0</v>
      </c>
      <c r="K218" s="985">
        <f>+F218*$H$218</f>
        <v>0</v>
      </c>
      <c r="L218" s="985">
        <f>+G218*$H$218</f>
        <v>0</v>
      </c>
      <c r="M218" s="968"/>
    </row>
    <row r="219" spans="1:13">
      <c r="A219" s="968"/>
      <c r="B219" s="997" t="s">
        <v>2377</v>
      </c>
      <c r="C219" s="907" t="s">
        <v>2336</v>
      </c>
      <c r="D219" s="987"/>
      <c r="E219" s="986">
        <f t="shared" si="17"/>
        <v>0</v>
      </c>
      <c r="F219" s="986">
        <f t="shared" si="17"/>
        <v>0</v>
      </c>
      <c r="G219" s="986">
        <f t="shared" si="17"/>
        <v>0</v>
      </c>
      <c r="H219" s="987"/>
      <c r="I219" s="985">
        <f>+D219*$H$219</f>
        <v>0</v>
      </c>
      <c r="J219" s="985">
        <f>+E219*$H$219</f>
        <v>0</v>
      </c>
      <c r="K219" s="985">
        <f>+F219*$H$219</f>
        <v>0</v>
      </c>
      <c r="L219" s="985">
        <f>+G219*$H$219</f>
        <v>0</v>
      </c>
      <c r="M219" s="968"/>
    </row>
    <row r="220" spans="1:13">
      <c r="A220" s="968"/>
      <c r="B220" s="997" t="s">
        <v>2378</v>
      </c>
      <c r="C220" s="907" t="s">
        <v>2336</v>
      </c>
      <c r="D220" s="987"/>
      <c r="E220" s="986">
        <f t="shared" si="17"/>
        <v>0</v>
      </c>
      <c r="F220" s="986">
        <f t="shared" si="17"/>
        <v>0</v>
      </c>
      <c r="G220" s="986">
        <f t="shared" si="17"/>
        <v>0</v>
      </c>
      <c r="H220" s="987"/>
      <c r="I220" s="985">
        <f>+D220*$H$220</f>
        <v>0</v>
      </c>
      <c r="J220" s="985">
        <f>+E220*$H$220</f>
        <v>0</v>
      </c>
      <c r="K220" s="985">
        <f>+F220*$H$220</f>
        <v>0</v>
      </c>
      <c r="L220" s="985">
        <f>+G220*$H$220</f>
        <v>0</v>
      </c>
      <c r="M220" s="968"/>
    </row>
    <row r="221" spans="1:13">
      <c r="A221" s="968"/>
      <c r="B221" s="994" t="s">
        <v>220</v>
      </c>
      <c r="C221" s="907" t="s">
        <v>2336</v>
      </c>
      <c r="D221" s="986">
        <f>D220+D219+D218</f>
        <v>0</v>
      </c>
      <c r="E221" s="986">
        <f>E220+E219+E218</f>
        <v>0</v>
      </c>
      <c r="F221" s="986">
        <f t="shared" ref="F221:G224" si="18">E221</f>
        <v>0</v>
      </c>
      <c r="G221" s="986">
        <f t="shared" si="18"/>
        <v>0</v>
      </c>
      <c r="H221" s="987"/>
      <c r="I221" s="985">
        <f>+D221*$H$221</f>
        <v>0</v>
      </c>
      <c r="J221" s="985">
        <f>+E221*$H$221</f>
        <v>0</v>
      </c>
      <c r="K221" s="985">
        <f>+F221*$H$221</f>
        <v>0</v>
      </c>
      <c r="L221" s="985">
        <f>+G221*$H$221</f>
        <v>0</v>
      </c>
      <c r="M221" s="968"/>
    </row>
    <row r="222" spans="1:13">
      <c r="A222" s="968"/>
      <c r="B222" s="994" t="s">
        <v>221</v>
      </c>
      <c r="C222" s="907" t="s">
        <v>2336</v>
      </c>
      <c r="D222" s="986">
        <f t="shared" ref="D222:E224" si="19">D221</f>
        <v>0</v>
      </c>
      <c r="E222" s="986">
        <f t="shared" si="19"/>
        <v>0</v>
      </c>
      <c r="F222" s="986">
        <f t="shared" si="18"/>
        <v>0</v>
      </c>
      <c r="G222" s="986">
        <f t="shared" si="18"/>
        <v>0</v>
      </c>
      <c r="H222" s="987"/>
      <c r="I222" s="985">
        <f>+D222*$H$222</f>
        <v>0</v>
      </c>
      <c r="J222" s="985">
        <f>+E222*$H$222</f>
        <v>0</v>
      </c>
      <c r="K222" s="985">
        <f>+F222*$H$222</f>
        <v>0</v>
      </c>
      <c r="L222" s="985">
        <f>+G222*$H$222</f>
        <v>0</v>
      </c>
      <c r="M222" s="968"/>
    </row>
    <row r="223" spans="1:13">
      <c r="A223" s="968"/>
      <c r="B223" s="994" t="s">
        <v>222</v>
      </c>
      <c r="C223" s="907" t="s">
        <v>2336</v>
      </c>
      <c r="D223" s="986">
        <f t="shared" si="19"/>
        <v>0</v>
      </c>
      <c r="E223" s="986">
        <f t="shared" si="19"/>
        <v>0</v>
      </c>
      <c r="F223" s="986">
        <f t="shared" si="18"/>
        <v>0</v>
      </c>
      <c r="G223" s="986">
        <f t="shared" si="18"/>
        <v>0</v>
      </c>
      <c r="H223" s="987"/>
      <c r="I223" s="985">
        <f>+D223*$H$223</f>
        <v>0</v>
      </c>
      <c r="J223" s="985">
        <f>+E223*$H$223</f>
        <v>0</v>
      </c>
      <c r="K223" s="985">
        <f>+F223*$H$223</f>
        <v>0</v>
      </c>
      <c r="L223" s="985">
        <f>+G223*$H$223</f>
        <v>0</v>
      </c>
      <c r="M223" s="968"/>
    </row>
    <row r="224" spans="1:13">
      <c r="A224" s="968"/>
      <c r="B224" s="994" t="s">
        <v>223</v>
      </c>
      <c r="C224" s="907" t="s">
        <v>2336</v>
      </c>
      <c r="D224" s="986">
        <f t="shared" si="19"/>
        <v>0</v>
      </c>
      <c r="E224" s="986">
        <f t="shared" si="19"/>
        <v>0</v>
      </c>
      <c r="F224" s="986">
        <f t="shared" si="18"/>
        <v>0</v>
      </c>
      <c r="G224" s="986">
        <f t="shared" si="18"/>
        <v>0</v>
      </c>
      <c r="H224" s="987"/>
      <c r="I224" s="985">
        <f>+D224*$H$224</f>
        <v>0</v>
      </c>
      <c r="J224" s="985">
        <f>+E224*$H$224</f>
        <v>0</v>
      </c>
      <c r="K224" s="985">
        <f>+F224*$H$224</f>
        <v>0</v>
      </c>
      <c r="L224" s="985">
        <f>+G224*$H$224</f>
        <v>0</v>
      </c>
      <c r="M224" s="968"/>
    </row>
    <row r="225" spans="1:13">
      <c r="A225" s="968"/>
      <c r="B225" s="984" t="s">
        <v>2379</v>
      </c>
      <c r="C225" s="907"/>
      <c r="D225" s="986"/>
      <c r="E225" s="986"/>
      <c r="F225" s="986"/>
      <c r="G225" s="986"/>
      <c r="H225" s="986"/>
      <c r="I225" s="857">
        <f>SUM(I226:I228)</f>
        <v>0</v>
      </c>
      <c r="J225" s="857">
        <f>SUM(J226:J228)</f>
        <v>0</v>
      </c>
      <c r="K225" s="857">
        <f>SUM(K226:K228)</f>
        <v>0</v>
      </c>
      <c r="L225" s="857">
        <f>SUM(L226:L228)</f>
        <v>0</v>
      </c>
      <c r="M225" s="968"/>
    </row>
    <row r="226" spans="1:13" ht="25.5">
      <c r="A226" s="968"/>
      <c r="B226" s="916" t="s">
        <v>3178</v>
      </c>
      <c r="C226" s="907" t="s">
        <v>2363</v>
      </c>
      <c r="D226" s="986">
        <f>'Planteamiento Técnico'!$C$250*'Planteamiento Técnico'!$O$266*4*12/18</f>
        <v>0</v>
      </c>
      <c r="E226" s="986">
        <f>D226</f>
        <v>0</v>
      </c>
      <c r="F226" s="986">
        <f>E226</f>
        <v>0</v>
      </c>
      <c r="G226" s="986">
        <f>F226</f>
        <v>0</v>
      </c>
      <c r="H226" s="987"/>
      <c r="I226" s="985">
        <f>+D226*$H$162</f>
        <v>0</v>
      </c>
      <c r="J226" s="985">
        <f>+E226*$H$162</f>
        <v>0</v>
      </c>
      <c r="K226" s="985">
        <f>+F226*$H$162</f>
        <v>0</v>
      </c>
      <c r="L226" s="985">
        <f>+G226*$H$162</f>
        <v>0</v>
      </c>
      <c r="M226" s="968"/>
    </row>
    <row r="227" spans="1:13" ht="25.5">
      <c r="A227" s="968"/>
      <c r="B227" s="916" t="s">
        <v>3180</v>
      </c>
      <c r="C227" s="907" t="s">
        <v>2363</v>
      </c>
      <c r="D227" s="986">
        <f>'Planteamiento Técnico'!$C$274*'Planteamiento Técnico'!$O$280*4*12/18</f>
        <v>0</v>
      </c>
      <c r="E227" s="986"/>
      <c r="F227" s="986"/>
      <c r="G227" s="986"/>
      <c r="H227" s="987"/>
      <c r="I227" s="985"/>
      <c r="J227" s="985"/>
      <c r="K227" s="985"/>
      <c r="L227" s="985"/>
      <c r="M227" s="968"/>
    </row>
    <row r="228" spans="1:13" ht="25.5">
      <c r="A228" s="968"/>
      <c r="B228" s="916" t="s">
        <v>3181</v>
      </c>
      <c r="C228" s="907" t="s">
        <v>2363</v>
      </c>
      <c r="D228" s="986">
        <f>'Planteamiento Técnico'!$C$274*'Planteamiento Técnico'!$O$285*4*12/18</f>
        <v>0</v>
      </c>
      <c r="E228" s="986">
        <f>D228</f>
        <v>0</v>
      </c>
      <c r="F228" s="986">
        <f>E228</f>
        <v>0</v>
      </c>
      <c r="G228" s="986">
        <f>F228</f>
        <v>0</v>
      </c>
      <c r="H228" s="987"/>
      <c r="I228" s="985">
        <f>+D228*$H$165</f>
        <v>0</v>
      </c>
      <c r="J228" s="985">
        <f>+E228*$H$165</f>
        <v>0</v>
      </c>
      <c r="K228" s="985">
        <f>+F228*$H$165</f>
        <v>0</v>
      </c>
      <c r="L228" s="985">
        <f>+G228*$H$165</f>
        <v>0</v>
      </c>
      <c r="M228" s="968"/>
    </row>
    <row r="229" spans="1:13">
      <c r="A229" s="968"/>
      <c r="B229" s="989"/>
      <c r="C229" s="955"/>
      <c r="D229" s="991"/>
      <c r="E229" s="991"/>
      <c r="F229" s="991"/>
      <c r="G229" s="991"/>
      <c r="H229" s="991"/>
      <c r="I229" s="990"/>
      <c r="J229" s="990"/>
      <c r="K229" s="990"/>
      <c r="L229" s="990"/>
      <c r="M229" s="968"/>
    </row>
    <row r="230" spans="1:13">
      <c r="A230" s="968"/>
      <c r="B230" s="989"/>
      <c r="C230" s="955"/>
      <c r="D230" s="991"/>
      <c r="E230" s="991"/>
      <c r="F230" s="991"/>
      <c r="G230" s="991"/>
      <c r="H230" s="991"/>
      <c r="I230" s="990"/>
      <c r="J230" s="990"/>
      <c r="K230" s="990"/>
      <c r="L230" s="990"/>
      <c r="M230" s="968"/>
    </row>
    <row r="231" spans="1:13">
      <c r="A231" s="968"/>
      <c r="B231" s="968"/>
      <c r="M231" s="968"/>
    </row>
    <row r="232" spans="1:13">
      <c r="A232" s="1931" t="s">
        <v>2354</v>
      </c>
      <c r="B232" s="1931"/>
      <c r="M232" s="968"/>
    </row>
    <row r="233" spans="1:13">
      <c r="A233" s="968"/>
      <c r="B233" s="968"/>
      <c r="M233" s="968"/>
    </row>
    <row r="234" spans="1:13" ht="51">
      <c r="A234" s="968"/>
      <c r="B234" s="578" t="s">
        <v>7</v>
      </c>
      <c r="C234" s="578" t="s">
        <v>11</v>
      </c>
      <c r="D234" s="578" t="s">
        <v>2309</v>
      </c>
      <c r="E234" s="578" t="s">
        <v>2310</v>
      </c>
      <c r="F234" s="578" t="s">
        <v>2311</v>
      </c>
      <c r="G234" s="578" t="s">
        <v>2312</v>
      </c>
      <c r="H234" s="578" t="s">
        <v>3270</v>
      </c>
      <c r="I234" s="578" t="s">
        <v>2330</v>
      </c>
      <c r="J234" s="578" t="s">
        <v>2331</v>
      </c>
      <c r="K234" s="578" t="s">
        <v>2332</v>
      </c>
      <c r="L234" s="578" t="s">
        <v>2333</v>
      </c>
      <c r="M234" s="968"/>
    </row>
    <row r="235" spans="1:13">
      <c r="A235" s="968"/>
      <c r="B235" s="998" t="s">
        <v>2355</v>
      </c>
      <c r="C235" s="911"/>
      <c r="D235" s="986"/>
      <c r="E235" s="986"/>
      <c r="F235" s="986"/>
      <c r="G235" s="986"/>
      <c r="H235" s="986"/>
      <c r="I235" s="857">
        <f>+I236</f>
        <v>0</v>
      </c>
      <c r="J235" s="857">
        <f>+J236</f>
        <v>0</v>
      </c>
      <c r="K235" s="857">
        <f>+K236</f>
        <v>0</v>
      </c>
      <c r="L235" s="857">
        <f>+L236</f>
        <v>0</v>
      </c>
      <c r="M235" s="968"/>
    </row>
    <row r="236" spans="1:13">
      <c r="A236" s="968"/>
      <c r="B236" s="916" t="s">
        <v>298</v>
      </c>
      <c r="C236" s="907" t="s">
        <v>12</v>
      </c>
      <c r="D236" s="986">
        <f>D220+D218+D219</f>
        <v>0</v>
      </c>
      <c r="E236" s="986">
        <f>D236</f>
        <v>0</v>
      </c>
      <c r="F236" s="986">
        <f>E236</f>
        <v>0</v>
      </c>
      <c r="G236" s="986">
        <f>F236</f>
        <v>0</v>
      </c>
      <c r="H236" s="987"/>
      <c r="I236" s="985">
        <f>+D236*$H$236</f>
        <v>0</v>
      </c>
      <c r="J236" s="985">
        <f>+E236*$H$236</f>
        <v>0</v>
      </c>
      <c r="K236" s="985">
        <f>+F236*$H$236</f>
        <v>0</v>
      </c>
      <c r="L236" s="985">
        <f>+G236*$H$236</f>
        <v>0</v>
      </c>
      <c r="M236" s="968"/>
    </row>
    <row r="237" spans="1:13">
      <c r="A237" s="968"/>
      <c r="B237" s="998" t="s">
        <v>2382</v>
      </c>
      <c r="C237" s="911"/>
      <c r="D237" s="986"/>
      <c r="E237" s="986"/>
      <c r="F237" s="986"/>
      <c r="G237" s="986"/>
      <c r="H237" s="986"/>
      <c r="I237" s="857">
        <f>+I238+I240+I239</f>
        <v>0</v>
      </c>
      <c r="J237" s="857">
        <f>+J238+J240+J239</f>
        <v>0</v>
      </c>
      <c r="K237" s="857">
        <f>+K238+K240+K239</f>
        <v>0</v>
      </c>
      <c r="L237" s="857">
        <f>+L238+L240+L239</f>
        <v>0</v>
      </c>
      <c r="M237" s="968"/>
    </row>
    <row r="238" spans="1:13">
      <c r="A238" s="968"/>
      <c r="B238" s="916" t="s">
        <v>2383</v>
      </c>
      <c r="C238" s="907" t="s">
        <v>2336</v>
      </c>
      <c r="D238" s="986">
        <f>D218+D219</f>
        <v>0</v>
      </c>
      <c r="E238" s="986">
        <f>D238</f>
        <v>0</v>
      </c>
      <c r="F238" s="986">
        <f>E238</f>
        <v>0</v>
      </c>
      <c r="G238" s="986">
        <f>F238</f>
        <v>0</v>
      </c>
      <c r="H238" s="987"/>
      <c r="I238" s="985">
        <f>+D238*$H$238</f>
        <v>0</v>
      </c>
      <c r="J238" s="985">
        <f>+E238*$H$238</f>
        <v>0</v>
      </c>
      <c r="K238" s="985">
        <f>+F238*$H$238</f>
        <v>0</v>
      </c>
      <c r="L238" s="985">
        <f>+G238*$H$238</f>
        <v>0</v>
      </c>
      <c r="M238" s="968"/>
    </row>
    <row r="239" spans="1:13" ht="25.5">
      <c r="A239" s="968"/>
      <c r="B239" s="916" t="s">
        <v>2384</v>
      </c>
      <c r="C239" s="907" t="s">
        <v>2336</v>
      </c>
      <c r="D239" s="986">
        <f>D220</f>
        <v>0</v>
      </c>
      <c r="E239" s="986">
        <f t="shared" ref="E239:G240" si="20">D239</f>
        <v>0</v>
      </c>
      <c r="F239" s="986">
        <f t="shared" si="20"/>
        <v>0</v>
      </c>
      <c r="G239" s="986">
        <f t="shared" si="20"/>
        <v>0</v>
      </c>
      <c r="H239" s="987"/>
      <c r="I239" s="985">
        <f>+D239*$H$239</f>
        <v>0</v>
      </c>
      <c r="J239" s="985">
        <f>+E239*$H$239</f>
        <v>0</v>
      </c>
      <c r="K239" s="985">
        <f>+F239*$H$239</f>
        <v>0</v>
      </c>
      <c r="L239" s="985">
        <f>+G239*$H$239</f>
        <v>0</v>
      </c>
      <c r="M239" s="968"/>
    </row>
    <row r="240" spans="1:13">
      <c r="A240" s="968"/>
      <c r="B240" s="916" t="s">
        <v>2385</v>
      </c>
      <c r="C240" s="907" t="s">
        <v>12</v>
      </c>
      <c r="D240" s="986">
        <f>D239+D238</f>
        <v>0</v>
      </c>
      <c r="E240" s="986">
        <f t="shared" si="20"/>
        <v>0</v>
      </c>
      <c r="F240" s="986">
        <f t="shared" si="20"/>
        <v>0</v>
      </c>
      <c r="G240" s="986">
        <f t="shared" si="20"/>
        <v>0</v>
      </c>
      <c r="H240" s="987"/>
      <c r="I240" s="985">
        <f>+D240*$H$240</f>
        <v>0</v>
      </c>
      <c r="J240" s="985">
        <f>+E240*$H$240</f>
        <v>0</v>
      </c>
      <c r="K240" s="985">
        <f>+F240*$H$240</f>
        <v>0</v>
      </c>
      <c r="L240" s="985">
        <f>+G240*$H$240</f>
        <v>0</v>
      </c>
      <c r="M240" s="968"/>
    </row>
    <row r="241" spans="1:13">
      <c r="A241" s="968"/>
      <c r="B241" s="968"/>
      <c r="D241" s="252"/>
      <c r="E241" s="252"/>
      <c r="F241" s="252"/>
      <c r="G241" s="252"/>
      <c r="H241" s="252"/>
      <c r="M241" s="968"/>
    </row>
    <row r="242" spans="1:13">
      <c r="A242" s="1932" t="s">
        <v>3182</v>
      </c>
      <c r="B242" s="1932"/>
      <c r="C242" s="1932"/>
      <c r="D242" s="1932"/>
      <c r="E242" s="1932"/>
      <c r="F242" s="1932"/>
      <c r="G242" s="1932"/>
      <c r="H242" s="1932"/>
      <c r="I242" s="1932"/>
      <c r="J242" s="1932"/>
      <c r="K242" s="1932"/>
      <c r="L242" s="1932"/>
      <c r="M242" s="968"/>
    </row>
    <row r="243" spans="1:13">
      <c r="A243" s="968"/>
      <c r="B243" s="968"/>
      <c r="M243" s="968"/>
    </row>
    <row r="244" spans="1:13">
      <c r="A244" s="1931" t="s">
        <v>2340</v>
      </c>
      <c r="B244" s="1931"/>
      <c r="M244" s="968"/>
    </row>
    <row r="245" spans="1:13">
      <c r="A245" s="968"/>
      <c r="B245" s="968"/>
      <c r="M245" s="968"/>
    </row>
    <row r="246" spans="1:13" ht="51">
      <c r="A246" s="968"/>
      <c r="B246" s="578" t="s">
        <v>7</v>
      </c>
      <c r="C246" s="578" t="s">
        <v>11</v>
      </c>
      <c r="D246" s="578" t="s">
        <v>2309</v>
      </c>
      <c r="E246" s="578" t="s">
        <v>2310</v>
      </c>
      <c r="F246" s="578" t="s">
        <v>2311</v>
      </c>
      <c r="G246" s="578" t="s">
        <v>2312</v>
      </c>
      <c r="H246" s="578" t="s">
        <v>3270</v>
      </c>
      <c r="I246" s="578" t="s">
        <v>2330</v>
      </c>
      <c r="J246" s="578" t="s">
        <v>2331</v>
      </c>
      <c r="K246" s="578" t="s">
        <v>2332</v>
      </c>
      <c r="L246" s="578" t="s">
        <v>2333</v>
      </c>
      <c r="M246" s="968"/>
    </row>
    <row r="247" spans="1:13">
      <c r="A247" s="968"/>
      <c r="B247" s="984" t="s">
        <v>206</v>
      </c>
      <c r="C247" s="907"/>
      <c r="D247" s="986"/>
      <c r="E247" s="986"/>
      <c r="F247" s="986"/>
      <c r="G247" s="986"/>
      <c r="H247" s="986"/>
      <c r="I247" s="857">
        <f>+I248</f>
        <v>0</v>
      </c>
      <c r="J247" s="857">
        <f>+J248</f>
        <v>0</v>
      </c>
      <c r="K247" s="857">
        <f>+K248</f>
        <v>0</v>
      </c>
      <c r="L247" s="857">
        <f>+L248</f>
        <v>0</v>
      </c>
      <c r="M247" s="968"/>
    </row>
    <row r="248" spans="1:13">
      <c r="A248" s="968"/>
      <c r="B248" s="994" t="s">
        <v>2366</v>
      </c>
      <c r="C248" s="907" t="s">
        <v>2366</v>
      </c>
      <c r="D248" s="935">
        <f>'Planteamiento Técnico'!C358+'Planteamiento Técnico'!D359</f>
        <v>0</v>
      </c>
      <c r="E248" s="935">
        <f>D248</f>
        <v>0</v>
      </c>
      <c r="F248" s="935">
        <f>E248</f>
        <v>0</v>
      </c>
      <c r="G248" s="935">
        <f>F248</f>
        <v>0</v>
      </c>
      <c r="H248" s="987"/>
      <c r="I248" s="985">
        <f>+D248*$H$248</f>
        <v>0</v>
      </c>
      <c r="J248" s="985">
        <f>+E248*$H$248</f>
        <v>0</v>
      </c>
      <c r="K248" s="985">
        <f>+F248*$H$248</f>
        <v>0</v>
      </c>
      <c r="L248" s="985">
        <f>+G248*$H$248</f>
        <v>0</v>
      </c>
      <c r="M248" s="968"/>
    </row>
    <row r="249" spans="1:13">
      <c r="A249" s="968"/>
      <c r="B249" s="984" t="s">
        <v>2367</v>
      </c>
      <c r="C249" s="907"/>
      <c r="D249" s="986"/>
      <c r="E249" s="986"/>
      <c r="F249" s="986"/>
      <c r="G249" s="986"/>
      <c r="H249" s="986"/>
      <c r="I249" s="857">
        <f>SUM(I250:I253)</f>
        <v>0</v>
      </c>
      <c r="J249" s="857">
        <f>SUM(J250:J253)</f>
        <v>0</v>
      </c>
      <c r="K249" s="857">
        <f>SUM(K250:K253)</f>
        <v>0</v>
      </c>
      <c r="L249" s="857">
        <f>SUM(L250:L253)</f>
        <v>0</v>
      </c>
      <c r="M249" s="968"/>
    </row>
    <row r="250" spans="1:13">
      <c r="A250" s="968"/>
      <c r="B250" s="999" t="str">
        <f>'Planteamiento Técnico'!B383</f>
        <v>Trinche</v>
      </c>
      <c r="C250" s="907" t="s">
        <v>11</v>
      </c>
      <c r="D250" s="935">
        <f>'Planteamiento Técnico'!G383</f>
        <v>0</v>
      </c>
      <c r="E250" s="935">
        <f>D250</f>
        <v>0</v>
      </c>
      <c r="F250" s="935">
        <f>E250</f>
        <v>0</v>
      </c>
      <c r="G250" s="935">
        <f>F250</f>
        <v>0</v>
      </c>
      <c r="H250" s="987"/>
      <c r="I250" s="985">
        <f>+D250*$H$250</f>
        <v>0</v>
      </c>
      <c r="J250" s="985">
        <f>+E250*$H$250</f>
        <v>0</v>
      </c>
      <c r="K250" s="985">
        <f>+F250*$H$250</f>
        <v>0</v>
      </c>
      <c r="L250" s="985">
        <f>+G250*$H$250</f>
        <v>0</v>
      </c>
      <c r="M250" s="968"/>
    </row>
    <row r="251" spans="1:13">
      <c r="A251" s="968"/>
      <c r="B251" s="999" t="str">
        <f>'Planteamiento Técnico'!B384</f>
        <v>Carretillas</v>
      </c>
      <c r="C251" s="907" t="s">
        <v>11</v>
      </c>
      <c r="D251" s="935">
        <f>'Planteamiento Técnico'!G384</f>
        <v>0</v>
      </c>
      <c r="E251" s="935">
        <f t="shared" ref="E251:G253" si="21">D251</f>
        <v>0</v>
      </c>
      <c r="F251" s="935">
        <f t="shared" si="21"/>
        <v>0</v>
      </c>
      <c r="G251" s="935">
        <f t="shared" si="21"/>
        <v>0</v>
      </c>
      <c r="H251" s="987"/>
      <c r="I251" s="985">
        <f>+D251*$H$251</f>
        <v>0</v>
      </c>
      <c r="J251" s="985">
        <f>+E251*$H$251</f>
        <v>0</v>
      </c>
      <c r="K251" s="985">
        <f>+F251*$H$251</f>
        <v>0</v>
      </c>
      <c r="L251" s="985">
        <f>+G251*$H$251</f>
        <v>0</v>
      </c>
      <c r="M251" s="968"/>
    </row>
    <row r="252" spans="1:13">
      <c r="A252" s="968"/>
      <c r="B252" s="999" t="str">
        <f>'Planteamiento Técnico'!B385</f>
        <v>Lampas</v>
      </c>
      <c r="C252" s="907" t="s">
        <v>11</v>
      </c>
      <c r="D252" s="935">
        <f>'Planteamiento Técnico'!G385</f>
        <v>0</v>
      </c>
      <c r="E252" s="935">
        <f t="shared" si="21"/>
        <v>0</v>
      </c>
      <c r="F252" s="935">
        <f t="shared" si="21"/>
        <v>0</v>
      </c>
      <c r="G252" s="935">
        <f t="shared" si="21"/>
        <v>0</v>
      </c>
      <c r="H252" s="987"/>
      <c r="I252" s="985">
        <f>+D252*$H$252</f>
        <v>0</v>
      </c>
      <c r="J252" s="985">
        <f>+E252*$H$252</f>
        <v>0</v>
      </c>
      <c r="K252" s="985">
        <f>+F252*$H$252</f>
        <v>0</v>
      </c>
      <c r="L252" s="985">
        <f>+G252*$H$252</f>
        <v>0</v>
      </c>
      <c r="M252" s="968"/>
    </row>
    <row r="253" spans="1:13">
      <c r="A253" s="968"/>
      <c r="B253" s="999" t="str">
        <f>'Planteamiento Técnico'!B386</f>
        <v>Zarandas</v>
      </c>
      <c r="C253" s="907" t="s">
        <v>11</v>
      </c>
      <c r="D253" s="935">
        <f>'Planteamiento Técnico'!G386</f>
        <v>0</v>
      </c>
      <c r="E253" s="935">
        <f t="shared" si="21"/>
        <v>0</v>
      </c>
      <c r="F253" s="935">
        <f t="shared" si="21"/>
        <v>0</v>
      </c>
      <c r="G253" s="935">
        <f t="shared" si="21"/>
        <v>0</v>
      </c>
      <c r="H253" s="987"/>
      <c r="I253" s="985">
        <f>+D253*$H$253</f>
        <v>0</v>
      </c>
      <c r="J253" s="985">
        <f>+E253*$H$253</f>
        <v>0</v>
      </c>
      <c r="K253" s="985">
        <f>+F253*$H$253</f>
        <v>0</v>
      </c>
      <c r="L253" s="985">
        <f>+G253*$H$253</f>
        <v>0</v>
      </c>
      <c r="M253" s="968"/>
    </row>
    <row r="254" spans="1:13">
      <c r="A254" s="968"/>
      <c r="B254" s="984" t="s">
        <v>2386</v>
      </c>
      <c r="C254" s="985"/>
      <c r="D254" s="986"/>
      <c r="E254" s="986"/>
      <c r="F254" s="986"/>
      <c r="G254" s="986"/>
      <c r="H254" s="986"/>
      <c r="I254" s="857">
        <f>SUM(I255:I267)</f>
        <v>0</v>
      </c>
      <c r="J254" s="857">
        <f>SUM(J255:J267)</f>
        <v>0</v>
      </c>
      <c r="K254" s="857">
        <f>SUM(K255:K267)</f>
        <v>0</v>
      </c>
      <c r="L254" s="857">
        <f>SUM(L255:L267)</f>
        <v>0</v>
      </c>
      <c r="M254" s="968"/>
    </row>
    <row r="255" spans="1:13">
      <c r="A255" s="968"/>
      <c r="B255" s="913" t="str">
        <f>'Planteamiento Técnico'!B391</f>
        <v>Camisaco</v>
      </c>
      <c r="C255" s="907" t="s">
        <v>11</v>
      </c>
      <c r="D255" s="986">
        <f>'Planteamiento Técnico'!G391</f>
        <v>0</v>
      </c>
      <c r="E255" s="986">
        <f>D255</f>
        <v>0</v>
      </c>
      <c r="F255" s="986">
        <f>E255</f>
        <v>0</v>
      </c>
      <c r="G255" s="986">
        <f>F255</f>
        <v>0</v>
      </c>
      <c r="H255" s="987"/>
      <c r="I255" s="985">
        <f>+D255*$H$255</f>
        <v>0</v>
      </c>
      <c r="J255" s="985">
        <f>+E255*$H$255</f>
        <v>0</v>
      </c>
      <c r="K255" s="985">
        <f>+F255*$H$255</f>
        <v>0</v>
      </c>
      <c r="L255" s="985">
        <f>+G255*$H$255</f>
        <v>0</v>
      </c>
      <c r="M255" s="968"/>
    </row>
    <row r="256" spans="1:13">
      <c r="A256" s="968"/>
      <c r="B256" s="913" t="str">
        <f>'Planteamiento Técnico'!B392</f>
        <v>Pantalón</v>
      </c>
      <c r="C256" s="907" t="s">
        <v>11</v>
      </c>
      <c r="D256" s="986">
        <f>'Planteamiento Técnico'!G392</f>
        <v>0</v>
      </c>
      <c r="E256" s="986">
        <f t="shared" ref="E256:G267" si="22">D256</f>
        <v>0</v>
      </c>
      <c r="F256" s="986">
        <f t="shared" si="22"/>
        <v>0</v>
      </c>
      <c r="G256" s="986">
        <f t="shared" si="22"/>
        <v>0</v>
      </c>
      <c r="H256" s="987"/>
      <c r="I256" s="985">
        <f>+D256*$H$256</f>
        <v>0</v>
      </c>
      <c r="J256" s="985">
        <f>+E256*$H$256</f>
        <v>0</v>
      </c>
      <c r="K256" s="985">
        <f>+F256*$H$256</f>
        <v>0</v>
      </c>
      <c r="L256" s="985">
        <f>+G256*$H$256</f>
        <v>0</v>
      </c>
      <c r="M256" s="968"/>
    </row>
    <row r="257" spans="1:13">
      <c r="A257" s="968"/>
      <c r="B257" s="913" t="str">
        <f>'Planteamiento Técnico'!B393</f>
        <v xml:space="preserve">Polos </v>
      </c>
      <c r="C257" s="907" t="s">
        <v>11</v>
      </c>
      <c r="D257" s="986">
        <f>'Planteamiento Técnico'!G393</f>
        <v>0</v>
      </c>
      <c r="E257" s="986">
        <f t="shared" si="22"/>
        <v>0</v>
      </c>
      <c r="F257" s="986">
        <f t="shared" si="22"/>
        <v>0</v>
      </c>
      <c r="G257" s="986">
        <f t="shared" si="22"/>
        <v>0</v>
      </c>
      <c r="H257" s="987"/>
      <c r="I257" s="985">
        <f>+D257*$H$257</f>
        <v>0</v>
      </c>
      <c r="J257" s="985">
        <f>+E257*$H$257</f>
        <v>0</v>
      </c>
      <c r="K257" s="985">
        <f>+F257*$H$257</f>
        <v>0</v>
      </c>
      <c r="L257" s="985">
        <f>+G257*$H$257</f>
        <v>0</v>
      </c>
      <c r="M257" s="968"/>
    </row>
    <row r="258" spans="1:13">
      <c r="A258" s="968"/>
      <c r="B258" s="913" t="str">
        <f>'Planteamiento Técnico'!B394</f>
        <v>Gorro taslan</v>
      </c>
      <c r="C258" s="907" t="s">
        <v>11</v>
      </c>
      <c r="D258" s="986">
        <f>'Planteamiento Técnico'!G394</f>
        <v>0</v>
      </c>
      <c r="E258" s="986">
        <f t="shared" si="22"/>
        <v>0</v>
      </c>
      <c r="F258" s="986">
        <f t="shared" si="22"/>
        <v>0</v>
      </c>
      <c r="G258" s="986">
        <f t="shared" si="22"/>
        <v>0</v>
      </c>
      <c r="H258" s="987"/>
      <c r="I258" s="985">
        <f>+D258*$H$258</f>
        <v>0</v>
      </c>
      <c r="J258" s="985">
        <f>+E258*$H$258</f>
        <v>0</v>
      </c>
      <c r="K258" s="985">
        <f>+F258*$H$258</f>
        <v>0</v>
      </c>
      <c r="L258" s="985">
        <f>+G258*$H$258</f>
        <v>0</v>
      </c>
      <c r="M258" s="968"/>
    </row>
    <row r="259" spans="1:13">
      <c r="A259" s="968"/>
      <c r="B259" s="913" t="str">
        <f>'Planteamiento Técnico'!B395</f>
        <v>Casco de seguridad</v>
      </c>
      <c r="C259" s="907" t="s">
        <v>11</v>
      </c>
      <c r="D259" s="986">
        <f>'Planteamiento Técnico'!G395</f>
        <v>0</v>
      </c>
      <c r="E259" s="986">
        <f t="shared" si="22"/>
        <v>0</v>
      </c>
      <c r="F259" s="986">
        <f t="shared" si="22"/>
        <v>0</v>
      </c>
      <c r="G259" s="986">
        <f t="shared" si="22"/>
        <v>0</v>
      </c>
      <c r="H259" s="987"/>
      <c r="I259" s="985">
        <f>+D259*$H$259</f>
        <v>0</v>
      </c>
      <c r="J259" s="985">
        <f>+E259*$H$259</f>
        <v>0</v>
      </c>
      <c r="K259" s="985">
        <f>+F259*$H$259</f>
        <v>0</v>
      </c>
      <c r="L259" s="985">
        <f>+G259*$H$259</f>
        <v>0</v>
      </c>
      <c r="M259" s="968"/>
    </row>
    <row r="260" spans="1:13">
      <c r="A260" s="968"/>
      <c r="B260" s="913" t="str">
        <f>'Planteamiento Técnico'!B396</f>
        <v>Poncho impermeable</v>
      </c>
      <c r="C260" s="907" t="s">
        <v>11</v>
      </c>
      <c r="D260" s="986">
        <f>'Planteamiento Técnico'!G396</f>
        <v>0</v>
      </c>
      <c r="E260" s="986">
        <f t="shared" si="22"/>
        <v>0</v>
      </c>
      <c r="F260" s="986">
        <f t="shared" si="22"/>
        <v>0</v>
      </c>
      <c r="G260" s="986">
        <f t="shared" si="22"/>
        <v>0</v>
      </c>
      <c r="H260" s="987"/>
      <c r="I260" s="985">
        <f>+D260*$H$260</f>
        <v>0</v>
      </c>
      <c r="J260" s="985">
        <f>+E260*$H$260</f>
        <v>0</v>
      </c>
      <c r="K260" s="985">
        <f>+F260*$H$260</f>
        <v>0</v>
      </c>
      <c r="L260" s="985">
        <f>+G260*$H$260</f>
        <v>0</v>
      </c>
      <c r="M260" s="968"/>
    </row>
    <row r="261" spans="1:13">
      <c r="A261" s="968"/>
      <c r="B261" s="913" t="str">
        <f>'Planteamiento Técnico'!B397</f>
        <v xml:space="preserve">Lentes </v>
      </c>
      <c r="C261" s="907" t="s">
        <v>11</v>
      </c>
      <c r="D261" s="986">
        <f>'Planteamiento Técnico'!G397</f>
        <v>0</v>
      </c>
      <c r="E261" s="986">
        <f t="shared" si="22"/>
        <v>0</v>
      </c>
      <c r="F261" s="986">
        <f t="shared" si="22"/>
        <v>0</v>
      </c>
      <c r="G261" s="986">
        <f t="shared" si="22"/>
        <v>0</v>
      </c>
      <c r="H261" s="987"/>
      <c r="I261" s="985">
        <f>+D261*$H$261</f>
        <v>0</v>
      </c>
      <c r="J261" s="985">
        <f>+E261*$H$261</f>
        <v>0</v>
      </c>
      <c r="K261" s="985">
        <f>+F261*$H$261</f>
        <v>0</v>
      </c>
      <c r="L261" s="985">
        <f>+G261*$H$261</f>
        <v>0</v>
      </c>
      <c r="M261" s="968"/>
    </row>
    <row r="262" spans="1:13">
      <c r="A262" s="968"/>
      <c r="B262" s="913" t="str">
        <f>'Planteamiento Técnico'!B398</f>
        <v>Guantes de cuero pulido</v>
      </c>
      <c r="C262" s="907" t="s">
        <v>11</v>
      </c>
      <c r="D262" s="986">
        <f>'Planteamiento Técnico'!G398</f>
        <v>0</v>
      </c>
      <c r="E262" s="986">
        <f t="shared" si="22"/>
        <v>0</v>
      </c>
      <c r="F262" s="986">
        <f t="shared" si="22"/>
        <v>0</v>
      </c>
      <c r="G262" s="986">
        <f t="shared" si="22"/>
        <v>0</v>
      </c>
      <c r="H262" s="987"/>
      <c r="I262" s="985">
        <f>+D262*$H$262</f>
        <v>0</v>
      </c>
      <c r="J262" s="985">
        <f>+E262*$H$262</f>
        <v>0</v>
      </c>
      <c r="K262" s="985">
        <f>+F262*$H$262</f>
        <v>0</v>
      </c>
      <c r="L262" s="985">
        <f>+G262*$H$262</f>
        <v>0</v>
      </c>
      <c r="M262" s="968"/>
    </row>
    <row r="263" spans="1:13">
      <c r="A263" s="968"/>
      <c r="B263" s="913" t="str">
        <f>'Planteamiento Técnico'!B399</f>
        <v>Mascarillas con filtros</v>
      </c>
      <c r="C263" s="907" t="s">
        <v>11</v>
      </c>
      <c r="D263" s="986">
        <f>'Planteamiento Técnico'!G399</f>
        <v>0</v>
      </c>
      <c r="E263" s="986">
        <f t="shared" si="22"/>
        <v>0</v>
      </c>
      <c r="F263" s="986">
        <f t="shared" si="22"/>
        <v>0</v>
      </c>
      <c r="G263" s="986">
        <f t="shared" si="22"/>
        <v>0</v>
      </c>
      <c r="H263" s="987"/>
      <c r="I263" s="985">
        <f>+D263*$H$263</f>
        <v>0</v>
      </c>
      <c r="J263" s="985">
        <f>+E263*$H$263</f>
        <v>0</v>
      </c>
      <c r="K263" s="985">
        <f>+F263*$H$263</f>
        <v>0</v>
      </c>
      <c r="L263" s="985">
        <f>+G263*$H$263</f>
        <v>0</v>
      </c>
      <c r="M263" s="968"/>
    </row>
    <row r="264" spans="1:13">
      <c r="A264" s="968"/>
      <c r="B264" s="913" t="str">
        <f>'Planteamiento Técnico'!B400</f>
        <v>Filtros para mascarilla</v>
      </c>
      <c r="C264" s="907" t="s">
        <v>11</v>
      </c>
      <c r="D264" s="986">
        <f>'Planteamiento Técnico'!G400</f>
        <v>0</v>
      </c>
      <c r="E264" s="986">
        <f t="shared" si="22"/>
        <v>0</v>
      </c>
      <c r="F264" s="986">
        <f t="shared" si="22"/>
        <v>0</v>
      </c>
      <c r="G264" s="986">
        <f t="shared" si="22"/>
        <v>0</v>
      </c>
      <c r="H264" s="987"/>
      <c r="I264" s="985">
        <f>+D264*$H$264</f>
        <v>0</v>
      </c>
      <c r="J264" s="985">
        <f>+E264*$H$264</f>
        <v>0</v>
      </c>
      <c r="K264" s="985">
        <f>+F264*$H$264</f>
        <v>0</v>
      </c>
      <c r="L264" s="985">
        <f>+G264*$H$264</f>
        <v>0</v>
      </c>
      <c r="M264" s="968"/>
    </row>
    <row r="265" spans="1:13">
      <c r="A265" s="968"/>
      <c r="B265" s="913" t="str">
        <f>'Planteamiento Técnico'!B401</f>
        <v>Botín de cuero con punta de acero</v>
      </c>
      <c r="C265" s="907" t="s">
        <v>262</v>
      </c>
      <c r="D265" s="986">
        <f>'Planteamiento Técnico'!G401</f>
        <v>0</v>
      </c>
      <c r="E265" s="986">
        <f t="shared" si="22"/>
        <v>0</v>
      </c>
      <c r="F265" s="986">
        <f t="shared" si="22"/>
        <v>0</v>
      </c>
      <c r="G265" s="986">
        <f t="shared" si="22"/>
        <v>0</v>
      </c>
      <c r="H265" s="987"/>
      <c r="I265" s="985">
        <f>+D265*$H$265</f>
        <v>0</v>
      </c>
      <c r="J265" s="985">
        <f>+E265*$H$265</f>
        <v>0</v>
      </c>
      <c r="K265" s="985">
        <f>+F265*$H$265</f>
        <v>0</v>
      </c>
      <c r="L265" s="985">
        <f>+G265*$H$265</f>
        <v>0</v>
      </c>
      <c r="M265" s="968"/>
    </row>
    <row r="266" spans="1:13">
      <c r="A266" s="968"/>
      <c r="B266" s="913" t="str">
        <f>'Planteamiento Técnico'!B402</f>
        <v>Fajas</v>
      </c>
      <c r="C266" s="907" t="s">
        <v>11</v>
      </c>
      <c r="D266" s="986">
        <f>'Planteamiento Técnico'!G402</f>
        <v>0</v>
      </c>
      <c r="E266" s="986">
        <f t="shared" si="22"/>
        <v>0</v>
      </c>
      <c r="F266" s="986">
        <f t="shared" si="22"/>
        <v>0</v>
      </c>
      <c r="G266" s="986">
        <f t="shared" si="22"/>
        <v>0</v>
      </c>
      <c r="H266" s="987"/>
      <c r="I266" s="985">
        <f>+D266*$H$266</f>
        <v>0</v>
      </c>
      <c r="J266" s="985">
        <f>+E266*$H$266</f>
        <v>0</v>
      </c>
      <c r="K266" s="985">
        <f>+F266*$H$266</f>
        <v>0</v>
      </c>
      <c r="L266" s="985">
        <f>+G266*$H$266</f>
        <v>0</v>
      </c>
      <c r="M266" s="968"/>
    </row>
    <row r="267" spans="1:13">
      <c r="A267" s="968"/>
      <c r="B267" s="913" t="str">
        <f>'Planteamiento Técnico'!B403</f>
        <v>Chalecos</v>
      </c>
      <c r="C267" s="907" t="s">
        <v>11</v>
      </c>
      <c r="D267" s="986">
        <f>'Planteamiento Técnico'!G403</f>
        <v>0</v>
      </c>
      <c r="E267" s="986">
        <f t="shared" si="22"/>
        <v>0</v>
      </c>
      <c r="F267" s="986">
        <f t="shared" si="22"/>
        <v>0</v>
      </c>
      <c r="G267" s="986">
        <f t="shared" si="22"/>
        <v>0</v>
      </c>
      <c r="H267" s="987"/>
      <c r="I267" s="985">
        <f>+D267*$H$267</f>
        <v>0</v>
      </c>
      <c r="J267" s="985">
        <f>+E267*$H$267</f>
        <v>0</v>
      </c>
      <c r="K267" s="985">
        <f>+F267*$H$267</f>
        <v>0</v>
      </c>
      <c r="L267" s="985">
        <f>+G267*$H$267</f>
        <v>0</v>
      </c>
      <c r="M267" s="968"/>
    </row>
    <row r="268" spans="1:13">
      <c r="A268" s="968"/>
      <c r="B268" s="984" t="s">
        <v>2389</v>
      </c>
      <c r="C268" s="985"/>
      <c r="D268" s="986"/>
      <c r="E268" s="986"/>
      <c r="F268" s="986"/>
      <c r="G268" s="986"/>
      <c r="H268" s="986"/>
      <c r="I268" s="857">
        <f>+SUM(I269:I271)</f>
        <v>0</v>
      </c>
      <c r="J268" s="857">
        <f>+SUM(J269:J271)</f>
        <v>0</v>
      </c>
      <c r="K268" s="857">
        <f>+SUM(K269:K271)</f>
        <v>0</v>
      </c>
      <c r="L268" s="857">
        <f>+SUM(L269:L271)</f>
        <v>0</v>
      </c>
      <c r="M268" s="968"/>
    </row>
    <row r="269" spans="1:13">
      <c r="A269" s="968"/>
      <c r="B269" s="913" t="s">
        <v>205</v>
      </c>
      <c r="C269" s="907" t="s">
        <v>12</v>
      </c>
      <c r="D269" s="987"/>
      <c r="E269" s="987"/>
      <c r="F269" s="987"/>
      <c r="G269" s="987"/>
      <c r="H269" s="987"/>
      <c r="I269" s="985">
        <f>+D269*$H$269</f>
        <v>0</v>
      </c>
      <c r="J269" s="985">
        <f>+E269*$H$269</f>
        <v>0</v>
      </c>
      <c r="K269" s="985">
        <f>+F269*$H$269</f>
        <v>0</v>
      </c>
      <c r="L269" s="985">
        <f>+G269*$H$269</f>
        <v>0</v>
      </c>
      <c r="M269" s="968"/>
    </row>
    <row r="270" spans="1:13">
      <c r="A270" s="968"/>
      <c r="B270" s="913" t="s">
        <v>687</v>
      </c>
      <c r="C270" s="907" t="s">
        <v>12</v>
      </c>
      <c r="D270" s="987"/>
      <c r="E270" s="987"/>
      <c r="F270" s="987"/>
      <c r="G270" s="987"/>
      <c r="H270" s="987"/>
      <c r="I270" s="985">
        <f>+D270*$H$270</f>
        <v>0</v>
      </c>
      <c r="J270" s="985">
        <f>+E270*$H$270</f>
        <v>0</v>
      </c>
      <c r="K270" s="985">
        <f>+F270*$H$270</f>
        <v>0</v>
      </c>
      <c r="L270" s="985">
        <f>+G270*$H$270</f>
        <v>0</v>
      </c>
      <c r="M270" s="968"/>
    </row>
    <row r="271" spans="1:13">
      <c r="A271" s="968"/>
      <c r="B271" s="913" t="str">
        <f>'Planteamiento Técnico'!B387</f>
        <v>Costalillos de yute de 75 lts</v>
      </c>
      <c r="C271" s="907" t="s">
        <v>2256</v>
      </c>
      <c r="D271" s="935">
        <f>'Planteamiento Técnico'!G387</f>
        <v>0</v>
      </c>
      <c r="E271" s="935">
        <f>D271</f>
        <v>0</v>
      </c>
      <c r="F271" s="935">
        <f>E271</f>
        <v>0</v>
      </c>
      <c r="G271" s="935">
        <f>F271</f>
        <v>0</v>
      </c>
      <c r="H271" s="987"/>
      <c r="I271" s="985">
        <f>+D271*$H$271</f>
        <v>0</v>
      </c>
      <c r="J271" s="985">
        <f>+E271*$H$271</f>
        <v>0</v>
      </c>
      <c r="K271" s="985">
        <f>+F271*$H$271</f>
        <v>0</v>
      </c>
      <c r="L271" s="985">
        <f>+G271*$H$271</f>
        <v>0</v>
      </c>
      <c r="M271" s="968"/>
    </row>
    <row r="272" spans="1:13">
      <c r="A272" s="968"/>
      <c r="B272" s="1000" t="s">
        <v>2352</v>
      </c>
      <c r="C272" s="985"/>
      <c r="D272" s="986"/>
      <c r="E272" s="986"/>
      <c r="F272" s="986"/>
      <c r="G272" s="986"/>
      <c r="H272" s="986"/>
      <c r="I272" s="857">
        <f>+I273+I274+I275</f>
        <v>0</v>
      </c>
      <c r="J272" s="857">
        <f>+J273+J274+J275</f>
        <v>0</v>
      </c>
      <c r="K272" s="857">
        <f>+K273+K274+K275</f>
        <v>0</v>
      </c>
      <c r="L272" s="857">
        <f>+L273+L274+L275</f>
        <v>0</v>
      </c>
      <c r="M272" s="968"/>
    </row>
    <row r="273" spans="1:13">
      <c r="A273" s="968"/>
      <c r="B273" s="913" t="s">
        <v>2390</v>
      </c>
      <c r="C273" s="907" t="s">
        <v>12</v>
      </c>
      <c r="D273" s="935">
        <f>'Planteamiento Técnico'!C366</f>
        <v>0</v>
      </c>
      <c r="E273" s="935">
        <f>D273</f>
        <v>0</v>
      </c>
      <c r="F273" s="935">
        <f>E273</f>
        <v>0</v>
      </c>
      <c r="G273" s="935">
        <f>F273</f>
        <v>0</v>
      </c>
      <c r="H273" s="987"/>
      <c r="I273" s="985">
        <f>+D273*$H$273</f>
        <v>0</v>
      </c>
      <c r="J273" s="985">
        <f>+E273*$H$273</f>
        <v>0</v>
      </c>
      <c r="K273" s="985">
        <f>+F273*$H$273</f>
        <v>0</v>
      </c>
      <c r="L273" s="985">
        <f>+G273*$H$273</f>
        <v>0</v>
      </c>
      <c r="M273" s="968"/>
    </row>
    <row r="274" spans="1:13">
      <c r="A274" s="968"/>
      <c r="B274" s="913" t="s">
        <v>2391</v>
      </c>
      <c r="C274" s="907" t="s">
        <v>2392</v>
      </c>
      <c r="D274" s="987"/>
      <c r="E274" s="935">
        <f t="shared" ref="E274:G275" si="23">D274</f>
        <v>0</v>
      </c>
      <c r="F274" s="935">
        <f t="shared" si="23"/>
        <v>0</v>
      </c>
      <c r="G274" s="935">
        <f t="shared" si="23"/>
        <v>0</v>
      </c>
      <c r="H274" s="987"/>
      <c r="I274" s="985">
        <f>+D274*$H$274</f>
        <v>0</v>
      </c>
      <c r="J274" s="985">
        <f>+E274*$H$274</f>
        <v>0</v>
      </c>
      <c r="K274" s="985">
        <f>+F274*$H$274</f>
        <v>0</v>
      </c>
      <c r="L274" s="985">
        <f>+G274*$H$274</f>
        <v>0</v>
      </c>
      <c r="M274" s="968"/>
    </row>
    <row r="275" spans="1:13">
      <c r="A275" s="968"/>
      <c r="B275" s="913" t="s">
        <v>2393</v>
      </c>
      <c r="C275" s="907" t="s">
        <v>2392</v>
      </c>
      <c r="D275" s="987"/>
      <c r="E275" s="935">
        <f t="shared" si="23"/>
        <v>0</v>
      </c>
      <c r="F275" s="935">
        <f t="shared" si="23"/>
        <v>0</v>
      </c>
      <c r="G275" s="935">
        <f t="shared" si="23"/>
        <v>0</v>
      </c>
      <c r="H275" s="987"/>
      <c r="I275" s="985">
        <f>+D275*$H$275</f>
        <v>0</v>
      </c>
      <c r="J275" s="985">
        <f>+E275*$H$275</f>
        <v>0</v>
      </c>
      <c r="K275" s="985">
        <f>+F275*$H$275</f>
        <v>0</v>
      </c>
      <c r="L275" s="985">
        <f>+G275*$H$275</f>
        <v>0</v>
      </c>
      <c r="M275" s="968"/>
    </row>
    <row r="276" spans="1:13">
      <c r="A276" s="968"/>
      <c r="B276" s="984" t="s">
        <v>2371</v>
      </c>
      <c r="C276" s="985"/>
      <c r="D276" s="986"/>
      <c r="E276" s="986"/>
      <c r="F276" s="986"/>
      <c r="G276" s="986"/>
      <c r="H276" s="986"/>
      <c r="I276" s="857">
        <f>SUM(I277:I285)</f>
        <v>0</v>
      </c>
      <c r="J276" s="857">
        <f>SUM(J277:J285)</f>
        <v>0</v>
      </c>
      <c r="K276" s="857">
        <f>SUM(K277:K285)</f>
        <v>0</v>
      </c>
      <c r="L276" s="857">
        <f>SUM(L277:L285)</f>
        <v>0</v>
      </c>
      <c r="M276" s="968"/>
    </row>
    <row r="277" spans="1:13">
      <c r="A277" s="968"/>
      <c r="B277" s="913" t="str">
        <f>IF(AND('Planteamiento Técnico'!$C$347&gt;=2),"Grasa amarilla (1kg/mes/vehículo)","")</f>
        <v/>
      </c>
      <c r="C277" s="907" t="s">
        <v>983</v>
      </c>
      <c r="D277" s="987"/>
      <c r="E277" s="986">
        <f>D277</f>
        <v>0</v>
      </c>
      <c r="F277" s="986">
        <f>E277</f>
        <v>0</v>
      </c>
      <c r="G277" s="986">
        <f>F277</f>
        <v>0</v>
      </c>
      <c r="H277" s="987"/>
      <c r="I277" s="985">
        <f>+D277*$H$277</f>
        <v>0</v>
      </c>
      <c r="J277" s="985">
        <f>+E277*$H$277</f>
        <v>0</v>
      </c>
      <c r="K277" s="985">
        <f>+F277*$H$277</f>
        <v>0</v>
      </c>
      <c r="L277" s="985">
        <f>+G277*$H$277</f>
        <v>0</v>
      </c>
      <c r="M277" s="968"/>
    </row>
    <row r="278" spans="1:13">
      <c r="A278" s="968"/>
      <c r="B278" s="913" t="str">
        <f>IF(AND('Planteamiento Técnico'!$C$347&gt;=2),"Filtro de petroleo ( 1 und x mes x vehículo)","")</f>
        <v/>
      </c>
      <c r="C278" s="907" t="s">
        <v>11</v>
      </c>
      <c r="D278" s="987"/>
      <c r="E278" s="986">
        <f t="shared" ref="E278:G285" si="24">D278</f>
        <v>0</v>
      </c>
      <c r="F278" s="986">
        <f t="shared" si="24"/>
        <v>0</v>
      </c>
      <c r="G278" s="986">
        <f t="shared" si="24"/>
        <v>0</v>
      </c>
      <c r="H278" s="987"/>
      <c r="I278" s="985">
        <f>+D278*$H$278</f>
        <v>0</v>
      </c>
      <c r="J278" s="985">
        <f>+E278*$H$278</f>
        <v>0</v>
      </c>
      <c r="K278" s="985">
        <f>+F278*$H$278</f>
        <v>0</v>
      </c>
      <c r="L278" s="985">
        <f>+G278*$H$278</f>
        <v>0</v>
      </c>
      <c r="M278" s="968"/>
    </row>
    <row r="279" spans="1:13">
      <c r="A279" s="968"/>
      <c r="B279" s="913" t="str">
        <f>IF(AND('Planteamiento Técnico'!$C$347&gt;=2),"Filtro de aceite ( 1 und x mes x vehículo)","")</f>
        <v/>
      </c>
      <c r="C279" s="907" t="s">
        <v>11</v>
      </c>
      <c r="D279" s="987"/>
      <c r="E279" s="986">
        <f t="shared" si="24"/>
        <v>0</v>
      </c>
      <c r="F279" s="986">
        <f t="shared" si="24"/>
        <v>0</v>
      </c>
      <c r="G279" s="986">
        <f t="shared" si="24"/>
        <v>0</v>
      </c>
      <c r="H279" s="987"/>
      <c r="I279" s="985">
        <f>+D279*$H$279</f>
        <v>0</v>
      </c>
      <c r="J279" s="985">
        <f>+E279*$H$279</f>
        <v>0</v>
      </c>
      <c r="K279" s="985">
        <f>+F279*$H$279</f>
        <v>0</v>
      </c>
      <c r="L279" s="985">
        <f>+G279*$H$279</f>
        <v>0</v>
      </c>
      <c r="M279" s="968"/>
    </row>
    <row r="280" spans="1:13">
      <c r="A280" s="968"/>
      <c r="B280" s="913" t="str">
        <f>IF(AND('Planteamiento Técnico'!$C$347&gt;=2),"Filtro de aire (primario y secundario)","")</f>
        <v/>
      </c>
      <c r="C280" s="907" t="s">
        <v>11</v>
      </c>
      <c r="D280" s="987"/>
      <c r="E280" s="986">
        <f t="shared" si="24"/>
        <v>0</v>
      </c>
      <c r="F280" s="986">
        <f t="shared" si="24"/>
        <v>0</v>
      </c>
      <c r="G280" s="986">
        <f t="shared" si="24"/>
        <v>0</v>
      </c>
      <c r="H280" s="987"/>
      <c r="I280" s="985">
        <f>+D280*$H$280</f>
        <v>0</v>
      </c>
      <c r="J280" s="985">
        <f>+E280*$H$280</f>
        <v>0</v>
      </c>
      <c r="K280" s="985">
        <f>+F280*$H$280</f>
        <v>0</v>
      </c>
      <c r="L280" s="985">
        <f>+G280*$H$280</f>
        <v>0</v>
      </c>
      <c r="M280" s="968"/>
    </row>
    <row r="281" spans="1:13">
      <c r="A281" s="968"/>
      <c r="B281" s="913" t="str">
        <f>IF(AND('Planteamiento Técnico'!$C$347&gt;=2),"Filtro secador de aire","")</f>
        <v/>
      </c>
      <c r="C281" s="907" t="s">
        <v>11</v>
      </c>
      <c r="D281" s="987"/>
      <c r="E281" s="986">
        <f t="shared" si="24"/>
        <v>0</v>
      </c>
      <c r="F281" s="986">
        <f t="shared" si="24"/>
        <v>0</v>
      </c>
      <c r="G281" s="986">
        <f t="shared" si="24"/>
        <v>0</v>
      </c>
      <c r="H281" s="987"/>
      <c r="I281" s="985">
        <f>+D281*$H$281</f>
        <v>0</v>
      </c>
      <c r="J281" s="985">
        <f>+E281*$H$281</f>
        <v>0</v>
      </c>
      <c r="K281" s="985">
        <f>+F281*$H$281</f>
        <v>0</v>
      </c>
      <c r="L281" s="985">
        <f>+G281*$H$281</f>
        <v>0</v>
      </c>
      <c r="M281" s="968"/>
    </row>
    <row r="282" spans="1:13">
      <c r="A282" s="968"/>
      <c r="B282" s="913" t="str">
        <f>IF(AND('Planteamiento Técnico'!$C$347&gt;=2),"Filtro hidráulico","")</f>
        <v/>
      </c>
      <c r="C282" s="907" t="s">
        <v>11</v>
      </c>
      <c r="D282" s="987"/>
      <c r="E282" s="986">
        <f t="shared" si="24"/>
        <v>0</v>
      </c>
      <c r="F282" s="986">
        <f t="shared" si="24"/>
        <v>0</v>
      </c>
      <c r="G282" s="986">
        <f t="shared" si="24"/>
        <v>0</v>
      </c>
      <c r="H282" s="987"/>
      <c r="I282" s="985">
        <f>+D282*$H$282</f>
        <v>0</v>
      </c>
      <c r="J282" s="985">
        <f>+E282*$H$282</f>
        <v>0</v>
      </c>
      <c r="K282" s="985">
        <f>+F282*$H$282</f>
        <v>0</v>
      </c>
      <c r="L282" s="985">
        <f>+G282*$H$282</f>
        <v>0</v>
      </c>
      <c r="M282" s="968"/>
    </row>
    <row r="283" spans="1:13">
      <c r="A283" s="968"/>
      <c r="B283" s="913" t="str">
        <f>IF(AND('Planteamiento Técnico'!$C$347&gt;=2),"Llantas Delanteras set completo","")</f>
        <v/>
      </c>
      <c r="C283" s="907" t="s">
        <v>11</v>
      </c>
      <c r="D283" s="987"/>
      <c r="E283" s="986">
        <f t="shared" si="24"/>
        <v>0</v>
      </c>
      <c r="F283" s="986">
        <f t="shared" si="24"/>
        <v>0</v>
      </c>
      <c r="G283" s="986">
        <f t="shared" si="24"/>
        <v>0</v>
      </c>
      <c r="H283" s="987"/>
      <c r="I283" s="985">
        <f>+D283*$H$283</f>
        <v>0</v>
      </c>
      <c r="J283" s="985">
        <f>+E283*$H$283</f>
        <v>0</v>
      </c>
      <c r="K283" s="985">
        <f>+F283*$H$283</f>
        <v>0</v>
      </c>
      <c r="L283" s="985">
        <f>+G283*$H$283</f>
        <v>0</v>
      </c>
      <c r="M283" s="968"/>
    </row>
    <row r="284" spans="1:13">
      <c r="A284" s="968"/>
      <c r="B284" s="913" t="str">
        <f>IF(AND('Planteamiento Técnico'!$C$347&gt;=2),"Llantas Traseras set completo","")</f>
        <v/>
      </c>
      <c r="C284" s="907" t="s">
        <v>11</v>
      </c>
      <c r="D284" s="987"/>
      <c r="E284" s="986">
        <f t="shared" si="24"/>
        <v>0</v>
      </c>
      <c r="F284" s="986">
        <f t="shared" si="24"/>
        <v>0</v>
      </c>
      <c r="G284" s="986">
        <f t="shared" si="24"/>
        <v>0</v>
      </c>
      <c r="H284" s="987"/>
      <c r="I284" s="985">
        <f>+D284*$H$284</f>
        <v>0</v>
      </c>
      <c r="J284" s="985">
        <f>+E284*$H$284</f>
        <v>0</v>
      </c>
      <c r="K284" s="985">
        <f>+F284*$H$284</f>
        <v>0</v>
      </c>
      <c r="L284" s="985">
        <f>+G284*$H$284</f>
        <v>0</v>
      </c>
      <c r="M284" s="968"/>
    </row>
    <row r="285" spans="1:13">
      <c r="A285" s="968"/>
      <c r="B285" s="913" t="str">
        <f>IF(AND('Planteamiento Técnico'!$C$347&gt;=2),"Baterías","")</f>
        <v/>
      </c>
      <c r="C285" s="907" t="s">
        <v>11</v>
      </c>
      <c r="D285" s="987"/>
      <c r="E285" s="986">
        <f t="shared" si="24"/>
        <v>0</v>
      </c>
      <c r="F285" s="986">
        <f t="shared" si="24"/>
        <v>0</v>
      </c>
      <c r="G285" s="986">
        <f t="shared" si="24"/>
        <v>0</v>
      </c>
      <c r="H285" s="987"/>
      <c r="I285" s="985">
        <f>+D285*$H$285</f>
        <v>0</v>
      </c>
      <c r="J285" s="985">
        <f>+E285*$H$285</f>
        <v>0</v>
      </c>
      <c r="K285" s="985">
        <f>+F285*$H$285</f>
        <v>0</v>
      </c>
      <c r="L285" s="985">
        <f>+G285*$H$285</f>
        <v>0</v>
      </c>
      <c r="M285" s="968"/>
    </row>
    <row r="286" spans="1:13">
      <c r="A286" s="968"/>
      <c r="B286" s="1000" t="s">
        <v>2394</v>
      </c>
      <c r="C286" s="907"/>
      <c r="D286" s="986"/>
      <c r="E286" s="986"/>
      <c r="F286" s="986"/>
      <c r="G286" s="986"/>
      <c r="H286" s="986"/>
      <c r="I286" s="857">
        <f>SUM(I287:I294)</f>
        <v>0</v>
      </c>
      <c r="J286" s="857">
        <f>SUM(J287:J294)</f>
        <v>0</v>
      </c>
      <c r="K286" s="857">
        <f>SUM(K287:K294)</f>
        <v>0</v>
      </c>
      <c r="L286" s="857">
        <f>SUM(L287:L294)</f>
        <v>0</v>
      </c>
      <c r="M286" s="968"/>
    </row>
    <row r="287" spans="1:13">
      <c r="A287" s="968"/>
      <c r="B287" s="913" t="str">
        <f>IF(AND('Planteamiento Técnico'!$C$347&gt;=2),"Póliza de seguros para vehiculos minicargador","")</f>
        <v/>
      </c>
      <c r="C287" s="907" t="s">
        <v>2336</v>
      </c>
      <c r="D287" s="987"/>
      <c r="E287" s="986">
        <f t="shared" ref="E287:G288" si="25">D287</f>
        <v>0</v>
      </c>
      <c r="F287" s="986">
        <f t="shared" si="25"/>
        <v>0</v>
      </c>
      <c r="G287" s="986">
        <f t="shared" si="25"/>
        <v>0</v>
      </c>
      <c r="H287" s="987"/>
      <c r="I287" s="985">
        <f>+D287*$H$287</f>
        <v>0</v>
      </c>
      <c r="J287" s="985">
        <f>+E287*$H$287</f>
        <v>0</v>
      </c>
      <c r="K287" s="985">
        <f>+F287*$H$287</f>
        <v>0</v>
      </c>
      <c r="L287" s="985">
        <f>+G287*$H$287</f>
        <v>0</v>
      </c>
      <c r="M287" s="968"/>
    </row>
    <row r="288" spans="1:13">
      <c r="A288" s="968"/>
      <c r="B288" s="913" t="str">
        <f>IF(AND('Planteamiento Técnico'!$C$347&gt;=10),"Póliza de seguros para vehiculos volteadora","")</f>
        <v/>
      </c>
      <c r="C288" s="907" t="s">
        <v>2336</v>
      </c>
      <c r="D288" s="987"/>
      <c r="E288" s="986">
        <f t="shared" si="25"/>
        <v>0</v>
      </c>
      <c r="F288" s="986">
        <f t="shared" si="25"/>
        <v>0</v>
      </c>
      <c r="G288" s="986">
        <f t="shared" si="25"/>
        <v>0</v>
      </c>
      <c r="H288" s="987"/>
      <c r="I288" s="985">
        <f>+D288*$H$288</f>
        <v>0</v>
      </c>
      <c r="J288" s="985">
        <f>+E288*$H$288</f>
        <v>0</v>
      </c>
      <c r="K288" s="985">
        <f>+F288*$H$288</f>
        <v>0</v>
      </c>
      <c r="L288" s="985">
        <f>+G288*$H$288</f>
        <v>0</v>
      </c>
      <c r="M288" s="968"/>
    </row>
    <row r="289" spans="1:13">
      <c r="A289" s="968"/>
      <c r="B289" s="913" t="str">
        <f>IF(AND('Planteamiento Técnico'!$C$347&gt;=2),"SOAT para vehículos minicargador","")</f>
        <v/>
      </c>
      <c r="C289" s="907" t="s">
        <v>2336</v>
      </c>
      <c r="D289" s="987"/>
      <c r="E289" s="986">
        <f t="shared" ref="E289:E294" si="26">D289</f>
        <v>0</v>
      </c>
      <c r="F289" s="986">
        <f t="shared" ref="F289:F294" si="27">E289</f>
        <v>0</v>
      </c>
      <c r="G289" s="986">
        <f t="shared" ref="G289:G294" si="28">F289</f>
        <v>0</v>
      </c>
      <c r="H289" s="987"/>
      <c r="I289" s="985">
        <f>+D289*$H$289</f>
        <v>0</v>
      </c>
      <c r="J289" s="985">
        <f>+E289*$H$289</f>
        <v>0</v>
      </c>
      <c r="K289" s="985">
        <f>+F289*$H$289</f>
        <v>0</v>
      </c>
      <c r="L289" s="985">
        <f>+G289*$H$289</f>
        <v>0</v>
      </c>
      <c r="M289" s="968"/>
    </row>
    <row r="290" spans="1:13">
      <c r="A290" s="968"/>
      <c r="B290" s="913" t="str">
        <f>IF(AND('Planteamiento Técnico'!$C$347&gt;=10),"SOAT para vehículos volteadora","")</f>
        <v/>
      </c>
      <c r="C290" s="907" t="s">
        <v>2336</v>
      </c>
      <c r="D290" s="987"/>
      <c r="E290" s="986">
        <f t="shared" si="26"/>
        <v>0</v>
      </c>
      <c r="F290" s="986">
        <f t="shared" si="27"/>
        <v>0</v>
      </c>
      <c r="G290" s="986">
        <f t="shared" si="28"/>
        <v>0</v>
      </c>
      <c r="H290" s="987"/>
      <c r="I290" s="985">
        <f>+D290*$H$290</f>
        <v>0</v>
      </c>
      <c r="J290" s="985">
        <f>+E290*$H$290</f>
        <v>0</v>
      </c>
      <c r="K290" s="985">
        <f>+F290*$H$290</f>
        <v>0</v>
      </c>
      <c r="L290" s="985">
        <f>+G290*$H$290</f>
        <v>0</v>
      </c>
      <c r="M290" s="968"/>
    </row>
    <row r="291" spans="1:13">
      <c r="A291" s="968"/>
      <c r="B291" s="913" t="str">
        <f>IF(AND('Planteamiento Técnico'!$C$347&gt;=2),"Aceite de motor","")</f>
        <v/>
      </c>
      <c r="C291" s="907" t="s">
        <v>2336</v>
      </c>
      <c r="D291" s="987"/>
      <c r="E291" s="986">
        <f t="shared" si="26"/>
        <v>0</v>
      </c>
      <c r="F291" s="986">
        <f t="shared" si="27"/>
        <v>0</v>
      </c>
      <c r="G291" s="986">
        <f t="shared" si="28"/>
        <v>0</v>
      </c>
      <c r="H291" s="987"/>
      <c r="I291" s="985">
        <f>+D291*$H$291</f>
        <v>0</v>
      </c>
      <c r="J291" s="985">
        <f>+E291*$H$291</f>
        <v>0</v>
      </c>
      <c r="K291" s="985">
        <f>+F291*$H$291</f>
        <v>0</v>
      </c>
      <c r="L291" s="985">
        <f>+G291*$H$291</f>
        <v>0</v>
      </c>
      <c r="M291" s="968"/>
    </row>
    <row r="292" spans="1:13">
      <c r="A292" s="968"/>
      <c r="B292" s="913" t="str">
        <f>IF(AND('Planteamiento Técnico'!$C$347&gt;=2),"Aceite de caja","")</f>
        <v/>
      </c>
      <c r="C292" s="907" t="s">
        <v>2336</v>
      </c>
      <c r="D292" s="987"/>
      <c r="E292" s="986">
        <f t="shared" si="26"/>
        <v>0</v>
      </c>
      <c r="F292" s="986">
        <f t="shared" si="27"/>
        <v>0</v>
      </c>
      <c r="G292" s="986">
        <f t="shared" si="28"/>
        <v>0</v>
      </c>
      <c r="H292" s="987"/>
      <c r="I292" s="985">
        <f>+D292*$H$292</f>
        <v>0</v>
      </c>
      <c r="J292" s="985">
        <f>+E292*$H$292</f>
        <v>0</v>
      </c>
      <c r="K292" s="985">
        <f>+F292*$H$292</f>
        <v>0</v>
      </c>
      <c r="L292" s="985">
        <f>+G292*$H$292</f>
        <v>0</v>
      </c>
      <c r="M292" s="968"/>
    </row>
    <row r="293" spans="1:13">
      <c r="A293" s="968"/>
      <c r="B293" s="913" t="str">
        <f>IF(AND('Planteamiento Técnico'!$C$347&gt;=2),"Aceite de trasmisión","")</f>
        <v/>
      </c>
      <c r="C293" s="907" t="s">
        <v>2336</v>
      </c>
      <c r="D293" s="987"/>
      <c r="E293" s="986">
        <f t="shared" si="26"/>
        <v>0</v>
      </c>
      <c r="F293" s="986">
        <f t="shared" si="27"/>
        <v>0</v>
      </c>
      <c r="G293" s="986">
        <f t="shared" si="28"/>
        <v>0</v>
      </c>
      <c r="H293" s="987"/>
      <c r="I293" s="985">
        <f>+D293*$H$293</f>
        <v>0</v>
      </c>
      <c r="J293" s="985">
        <f>+E293*$H$293</f>
        <v>0</v>
      </c>
      <c r="K293" s="985">
        <f>+F293*$H$293</f>
        <v>0</v>
      </c>
      <c r="L293" s="985">
        <f>+G293*$H$293</f>
        <v>0</v>
      </c>
      <c r="M293" s="968"/>
    </row>
    <row r="294" spans="1:13">
      <c r="A294" s="968"/>
      <c r="B294" s="913" t="str">
        <f>IF(AND('Planteamiento Técnico'!$C$347&gt;=2),"Sistema hidráulico (cambio al año) ","")</f>
        <v/>
      </c>
      <c r="C294" s="907" t="s">
        <v>2336</v>
      </c>
      <c r="D294" s="987"/>
      <c r="E294" s="986">
        <f t="shared" si="26"/>
        <v>0</v>
      </c>
      <c r="F294" s="986">
        <f t="shared" si="27"/>
        <v>0</v>
      </c>
      <c r="G294" s="986">
        <f t="shared" si="28"/>
        <v>0</v>
      </c>
      <c r="H294" s="987"/>
      <c r="I294" s="985">
        <f>+D294*$H$294</f>
        <v>0</v>
      </c>
      <c r="J294" s="985">
        <f>+E294*$H$294</f>
        <v>0</v>
      </c>
      <c r="K294" s="985">
        <f>+F294*$H$294</f>
        <v>0</v>
      </c>
      <c r="L294" s="985">
        <f>+G294*$H$294</f>
        <v>0</v>
      </c>
      <c r="M294" s="968"/>
    </row>
    <row r="295" spans="1:13">
      <c r="A295" s="968"/>
      <c r="B295" s="1000" t="s">
        <v>2395</v>
      </c>
      <c r="C295" s="907"/>
      <c r="D295" s="986"/>
      <c r="E295" s="986"/>
      <c r="F295" s="986"/>
      <c r="G295" s="986"/>
      <c r="H295" s="986"/>
      <c r="I295" s="857">
        <f>+I296+I297</f>
        <v>0</v>
      </c>
      <c r="J295" s="857">
        <f>+J296+J297</f>
        <v>0</v>
      </c>
      <c r="K295" s="857">
        <f>+K296+K297</f>
        <v>0</v>
      </c>
      <c r="L295" s="857">
        <f>+L296+L297</f>
        <v>0</v>
      </c>
      <c r="M295" s="968"/>
    </row>
    <row r="296" spans="1:13">
      <c r="A296" s="968"/>
      <c r="B296" s="3" t="str">
        <f>IF(AND('Planteamiento Técnico'!$C$347&gt;=2),"Petroleo para vehiculo minicargador","")</f>
        <v/>
      </c>
      <c r="C296" s="907" t="s">
        <v>2363</v>
      </c>
      <c r="D296" s="996"/>
      <c r="E296" s="928">
        <f t="shared" ref="E296:G297" si="29">D296</f>
        <v>0</v>
      </c>
      <c r="F296" s="928">
        <f t="shared" si="29"/>
        <v>0</v>
      </c>
      <c r="G296" s="928">
        <f t="shared" si="29"/>
        <v>0</v>
      </c>
      <c r="H296" s="996"/>
      <c r="I296" s="985">
        <f>+D296*$H$296</f>
        <v>0</v>
      </c>
      <c r="J296" s="985">
        <f>+E296*$H$296</f>
        <v>0</v>
      </c>
      <c r="K296" s="985">
        <f>+F296*$H$296</f>
        <v>0</v>
      </c>
      <c r="L296" s="985">
        <f>+G296*$H$296</f>
        <v>0</v>
      </c>
      <c r="M296" s="968"/>
    </row>
    <row r="297" spans="1:13">
      <c r="A297" s="968"/>
      <c r="B297" s="3" t="str">
        <f>IF(AND('Planteamiento Técnico'!$C$347&gt;=10),"Petroleo para vehiculo volteadora","")</f>
        <v/>
      </c>
      <c r="C297" s="907" t="s">
        <v>2363</v>
      </c>
      <c r="D297" s="996"/>
      <c r="E297" s="928">
        <f t="shared" si="29"/>
        <v>0</v>
      </c>
      <c r="F297" s="928">
        <f t="shared" si="29"/>
        <v>0</v>
      </c>
      <c r="G297" s="928">
        <f t="shared" si="29"/>
        <v>0</v>
      </c>
      <c r="H297" s="996"/>
      <c r="I297" s="985">
        <f>+D297*$H$297</f>
        <v>0</v>
      </c>
      <c r="J297" s="985">
        <f>+E297*$H$297</f>
        <v>0</v>
      </c>
      <c r="K297" s="985">
        <f>+F297*$H$297</f>
        <v>0</v>
      </c>
      <c r="L297" s="985">
        <f>+G297*$H$297</f>
        <v>0</v>
      </c>
      <c r="M297" s="968"/>
    </row>
    <row r="298" spans="1:13">
      <c r="A298" s="968"/>
      <c r="B298" s="989"/>
      <c r="C298" s="955"/>
      <c r="D298" s="991"/>
      <c r="E298" s="991"/>
      <c r="F298" s="991"/>
      <c r="G298" s="991"/>
      <c r="H298" s="991"/>
      <c r="I298" s="990"/>
      <c r="J298" s="990"/>
      <c r="K298" s="990"/>
      <c r="L298" s="990"/>
      <c r="M298" s="968"/>
    </row>
    <row r="299" spans="1:13">
      <c r="A299" s="1931" t="s">
        <v>2354</v>
      </c>
      <c r="B299" s="1931"/>
      <c r="M299" s="968"/>
    </row>
    <row r="300" spans="1:13">
      <c r="A300" s="968"/>
      <c r="B300" s="968"/>
      <c r="M300" s="968"/>
    </row>
    <row r="301" spans="1:13" ht="51">
      <c r="A301" s="968"/>
      <c r="B301" s="578" t="s">
        <v>7</v>
      </c>
      <c r="C301" s="578" t="s">
        <v>11</v>
      </c>
      <c r="D301" s="578" t="s">
        <v>2309</v>
      </c>
      <c r="E301" s="578" t="s">
        <v>2310</v>
      </c>
      <c r="F301" s="578" t="s">
        <v>2311</v>
      </c>
      <c r="G301" s="578" t="s">
        <v>2312</v>
      </c>
      <c r="H301" s="578" t="s">
        <v>2329</v>
      </c>
      <c r="I301" s="578" t="s">
        <v>2330</v>
      </c>
      <c r="J301" s="578" t="s">
        <v>2331</v>
      </c>
      <c r="K301" s="578" t="s">
        <v>2332</v>
      </c>
      <c r="L301" s="578" t="s">
        <v>2333</v>
      </c>
      <c r="M301" s="968"/>
    </row>
    <row r="302" spans="1:13">
      <c r="A302" s="968"/>
      <c r="B302" s="998" t="s">
        <v>2355</v>
      </c>
      <c r="C302" s="911"/>
      <c r="D302" s="986"/>
      <c r="E302" s="986"/>
      <c r="F302" s="986"/>
      <c r="G302" s="986"/>
      <c r="H302" s="986"/>
      <c r="I302" s="857">
        <f>+I303</f>
        <v>0</v>
      </c>
      <c r="J302" s="857">
        <f>+J303</f>
        <v>0</v>
      </c>
      <c r="K302" s="857">
        <f>+K303</f>
        <v>0</v>
      </c>
      <c r="L302" s="857">
        <f>+L303</f>
        <v>0</v>
      </c>
      <c r="M302" s="968"/>
    </row>
    <row r="303" spans="1:13">
      <c r="A303" s="968"/>
      <c r="B303" s="913" t="s">
        <v>298</v>
      </c>
      <c r="C303" s="907" t="s">
        <v>12</v>
      </c>
      <c r="D303" s="987"/>
      <c r="E303" s="986">
        <f>+D303</f>
        <v>0</v>
      </c>
      <c r="F303" s="986">
        <f>+E303</f>
        <v>0</v>
      </c>
      <c r="G303" s="986">
        <f>+F303</f>
        <v>0</v>
      </c>
      <c r="H303" s="987"/>
      <c r="I303" s="985">
        <f>+D303*$H$303</f>
        <v>0</v>
      </c>
      <c r="J303" s="985">
        <f>+E303*$H$303</f>
        <v>0</v>
      </c>
      <c r="K303" s="985">
        <f>+F303*$H$303</f>
        <v>0</v>
      </c>
      <c r="L303" s="985">
        <f>+G303*$H$303</f>
        <v>0</v>
      </c>
      <c r="M303" s="968"/>
    </row>
    <row r="304" spans="1:13">
      <c r="A304" s="968"/>
      <c r="B304" s="917" t="s">
        <v>2382</v>
      </c>
      <c r="C304" s="911"/>
      <c r="D304" s="986"/>
      <c r="E304" s="986"/>
      <c r="F304" s="986"/>
      <c r="G304" s="986"/>
      <c r="H304" s="986"/>
      <c r="I304" s="857">
        <f>+I305+I307</f>
        <v>0</v>
      </c>
      <c r="J304" s="857">
        <f>+J305+J307</f>
        <v>0</v>
      </c>
      <c r="K304" s="857">
        <f>+K305+K307</f>
        <v>0</v>
      </c>
      <c r="L304" s="857">
        <f>+L305+L307</f>
        <v>0</v>
      </c>
      <c r="M304" s="968"/>
    </row>
    <row r="305" spans="1:13">
      <c r="A305" s="968"/>
      <c r="B305" s="913" t="str">
        <f>IF(AND('Planteamiento Técnico'!$C$347&gt;=2),"Lavado y Engrase de minicargador","")</f>
        <v/>
      </c>
      <c r="C305" s="907" t="s">
        <v>2336</v>
      </c>
      <c r="D305" s="987"/>
      <c r="E305" s="986">
        <f>+D305</f>
        <v>0</v>
      </c>
      <c r="F305" s="986">
        <f>+E305</f>
        <v>0</v>
      </c>
      <c r="G305" s="986">
        <f>+F305</f>
        <v>0</v>
      </c>
      <c r="H305" s="987"/>
      <c r="I305" s="985">
        <f>+D305*$H$305</f>
        <v>0</v>
      </c>
      <c r="J305" s="985">
        <f>+E305*$H$305</f>
        <v>0</v>
      </c>
      <c r="K305" s="985">
        <f>+F305*$H$305</f>
        <v>0</v>
      </c>
      <c r="L305" s="985">
        <f>+G305*$H$305</f>
        <v>0</v>
      </c>
      <c r="M305" s="968"/>
    </row>
    <row r="306" spans="1:13">
      <c r="A306" s="968"/>
      <c r="B306" s="913" t="str">
        <f>IF(AND('Planteamiento Técnico'!$C$347&gt;=10),"Lavado y Engrase de vehículos volteadora","")</f>
        <v/>
      </c>
      <c r="C306" s="907" t="s">
        <v>2336</v>
      </c>
      <c r="D306" s="987"/>
      <c r="E306" s="986">
        <f t="shared" ref="E306:G307" si="30">+D306</f>
        <v>0</v>
      </c>
      <c r="F306" s="986">
        <f t="shared" si="30"/>
        <v>0</v>
      </c>
      <c r="G306" s="986">
        <f t="shared" si="30"/>
        <v>0</v>
      </c>
      <c r="H306" s="987"/>
      <c r="I306" s="985">
        <f>+D306*$H$306</f>
        <v>0</v>
      </c>
      <c r="J306" s="985">
        <f>+E306*$H$306</f>
        <v>0</v>
      </c>
      <c r="K306" s="985">
        <f>+F306*$H$306</f>
        <v>0</v>
      </c>
      <c r="L306" s="985">
        <f>+G306*$H$306</f>
        <v>0</v>
      </c>
      <c r="M306" s="968"/>
    </row>
    <row r="307" spans="1:13">
      <c r="A307" s="968"/>
      <c r="B307" s="913" t="str">
        <f>IF(AND('Planteamiento Técnico'!$C$347&gt;=2),"Revisión técnica y otros","")</f>
        <v/>
      </c>
      <c r="C307" s="907" t="s">
        <v>12</v>
      </c>
      <c r="D307" s="987"/>
      <c r="E307" s="986">
        <f t="shared" si="30"/>
        <v>0</v>
      </c>
      <c r="F307" s="986">
        <f t="shared" si="30"/>
        <v>0</v>
      </c>
      <c r="G307" s="986">
        <f t="shared" si="30"/>
        <v>0</v>
      </c>
      <c r="H307" s="987"/>
      <c r="I307" s="985">
        <f>+D307*$H$307</f>
        <v>0</v>
      </c>
      <c r="J307" s="985">
        <f>+E307*$H$307</f>
        <v>0</v>
      </c>
      <c r="K307" s="985">
        <f>+F307*$H$307</f>
        <v>0</v>
      </c>
      <c r="L307" s="985">
        <f>+G307*$H$307</f>
        <v>0</v>
      </c>
      <c r="M307" s="968"/>
    </row>
    <row r="308" spans="1:13">
      <c r="A308" s="968"/>
      <c r="B308" s="989"/>
      <c r="C308" s="955"/>
      <c r="D308" s="991"/>
      <c r="E308" s="991"/>
      <c r="F308" s="991"/>
      <c r="G308" s="991"/>
      <c r="H308" s="991"/>
      <c r="I308" s="990"/>
      <c r="J308" s="990"/>
      <c r="K308" s="990"/>
      <c r="L308" s="990"/>
      <c r="M308" s="968"/>
    </row>
    <row r="309" spans="1:13">
      <c r="A309" s="1932" t="s">
        <v>3183</v>
      </c>
      <c r="B309" s="1932"/>
      <c r="C309" s="1932"/>
      <c r="D309" s="1932"/>
      <c r="E309" s="1932"/>
      <c r="F309" s="1932"/>
      <c r="G309" s="1932"/>
      <c r="H309" s="1932"/>
      <c r="I309" s="1932"/>
      <c r="J309" s="1932"/>
      <c r="K309" s="1932"/>
      <c r="L309" s="1932"/>
      <c r="M309" s="968"/>
    </row>
    <row r="310" spans="1:13">
      <c r="A310" s="968"/>
      <c r="B310" s="968"/>
      <c r="M310" s="968"/>
    </row>
    <row r="311" spans="1:13">
      <c r="A311" s="1931" t="s">
        <v>2340</v>
      </c>
      <c r="B311" s="1931"/>
      <c r="M311" s="968"/>
    </row>
    <row r="312" spans="1:13">
      <c r="A312" s="968"/>
      <c r="B312" s="968"/>
      <c r="M312" s="968"/>
    </row>
    <row r="313" spans="1:13" ht="51">
      <c r="A313" s="968"/>
      <c r="B313" s="578" t="s">
        <v>7</v>
      </c>
      <c r="C313" s="578" t="s">
        <v>11</v>
      </c>
      <c r="D313" s="578" t="s">
        <v>2309</v>
      </c>
      <c r="E313" s="578" t="s">
        <v>2310</v>
      </c>
      <c r="F313" s="578" t="s">
        <v>2311</v>
      </c>
      <c r="G313" s="578" t="s">
        <v>2312</v>
      </c>
      <c r="H313" s="578" t="s">
        <v>2329</v>
      </c>
      <c r="I313" s="578" t="s">
        <v>2330</v>
      </c>
      <c r="J313" s="578" t="s">
        <v>2331</v>
      </c>
      <c r="K313" s="578" t="s">
        <v>2332</v>
      </c>
      <c r="L313" s="578" t="s">
        <v>2333</v>
      </c>
      <c r="M313" s="968"/>
    </row>
    <row r="314" spans="1:13">
      <c r="A314" s="968"/>
      <c r="B314" s="984" t="s">
        <v>206</v>
      </c>
      <c r="C314" s="907"/>
      <c r="D314" s="986"/>
      <c r="E314" s="986"/>
      <c r="F314" s="986"/>
      <c r="G314" s="986"/>
      <c r="H314" s="986"/>
      <c r="I314" s="857">
        <f>+I315</f>
        <v>0</v>
      </c>
      <c r="J314" s="857">
        <f>+J315</f>
        <v>0</v>
      </c>
      <c r="K314" s="857">
        <f>+K315</f>
        <v>0</v>
      </c>
      <c r="L314" s="857">
        <f>+L315</f>
        <v>0</v>
      </c>
      <c r="M314" s="968"/>
    </row>
    <row r="315" spans="1:13">
      <c r="A315" s="968"/>
      <c r="B315" s="994" t="s">
        <v>2366</v>
      </c>
      <c r="C315" s="907" t="s">
        <v>2366</v>
      </c>
      <c r="D315" s="987"/>
      <c r="E315" s="987"/>
      <c r="F315" s="987"/>
      <c r="G315" s="987"/>
      <c r="H315" s="987"/>
      <c r="I315" s="985">
        <f>+D315*$H$315</f>
        <v>0</v>
      </c>
      <c r="J315" s="985">
        <f>+E315*$H$248</f>
        <v>0</v>
      </c>
      <c r="K315" s="985">
        <f>+F315*$H$248</f>
        <v>0</v>
      </c>
      <c r="L315" s="985">
        <f>+G315*$H$248</f>
        <v>0</v>
      </c>
      <c r="M315" s="968"/>
    </row>
    <row r="316" spans="1:13">
      <c r="A316" s="968"/>
      <c r="B316" s="984" t="s">
        <v>2367</v>
      </c>
      <c r="C316" s="907"/>
      <c r="D316" s="986"/>
      <c r="E316" s="986"/>
      <c r="F316" s="986"/>
      <c r="G316" s="986"/>
      <c r="H316" s="986"/>
      <c r="I316" s="857">
        <f>SUM(I318:I327)</f>
        <v>0</v>
      </c>
      <c r="J316" s="857">
        <f>SUM(J318:J327)</f>
        <v>0</v>
      </c>
      <c r="K316" s="857">
        <f>SUM(K318:K327)</f>
        <v>0</v>
      </c>
      <c r="L316" s="857">
        <f>SUM(L318:L327)</f>
        <v>0</v>
      </c>
      <c r="M316" s="968"/>
    </row>
    <row r="317" spans="1:13">
      <c r="A317" s="968"/>
      <c r="B317" s="934" t="s">
        <v>3184</v>
      </c>
      <c r="C317" s="907" t="s">
        <v>11</v>
      </c>
      <c r="D317" s="987"/>
      <c r="E317" s="987"/>
      <c r="F317" s="987"/>
      <c r="G317" s="987"/>
      <c r="H317" s="987"/>
      <c r="I317" s="985">
        <f>+D317*$H$317</f>
        <v>0</v>
      </c>
      <c r="J317" s="985">
        <f>+E317*$H$317</f>
        <v>0</v>
      </c>
      <c r="K317" s="985">
        <f>+F317*$H$317</f>
        <v>0</v>
      </c>
      <c r="L317" s="985">
        <f>+G317*$H$317</f>
        <v>0</v>
      </c>
      <c r="M317" s="968"/>
    </row>
    <row r="318" spans="1:13">
      <c r="A318" s="968"/>
      <c r="B318" s="934" t="s">
        <v>2397</v>
      </c>
      <c r="C318" s="907" t="s">
        <v>11</v>
      </c>
      <c r="D318" s="987"/>
      <c r="E318" s="987"/>
      <c r="F318" s="987"/>
      <c r="G318" s="987"/>
      <c r="H318" s="987"/>
      <c r="I318" s="985">
        <f>+D318*$H$318</f>
        <v>0</v>
      </c>
      <c r="J318" s="985">
        <f>+E318*$H$318</f>
        <v>0</v>
      </c>
      <c r="K318" s="985">
        <f>+F318*$H$318</f>
        <v>0</v>
      </c>
      <c r="L318" s="985">
        <f>+G318*$H$318</f>
        <v>0</v>
      </c>
      <c r="M318" s="968"/>
    </row>
    <row r="319" spans="1:13">
      <c r="A319" s="968"/>
      <c r="B319" s="913" t="s">
        <v>2048</v>
      </c>
      <c r="C319" s="907" t="s">
        <v>11</v>
      </c>
      <c r="D319" s="987"/>
      <c r="E319" s="987"/>
      <c r="F319" s="987"/>
      <c r="G319" s="987"/>
      <c r="H319" s="987"/>
      <c r="I319" s="985">
        <f>+D319*$H$319</f>
        <v>0</v>
      </c>
      <c r="J319" s="985">
        <f>+E319*$H$319</f>
        <v>0</v>
      </c>
      <c r="K319" s="985">
        <f>+F319*$H$319</f>
        <v>0</v>
      </c>
      <c r="L319" s="985">
        <f>+G319*$H$319</f>
        <v>0</v>
      </c>
      <c r="M319" s="968"/>
    </row>
    <row r="320" spans="1:13">
      <c r="A320" s="968"/>
      <c r="B320" s="934" t="str">
        <f>IF(AND('Planteamiento Técnico'!$J$347&lt;4),"Trinche","")</f>
        <v>Trinche</v>
      </c>
      <c r="C320" s="907" t="s">
        <v>11</v>
      </c>
      <c r="D320" s="987"/>
      <c r="E320" s="987"/>
      <c r="F320" s="987"/>
      <c r="G320" s="987"/>
      <c r="H320" s="987"/>
      <c r="I320" s="985">
        <f>+D320*$H$320</f>
        <v>0</v>
      </c>
      <c r="J320" s="985">
        <f>+E320*$H$320</f>
        <v>0</v>
      </c>
      <c r="K320" s="985">
        <f>+F320*$H$320</f>
        <v>0</v>
      </c>
      <c r="L320" s="985">
        <f>+G320*$H$320</f>
        <v>0</v>
      </c>
      <c r="M320" s="968"/>
    </row>
    <row r="321" spans="1:13">
      <c r="A321" s="968"/>
      <c r="B321" s="934" t="str">
        <f>IF(AND('Planteamiento Técnico'!$J$347&lt;4),"Costales (millares) 1 m3","")</f>
        <v>Costales (millares) 1 m3</v>
      </c>
      <c r="C321" s="907" t="s">
        <v>11</v>
      </c>
      <c r="D321" s="987"/>
      <c r="E321" s="987"/>
      <c r="F321" s="987"/>
      <c r="G321" s="987"/>
      <c r="H321" s="987"/>
      <c r="I321" s="985">
        <f>+D321*$H$321</f>
        <v>0</v>
      </c>
      <c r="J321" s="985">
        <f>+E321*$H$321</f>
        <v>0</v>
      </c>
      <c r="K321" s="985">
        <f>+F321*$H$321</f>
        <v>0</v>
      </c>
      <c r="L321" s="985">
        <f>+G321*$H$321</f>
        <v>0</v>
      </c>
      <c r="M321" s="968"/>
    </row>
    <row r="322" spans="1:13">
      <c r="A322" s="968"/>
      <c r="B322" s="934" t="str">
        <f>IF(AND('Planteamiento Técnico'!$J$347&lt;4),"Costales (millares) 0.4 m3","")</f>
        <v>Costales (millares) 0.4 m3</v>
      </c>
      <c r="C322" s="907" t="s">
        <v>11</v>
      </c>
      <c r="D322" s="987"/>
      <c r="E322" s="987"/>
      <c r="F322" s="987"/>
      <c r="G322" s="987"/>
      <c r="H322" s="987"/>
      <c r="I322" s="985">
        <f>+D322*$H$322</f>
        <v>0</v>
      </c>
      <c r="J322" s="985">
        <f>+E322*$H$322</f>
        <v>0</v>
      </c>
      <c r="K322" s="985">
        <f>+F322*$H$322</f>
        <v>0</v>
      </c>
      <c r="L322" s="985">
        <f>+G322*$H$322</f>
        <v>0</v>
      </c>
      <c r="M322" s="968"/>
    </row>
    <row r="323" spans="1:13">
      <c r="A323" s="968"/>
      <c r="B323" s="934" t="str">
        <f>IF(AND('Planteamiento Técnico'!$J$347&lt;4),"Mesa de Segregación","")</f>
        <v>Mesa de Segregación</v>
      </c>
      <c r="C323" s="907" t="s">
        <v>11</v>
      </c>
      <c r="D323" s="987"/>
      <c r="E323" s="987"/>
      <c r="F323" s="987"/>
      <c r="G323" s="987"/>
      <c r="H323" s="987"/>
      <c r="I323" s="985">
        <f>+D323*$H$323</f>
        <v>0</v>
      </c>
      <c r="J323" s="985">
        <f>+E323*$H$323</f>
        <v>0</v>
      </c>
      <c r="K323" s="985">
        <f>+F323*$H$323</f>
        <v>0</v>
      </c>
      <c r="L323" s="985">
        <f>+G323*$H$323</f>
        <v>0</v>
      </c>
      <c r="M323" s="968"/>
    </row>
    <row r="324" spans="1:13">
      <c r="A324" s="1001"/>
      <c r="B324" s="934" t="str">
        <f>IF(AND('Planteamiento Técnico'!$J$347&gt;=4),"Kit Herramientas (Martillo, desarmador, alicate, etc.)","")</f>
        <v/>
      </c>
      <c r="C324" s="907" t="s">
        <v>11</v>
      </c>
      <c r="D324" s="987"/>
      <c r="E324" s="987"/>
      <c r="F324" s="987"/>
      <c r="G324" s="987"/>
      <c r="H324" s="987"/>
      <c r="I324" s="985">
        <f>+D324*$H$324</f>
        <v>0</v>
      </c>
      <c r="J324" s="985">
        <f>+E324*$H$324</f>
        <v>0</v>
      </c>
      <c r="K324" s="985">
        <f>+F324*$H$324</f>
        <v>0</v>
      </c>
      <c r="L324" s="985">
        <f>+G324*$H$324</f>
        <v>0</v>
      </c>
      <c r="M324" s="968"/>
    </row>
    <row r="325" spans="1:13">
      <c r="A325" s="1001"/>
      <c r="B325" s="934" t="str">
        <f>IF(AND('Planteamiento Técnico'!$J$347&gt;=4),"Lampas","")</f>
        <v/>
      </c>
      <c r="C325" s="907" t="s">
        <v>11</v>
      </c>
      <c r="D325" s="987"/>
      <c r="E325" s="987"/>
      <c r="F325" s="987"/>
      <c r="G325" s="987"/>
      <c r="H325" s="987"/>
      <c r="I325" s="985">
        <f>+D325*$H$325</f>
        <v>0</v>
      </c>
      <c r="J325" s="985">
        <f>+E325*$H$325</f>
        <v>0</v>
      </c>
      <c r="K325" s="985">
        <f>+F325*$H$325</f>
        <v>0</v>
      </c>
      <c r="L325" s="985">
        <f>+G325*$H$325</f>
        <v>0</v>
      </c>
      <c r="M325" s="968"/>
    </row>
    <row r="326" spans="1:13">
      <c r="A326" s="1001"/>
      <c r="B326" s="934" t="str">
        <f>IF(AND('Planteamiento Técnico'!$J$347&gt;=4),"Zarandas","")</f>
        <v/>
      </c>
      <c r="C326" s="907" t="s">
        <v>11</v>
      </c>
      <c r="D326" s="987"/>
      <c r="E326" s="987"/>
      <c r="F326" s="987"/>
      <c r="G326" s="987"/>
      <c r="H326" s="987"/>
      <c r="I326" s="985">
        <f>+D326*$H$326</f>
        <v>0</v>
      </c>
      <c r="J326" s="985">
        <f>+E326*$H$326</f>
        <v>0</v>
      </c>
      <c r="K326" s="985">
        <f>+F326*$H$326</f>
        <v>0</v>
      </c>
      <c r="L326" s="985">
        <f>+G326*$H$326</f>
        <v>0</v>
      </c>
      <c r="M326" s="968"/>
    </row>
    <row r="327" spans="1:13">
      <c r="A327" s="1001"/>
      <c r="B327" s="934" t="str">
        <f>IF(AND('Planteamiento Técnico'!$J$347&gt;=4),"Sacas de rafia de 1 m3","")</f>
        <v/>
      </c>
      <c r="C327" s="907" t="s">
        <v>11</v>
      </c>
      <c r="D327" s="987"/>
      <c r="E327" s="987"/>
      <c r="F327" s="987"/>
      <c r="G327" s="987"/>
      <c r="H327" s="987"/>
      <c r="I327" s="985">
        <f>+D327*$H$327</f>
        <v>0</v>
      </c>
      <c r="J327" s="985">
        <f>+E327*$H$327</f>
        <v>0</v>
      </c>
      <c r="K327" s="985">
        <f>+F327*$H$327</f>
        <v>0</v>
      </c>
      <c r="L327" s="985">
        <f>+G327*$H$327</f>
        <v>0</v>
      </c>
      <c r="M327" s="968"/>
    </row>
    <row r="328" spans="1:13">
      <c r="A328" s="1001"/>
      <c r="B328" s="1000" t="s">
        <v>2386</v>
      </c>
      <c r="C328" s="985"/>
      <c r="D328" s="986"/>
      <c r="E328" s="986"/>
      <c r="F328" s="986"/>
      <c r="G328" s="986"/>
      <c r="H328" s="986"/>
      <c r="I328" s="857">
        <f>SUM(I329:I339)</f>
        <v>0</v>
      </c>
      <c r="J328" s="857">
        <f>SUM(J329:J339)</f>
        <v>0</v>
      </c>
      <c r="K328" s="857">
        <f>SUM(K329:K339)</f>
        <v>0</v>
      </c>
      <c r="L328" s="857">
        <f>SUM(L329:L339)</f>
        <v>0</v>
      </c>
      <c r="M328" s="968"/>
    </row>
    <row r="329" spans="1:13">
      <c r="A329" s="968"/>
      <c r="B329" s="913" t="s">
        <v>2387</v>
      </c>
      <c r="C329" s="907" t="s">
        <v>11</v>
      </c>
      <c r="D329" s="987"/>
      <c r="E329" s="987"/>
      <c r="F329" s="987"/>
      <c r="G329" s="987"/>
      <c r="H329" s="987"/>
      <c r="I329" s="985">
        <f>+D329*$H$329</f>
        <v>0</v>
      </c>
      <c r="J329" s="985">
        <f>+E329*$H$329</f>
        <v>0</v>
      </c>
      <c r="K329" s="985">
        <f>+F329*$H$329</f>
        <v>0</v>
      </c>
      <c r="L329" s="985">
        <f>+G329*$H$329</f>
        <v>0</v>
      </c>
      <c r="M329" s="968"/>
    </row>
    <row r="330" spans="1:13">
      <c r="A330" s="968"/>
      <c r="B330" s="913" t="s">
        <v>2369</v>
      </c>
      <c r="C330" s="907" t="s">
        <v>11</v>
      </c>
      <c r="D330" s="987"/>
      <c r="E330" s="987"/>
      <c r="F330" s="987"/>
      <c r="G330" s="987"/>
      <c r="H330" s="987"/>
      <c r="I330" s="985">
        <f>+D330*$H$330</f>
        <v>0</v>
      </c>
      <c r="J330" s="985">
        <f>+E330*$H$330</f>
        <v>0</v>
      </c>
      <c r="K330" s="985">
        <f>+F330*$H$330</f>
        <v>0</v>
      </c>
      <c r="L330" s="985">
        <f>+G330*$H$330</f>
        <v>0</v>
      </c>
      <c r="M330" s="968"/>
    </row>
    <row r="331" spans="1:13">
      <c r="A331" s="968"/>
      <c r="B331" s="913" t="s">
        <v>218</v>
      </c>
      <c r="C331" s="907" t="s">
        <v>11</v>
      </c>
      <c r="D331" s="987"/>
      <c r="E331" s="987"/>
      <c r="F331" s="987"/>
      <c r="G331" s="987"/>
      <c r="H331" s="987"/>
      <c r="I331" s="985">
        <f>+D331*$H$331</f>
        <v>0</v>
      </c>
      <c r="J331" s="985">
        <f>+E331*$H$331</f>
        <v>0</v>
      </c>
      <c r="K331" s="985">
        <f>+F331*$H$331</f>
        <v>0</v>
      </c>
      <c r="L331" s="985">
        <f>+G331*$H$331</f>
        <v>0</v>
      </c>
      <c r="M331" s="968"/>
    </row>
    <row r="332" spans="1:13">
      <c r="A332" s="968"/>
      <c r="B332" s="913" t="s">
        <v>244</v>
      </c>
      <c r="C332" s="907" t="s">
        <v>11</v>
      </c>
      <c r="D332" s="987"/>
      <c r="E332" s="987"/>
      <c r="F332" s="987"/>
      <c r="G332" s="987"/>
      <c r="H332" s="987"/>
      <c r="I332" s="985">
        <f>+D332*$H$332</f>
        <v>0</v>
      </c>
      <c r="J332" s="985">
        <f>+E332*$H$332</f>
        <v>0</v>
      </c>
      <c r="K332" s="985">
        <f>+F332*$H$332</f>
        <v>0</v>
      </c>
      <c r="L332" s="985">
        <f>+G332*$H$332</f>
        <v>0</v>
      </c>
      <c r="M332" s="968"/>
    </row>
    <row r="333" spans="1:13">
      <c r="A333" s="968"/>
      <c r="B333" s="913" t="s">
        <v>268</v>
      </c>
      <c r="C333" s="907" t="s">
        <v>11</v>
      </c>
      <c r="D333" s="987"/>
      <c r="E333" s="987"/>
      <c r="F333" s="987"/>
      <c r="G333" s="987"/>
      <c r="H333" s="987"/>
      <c r="I333" s="985">
        <f>+D333*$H$333</f>
        <v>0</v>
      </c>
      <c r="J333" s="985">
        <f>+E333*$H$333</f>
        <v>0</v>
      </c>
      <c r="K333" s="985">
        <f>+F333*$H$333</f>
        <v>0</v>
      </c>
      <c r="L333" s="985">
        <f>+G333*$H$333</f>
        <v>0</v>
      </c>
      <c r="M333" s="968"/>
    </row>
    <row r="334" spans="1:13">
      <c r="A334" s="968"/>
      <c r="B334" s="913" t="s">
        <v>245</v>
      </c>
      <c r="C334" s="907" t="s">
        <v>11</v>
      </c>
      <c r="D334" s="987"/>
      <c r="E334" s="987"/>
      <c r="F334" s="987"/>
      <c r="G334" s="987"/>
      <c r="H334" s="987"/>
      <c r="I334" s="985">
        <f>+D334*$H$334</f>
        <v>0</v>
      </c>
      <c r="J334" s="985">
        <f>+E334*$H$334</f>
        <v>0</v>
      </c>
      <c r="K334" s="985">
        <f>+F334*$H$334</f>
        <v>0</v>
      </c>
      <c r="L334" s="985">
        <f>+G334*$H$334</f>
        <v>0</v>
      </c>
      <c r="M334" s="968"/>
    </row>
    <row r="335" spans="1:13">
      <c r="A335" s="968"/>
      <c r="B335" s="913" t="s">
        <v>2091</v>
      </c>
      <c r="C335" s="907" t="s">
        <v>11</v>
      </c>
      <c r="D335" s="987"/>
      <c r="E335" s="987"/>
      <c r="F335" s="987"/>
      <c r="G335" s="987"/>
      <c r="H335" s="987"/>
      <c r="I335" s="985">
        <f>+D335*$H$335</f>
        <v>0</v>
      </c>
      <c r="J335" s="985">
        <f>+E335*$H$335</f>
        <v>0</v>
      </c>
      <c r="K335" s="985">
        <f>+F335*$H$335</f>
        <v>0</v>
      </c>
      <c r="L335" s="985">
        <f>+G335*$H$335</f>
        <v>0</v>
      </c>
      <c r="M335" s="968"/>
    </row>
    <row r="336" spans="1:13">
      <c r="A336" s="968"/>
      <c r="B336" s="913" t="s">
        <v>246</v>
      </c>
      <c r="C336" s="907" t="s">
        <v>11</v>
      </c>
      <c r="D336" s="987"/>
      <c r="E336" s="987"/>
      <c r="F336" s="987"/>
      <c r="G336" s="987"/>
      <c r="H336" s="987"/>
      <c r="I336" s="985">
        <f>+D336*$H$336</f>
        <v>0</v>
      </c>
      <c r="J336" s="985">
        <f>+E336*$H$336</f>
        <v>0</v>
      </c>
      <c r="K336" s="985">
        <f>+F336*$H$336</f>
        <v>0</v>
      </c>
      <c r="L336" s="985">
        <f>+G336*$H$336</f>
        <v>0</v>
      </c>
      <c r="M336" s="968"/>
    </row>
    <row r="337" spans="1:13">
      <c r="A337" s="968"/>
      <c r="B337" s="913" t="s">
        <v>689</v>
      </c>
      <c r="C337" s="907" t="s">
        <v>11</v>
      </c>
      <c r="D337" s="987"/>
      <c r="E337" s="987"/>
      <c r="F337" s="987"/>
      <c r="G337" s="987"/>
      <c r="H337" s="987"/>
      <c r="I337" s="985">
        <f>+D337*$H$337</f>
        <v>0</v>
      </c>
      <c r="J337" s="985">
        <f>+E337*$H$337</f>
        <v>0</v>
      </c>
      <c r="K337" s="985">
        <f>+F337*$H$337</f>
        <v>0</v>
      </c>
      <c r="L337" s="985">
        <f>+G337*$H$337</f>
        <v>0</v>
      </c>
      <c r="M337" s="968"/>
    </row>
    <row r="338" spans="1:13">
      <c r="A338" s="968"/>
      <c r="B338" s="913" t="s">
        <v>2049</v>
      </c>
      <c r="C338" s="907" t="s">
        <v>11</v>
      </c>
      <c r="D338" s="987"/>
      <c r="E338" s="987"/>
      <c r="F338" s="987"/>
      <c r="G338" s="987"/>
      <c r="H338" s="987"/>
      <c r="I338" s="985">
        <f>+D338*$H$338</f>
        <v>0</v>
      </c>
      <c r="J338" s="985">
        <f>+E338*$H$338</f>
        <v>0</v>
      </c>
      <c r="K338" s="985">
        <f>+F338*$H$338</f>
        <v>0</v>
      </c>
      <c r="L338" s="985">
        <f>+G338*$H$338</f>
        <v>0</v>
      </c>
      <c r="M338" s="968"/>
    </row>
    <row r="339" spans="1:13">
      <c r="A339" s="968"/>
      <c r="B339" s="913" t="s">
        <v>2388</v>
      </c>
      <c r="C339" s="907" t="s">
        <v>11</v>
      </c>
      <c r="D339" s="987"/>
      <c r="E339" s="987"/>
      <c r="F339" s="987"/>
      <c r="G339" s="987"/>
      <c r="H339" s="987"/>
      <c r="I339" s="985">
        <f>+D339*$H$339</f>
        <v>0</v>
      </c>
      <c r="J339" s="985">
        <f>+E339*$H$339</f>
        <v>0</v>
      </c>
      <c r="K339" s="985">
        <f>+F339*$H$339</f>
        <v>0</v>
      </c>
      <c r="L339" s="985">
        <f>+G339*$H$339</f>
        <v>0</v>
      </c>
      <c r="M339" s="968"/>
    </row>
    <row r="340" spans="1:13">
      <c r="A340" s="968"/>
      <c r="B340" s="984" t="s">
        <v>2389</v>
      </c>
      <c r="C340" s="985"/>
      <c r="D340" s="986"/>
      <c r="E340" s="986"/>
      <c r="F340" s="986"/>
      <c r="G340" s="986"/>
      <c r="H340" s="986"/>
      <c r="I340" s="857">
        <f>+SUM(I341:I344)</f>
        <v>0</v>
      </c>
      <c r="J340" s="857">
        <f>+SUM(J341:J344)</f>
        <v>0</v>
      </c>
      <c r="K340" s="857">
        <f>+SUM(K341:K344)</f>
        <v>0</v>
      </c>
      <c r="L340" s="857">
        <f>+SUM(L341:L344)</f>
        <v>0</v>
      </c>
      <c r="M340" s="968"/>
    </row>
    <row r="341" spans="1:13">
      <c r="A341" s="968"/>
      <c r="B341" s="913" t="s">
        <v>205</v>
      </c>
      <c r="C341" s="907" t="s">
        <v>12</v>
      </c>
      <c r="D341" s="987"/>
      <c r="E341" s="987"/>
      <c r="F341" s="987"/>
      <c r="G341" s="987"/>
      <c r="H341" s="987"/>
      <c r="I341" s="985">
        <f>+D341*$H$341</f>
        <v>0</v>
      </c>
      <c r="J341" s="985">
        <f>+E341*$H$341</f>
        <v>0</v>
      </c>
      <c r="K341" s="985">
        <f>+F341*$H$341</f>
        <v>0</v>
      </c>
      <c r="L341" s="985">
        <f>+G341*$H$341</f>
        <v>0</v>
      </c>
      <c r="M341" s="968"/>
    </row>
    <row r="342" spans="1:13">
      <c r="A342" s="968"/>
      <c r="B342" s="913" t="s">
        <v>687</v>
      </c>
      <c r="C342" s="907" t="s">
        <v>12</v>
      </c>
      <c r="D342" s="987"/>
      <c r="E342" s="987"/>
      <c r="F342" s="987"/>
      <c r="G342" s="987"/>
      <c r="H342" s="987"/>
      <c r="I342" s="985">
        <f>+D342*$H$342</f>
        <v>0</v>
      </c>
      <c r="J342" s="985">
        <f>+E342*$H$342</f>
        <v>0</v>
      </c>
      <c r="K342" s="985">
        <f>+F342*$H$342</f>
        <v>0</v>
      </c>
      <c r="L342" s="985">
        <f>+G342*$H$342</f>
        <v>0</v>
      </c>
      <c r="M342" s="968"/>
    </row>
    <row r="343" spans="1:13">
      <c r="A343" s="968"/>
      <c r="B343" s="913" t="s">
        <v>2398</v>
      </c>
      <c r="C343" s="907" t="s">
        <v>2349</v>
      </c>
      <c r="D343" s="987"/>
      <c r="E343" s="987"/>
      <c r="F343" s="987"/>
      <c r="G343" s="987"/>
      <c r="H343" s="987"/>
      <c r="I343" s="985">
        <f>+D343*$H$343</f>
        <v>0</v>
      </c>
      <c r="J343" s="985">
        <f>+E343*$H$343</f>
        <v>0</v>
      </c>
      <c r="K343" s="985">
        <f>+F343*$H$343</f>
        <v>0</v>
      </c>
      <c r="L343" s="985">
        <f>+G343*$H$343</f>
        <v>0</v>
      </c>
      <c r="M343" s="968"/>
    </row>
    <row r="344" spans="1:13">
      <c r="A344" s="968"/>
      <c r="B344" s="934" t="str">
        <f>IF(AND('Planteamiento Técnico'!$J$347&lt;4),"Bolsas de rafia de 150 litros","")</f>
        <v>Bolsas de rafia de 150 litros</v>
      </c>
      <c r="C344" s="907" t="s">
        <v>2349</v>
      </c>
      <c r="D344" s="987"/>
      <c r="E344" s="987"/>
      <c r="F344" s="987"/>
      <c r="G344" s="987"/>
      <c r="H344" s="987"/>
      <c r="I344" s="985">
        <f>+D344*$H$344</f>
        <v>0</v>
      </c>
      <c r="J344" s="985">
        <f>+E344*$H$344</f>
        <v>0</v>
      </c>
      <c r="K344" s="985">
        <f>+F344*$H$344</f>
        <v>0</v>
      </c>
      <c r="L344" s="985">
        <f>+G344*$H$344</f>
        <v>0</v>
      </c>
      <c r="M344" s="968"/>
    </row>
    <row r="345" spans="1:13">
      <c r="A345" s="968"/>
      <c r="B345" s="1000" t="s">
        <v>2352</v>
      </c>
      <c r="C345" s="985"/>
      <c r="D345" s="986"/>
      <c r="E345" s="986"/>
      <c r="F345" s="986"/>
      <c r="G345" s="986"/>
      <c r="H345" s="986"/>
      <c r="I345" s="857">
        <f>SUM(I346:I348)</f>
        <v>0</v>
      </c>
      <c r="J345" s="857">
        <f>SUM(J346:J348)</f>
        <v>0</v>
      </c>
      <c r="K345" s="857">
        <f>SUM(K346:K348)</f>
        <v>0</v>
      </c>
      <c r="L345" s="857">
        <f>SUM(L346:L348)</f>
        <v>0</v>
      </c>
      <c r="M345" s="968"/>
    </row>
    <row r="346" spans="1:13">
      <c r="A346" s="968"/>
      <c r="B346" s="913" t="s">
        <v>2390</v>
      </c>
      <c r="C346" s="907" t="s">
        <v>12</v>
      </c>
      <c r="D346" s="987"/>
      <c r="E346" s="987"/>
      <c r="F346" s="987"/>
      <c r="G346" s="987"/>
      <c r="H346" s="987"/>
      <c r="I346" s="985">
        <f>+D346*$H$346</f>
        <v>0</v>
      </c>
      <c r="J346" s="985">
        <f>+E346*$H$346</f>
        <v>0</v>
      </c>
      <c r="K346" s="985">
        <f>+F346*$H$346</f>
        <v>0</v>
      </c>
      <c r="L346" s="985">
        <f>+G346*$H$346</f>
        <v>0</v>
      </c>
      <c r="M346" s="968"/>
    </row>
    <row r="347" spans="1:13">
      <c r="A347" s="968"/>
      <c r="B347" s="913" t="s">
        <v>2391</v>
      </c>
      <c r="C347" s="955" t="s">
        <v>2392</v>
      </c>
      <c r="D347" s="987"/>
      <c r="E347" s="987"/>
      <c r="F347" s="987"/>
      <c r="G347" s="987"/>
      <c r="H347" s="987"/>
      <c r="I347" s="985">
        <f>+D347*$H$347</f>
        <v>0</v>
      </c>
      <c r="J347" s="985">
        <f>+E347*$H$347</f>
        <v>0</v>
      </c>
      <c r="K347" s="985">
        <f>+F347*$H$347</f>
        <v>0</v>
      </c>
      <c r="L347" s="985">
        <f>+G347*$H$347</f>
        <v>0</v>
      </c>
      <c r="M347" s="968"/>
    </row>
    <row r="348" spans="1:13">
      <c r="A348" s="968"/>
      <c r="B348" s="913" t="s">
        <v>2393</v>
      </c>
      <c r="C348" s="955" t="s">
        <v>2392</v>
      </c>
      <c r="D348" s="987"/>
      <c r="E348" s="987"/>
      <c r="F348" s="987"/>
      <c r="G348" s="987"/>
      <c r="H348" s="987"/>
      <c r="I348" s="985">
        <f>+D348*$H$348</f>
        <v>0</v>
      </c>
      <c r="J348" s="985">
        <f>+E348*$H$348</f>
        <v>0</v>
      </c>
      <c r="K348" s="985">
        <f>+F348*$H$348</f>
        <v>0</v>
      </c>
      <c r="L348" s="985">
        <f>+G348*$H$348</f>
        <v>0</v>
      </c>
      <c r="M348" s="968"/>
    </row>
    <row r="349" spans="1:13">
      <c r="A349" s="968"/>
      <c r="B349" s="1000" t="s">
        <v>2399</v>
      </c>
      <c r="C349" s="985"/>
      <c r="D349" s="986"/>
      <c r="E349" s="986"/>
      <c r="F349" s="986"/>
      <c r="G349" s="986"/>
      <c r="H349" s="986"/>
      <c r="I349" s="857">
        <f>SUM(I350:I362)</f>
        <v>0</v>
      </c>
      <c r="J349" s="857">
        <f>SUM(J350:J362)</f>
        <v>0</v>
      </c>
      <c r="K349" s="857">
        <f>SUM(K350:K362)</f>
        <v>0</v>
      </c>
      <c r="L349" s="857">
        <f>SUM(L350:L362)</f>
        <v>0</v>
      </c>
      <c r="M349" s="968"/>
    </row>
    <row r="350" spans="1:13" ht="25.5">
      <c r="A350" s="968"/>
      <c r="B350" s="913" t="s">
        <v>2400</v>
      </c>
      <c r="C350" s="907" t="s">
        <v>983</v>
      </c>
      <c r="D350" s="987"/>
      <c r="E350" s="987"/>
      <c r="F350" s="987"/>
      <c r="G350" s="987"/>
      <c r="H350" s="987"/>
      <c r="I350" s="985">
        <f>+D350*$H$350</f>
        <v>0</v>
      </c>
      <c r="J350" s="985">
        <f>+E350*$H$350</f>
        <v>0</v>
      </c>
      <c r="K350" s="985">
        <f>+F350*$H$350</f>
        <v>0</v>
      </c>
      <c r="L350" s="985">
        <f>+G350*$H$350</f>
        <v>0</v>
      </c>
      <c r="M350" s="968"/>
    </row>
    <row r="351" spans="1:13" ht="25.5">
      <c r="A351" s="1001"/>
      <c r="B351" s="913" t="s">
        <v>2401</v>
      </c>
      <c r="C351" s="907" t="s">
        <v>983</v>
      </c>
      <c r="D351" s="987"/>
      <c r="E351" s="987"/>
      <c r="F351" s="987"/>
      <c r="G351" s="987"/>
      <c r="H351" s="987"/>
      <c r="I351" s="985">
        <f>+D351*$H$351</f>
        <v>0</v>
      </c>
      <c r="J351" s="985">
        <f>+E351*$H$351</f>
        <v>0</v>
      </c>
      <c r="K351" s="985">
        <f>+F351*$H$351</f>
        <v>0</v>
      </c>
      <c r="L351" s="985">
        <f>+G351*$H$351</f>
        <v>0</v>
      </c>
      <c r="M351" s="1001"/>
    </row>
    <row r="352" spans="1:13">
      <c r="A352" s="968"/>
      <c r="B352" s="934" t="str">
        <f>IF(AND('Planteamiento Técnico'!$J$347&gt;4,'Planteamiento Técnico'!$J$347&lt;=50),"Grasa amarilla (1kg/3 meses/ faja transportadora)","")</f>
        <v/>
      </c>
      <c r="C352" s="907" t="s">
        <v>983</v>
      </c>
      <c r="D352" s="987"/>
      <c r="E352" s="987"/>
      <c r="F352" s="987"/>
      <c r="G352" s="987"/>
      <c r="H352" s="987"/>
      <c r="I352" s="985">
        <f>+D352*$H$352</f>
        <v>0</v>
      </c>
      <c r="J352" s="985">
        <f>+E352*$H$352</f>
        <v>0</v>
      </c>
      <c r="K352" s="985">
        <f>+F352*$H$352</f>
        <v>0</v>
      </c>
      <c r="L352" s="985">
        <f>+G352*$H$352</f>
        <v>0</v>
      </c>
      <c r="M352" s="1001"/>
    </row>
    <row r="353" spans="1:13">
      <c r="A353" s="968"/>
      <c r="B353" s="913" t="str">
        <f>IF(AND('Planteamiento Técnico'!$J$347&gt;=4),"Grasa amarilla (1kg/3 meses/criba tambor)","")</f>
        <v/>
      </c>
      <c r="C353" s="907" t="s">
        <v>983</v>
      </c>
      <c r="D353" s="987"/>
      <c r="E353" s="987"/>
      <c r="F353" s="987"/>
      <c r="G353" s="987"/>
      <c r="H353" s="987"/>
      <c r="I353" s="985">
        <f>+D353*$H$353</f>
        <v>0</v>
      </c>
      <c r="J353" s="985">
        <f>+E353*$H$353</f>
        <v>0</v>
      </c>
      <c r="K353" s="985">
        <f>+F353*$H$353</f>
        <v>0</v>
      </c>
      <c r="L353" s="985">
        <f>+G353*$H$353</f>
        <v>0</v>
      </c>
      <c r="M353" s="1001"/>
    </row>
    <row r="354" spans="1:13">
      <c r="A354" s="968"/>
      <c r="B354" s="913" t="str">
        <f>IF(AND('Planteamiento Técnico'!$J$347&gt;=4),"Grasa amarilla (1kg/3 meses/ minicargador)","")</f>
        <v/>
      </c>
      <c r="C354" s="907" t="s">
        <v>983</v>
      </c>
      <c r="D354" s="987"/>
      <c r="E354" s="987"/>
      <c r="F354" s="987"/>
      <c r="G354" s="987"/>
      <c r="H354" s="987"/>
      <c r="I354" s="985">
        <f>+D354*$H$354</f>
        <v>0</v>
      </c>
      <c r="J354" s="985">
        <f>+E354*$H$354</f>
        <v>0</v>
      </c>
      <c r="K354" s="985">
        <f>+F354*$H$354</f>
        <v>0</v>
      </c>
      <c r="L354" s="985">
        <f>+G354*$H$354</f>
        <v>0</v>
      </c>
      <c r="M354" s="1001"/>
    </row>
    <row r="355" spans="1:13">
      <c r="A355" s="968"/>
      <c r="B355" s="913" t="str">
        <f>IF(AND('Planteamiento Técnico'!$J$347&gt;=4),"Filtro de petreoleo ( 1 und x mes x vehículo)","")</f>
        <v/>
      </c>
      <c r="C355" s="907" t="s">
        <v>11</v>
      </c>
      <c r="D355" s="987"/>
      <c r="E355" s="987"/>
      <c r="F355" s="987"/>
      <c r="G355" s="987"/>
      <c r="H355" s="987"/>
      <c r="I355" s="985">
        <f>+D355*$H$355</f>
        <v>0</v>
      </c>
      <c r="J355" s="985">
        <f>+E355*$H$355</f>
        <v>0</v>
      </c>
      <c r="K355" s="985">
        <f>+F355*$H$355</f>
        <v>0</v>
      </c>
      <c r="L355" s="985">
        <f>+G355*$H$355</f>
        <v>0</v>
      </c>
      <c r="M355" s="1001"/>
    </row>
    <row r="356" spans="1:13">
      <c r="A356" s="968"/>
      <c r="B356" s="913" t="str">
        <f>IF(AND('Planteamiento Técnico'!$J$347&gt;=4),"Filtro de aceite ( 1 und x 6 meses x vehículo montacarga hidraulica)","")</f>
        <v/>
      </c>
      <c r="C356" s="907" t="s">
        <v>11</v>
      </c>
      <c r="D356" s="987"/>
      <c r="E356" s="987"/>
      <c r="F356" s="987"/>
      <c r="G356" s="987"/>
      <c r="H356" s="987"/>
      <c r="I356" s="985">
        <f>+D356*$H$356</f>
        <v>0</v>
      </c>
      <c r="J356" s="985">
        <f>+E356*$H$356</f>
        <v>0</v>
      </c>
      <c r="K356" s="985">
        <f>+F356*$H$356</f>
        <v>0</v>
      </c>
      <c r="L356" s="985">
        <f>+G356*$H$356</f>
        <v>0</v>
      </c>
      <c r="M356" s="1001"/>
    </row>
    <row r="357" spans="1:13">
      <c r="A357" s="968"/>
      <c r="B357" s="913" t="str">
        <f>IF(AND('Planteamiento Técnico'!$J$347&gt;=4),"Filtro de aire (primario y secundario) minicargador","")</f>
        <v/>
      </c>
      <c r="C357" s="907" t="s">
        <v>11</v>
      </c>
      <c r="D357" s="987"/>
      <c r="E357" s="987"/>
      <c r="F357" s="987"/>
      <c r="G357" s="987"/>
      <c r="H357" s="987"/>
      <c r="I357" s="985">
        <f>+D357*$H$357</f>
        <v>0</v>
      </c>
      <c r="J357" s="985">
        <f>+E357*$H$357</f>
        <v>0</v>
      </c>
      <c r="K357" s="985">
        <f>+F357*$H$357</f>
        <v>0</v>
      </c>
      <c r="L357" s="985">
        <f>+G357*$H$357</f>
        <v>0</v>
      </c>
      <c r="M357" s="1001"/>
    </row>
    <row r="358" spans="1:13">
      <c r="A358" s="968"/>
      <c r="B358" s="913" t="str">
        <f>IF(AND('Planteamiento Técnico'!$J$347&gt;=4),"Filtro secador de aire","")</f>
        <v/>
      </c>
      <c r="C358" s="907" t="s">
        <v>11</v>
      </c>
      <c r="D358" s="987"/>
      <c r="E358" s="987"/>
      <c r="F358" s="987"/>
      <c r="G358" s="987"/>
      <c r="H358" s="987"/>
      <c r="I358" s="985">
        <f>+D358*$H$358</f>
        <v>0</v>
      </c>
      <c r="J358" s="985">
        <f>+E358*$H$358</f>
        <v>0</v>
      </c>
      <c r="K358" s="985">
        <f>+F358*$H$358</f>
        <v>0</v>
      </c>
      <c r="L358" s="985">
        <f>+G358*$H$358</f>
        <v>0</v>
      </c>
      <c r="M358" s="1001"/>
    </row>
    <row r="359" spans="1:13">
      <c r="A359" s="968"/>
      <c r="B359" s="913" t="str">
        <f>IF(AND('Planteamiento Técnico'!$J$347&gt;=4),"Filtro hidráulico montacarga hidraulica","")</f>
        <v/>
      </c>
      <c r="C359" s="907" t="s">
        <v>11</v>
      </c>
      <c r="D359" s="987"/>
      <c r="E359" s="987"/>
      <c r="F359" s="987"/>
      <c r="G359" s="987"/>
      <c r="H359" s="987"/>
      <c r="I359" s="985">
        <f>+D359*$H$359</f>
        <v>0</v>
      </c>
      <c r="J359" s="985">
        <f>+E359*$H$359</f>
        <v>0</v>
      </c>
      <c r="K359" s="985">
        <f>+F359*$H$359</f>
        <v>0</v>
      </c>
      <c r="L359" s="985">
        <f>+G359*$H$359</f>
        <v>0</v>
      </c>
      <c r="M359" s="1001"/>
    </row>
    <row r="360" spans="1:13">
      <c r="A360" s="968"/>
      <c r="B360" s="913" t="str">
        <f>IF(AND('Planteamiento Técnico'!$J$347&gt;=4),"Llantas Delanteras set completo","")</f>
        <v/>
      </c>
      <c r="C360" s="907" t="s">
        <v>11</v>
      </c>
      <c r="D360" s="987"/>
      <c r="E360" s="987"/>
      <c r="F360" s="987"/>
      <c r="G360" s="987"/>
      <c r="H360" s="987"/>
      <c r="I360" s="985">
        <f>+D360*$H$360</f>
        <v>0</v>
      </c>
      <c r="J360" s="985">
        <f>+E360*$H$360</f>
        <v>0</v>
      </c>
      <c r="K360" s="985">
        <f>+F360*$H$360</f>
        <v>0</v>
      </c>
      <c r="L360" s="985">
        <f>+G360*$H$360</f>
        <v>0</v>
      </c>
      <c r="M360" s="1001"/>
    </row>
    <row r="361" spans="1:13">
      <c r="A361" s="968"/>
      <c r="B361" s="913" t="str">
        <f>IF(AND('Planteamiento Técnico'!$J$347&gt;=4),"Llantas Traseras set completo","")</f>
        <v/>
      </c>
      <c r="C361" s="907" t="s">
        <v>11</v>
      </c>
      <c r="D361" s="987"/>
      <c r="E361" s="987"/>
      <c r="F361" s="987"/>
      <c r="G361" s="987"/>
      <c r="H361" s="987"/>
      <c r="I361" s="985">
        <f>+D361*$H$361</f>
        <v>0</v>
      </c>
      <c r="J361" s="985">
        <f>+E361*$H$361</f>
        <v>0</v>
      </c>
      <c r="K361" s="985">
        <f>+F361*$H$361</f>
        <v>0</v>
      </c>
      <c r="L361" s="985">
        <f>+G361*$H$361</f>
        <v>0</v>
      </c>
      <c r="M361" s="1001"/>
    </row>
    <row r="362" spans="1:13">
      <c r="A362" s="968"/>
      <c r="B362" s="913" t="str">
        <f>IF(AND('Planteamiento Técnico'!$J$347&gt;=4),"Baterías","")</f>
        <v/>
      </c>
      <c r="C362" s="907" t="s">
        <v>11</v>
      </c>
      <c r="D362" s="987"/>
      <c r="E362" s="987"/>
      <c r="F362" s="987"/>
      <c r="G362" s="987"/>
      <c r="H362" s="987"/>
      <c r="I362" s="985">
        <f>+D362*$H$362</f>
        <v>0</v>
      </c>
      <c r="J362" s="985">
        <f>+E362*$H$362</f>
        <v>0</v>
      </c>
      <c r="K362" s="985">
        <f>+F362*$H$362</f>
        <v>0</v>
      </c>
      <c r="L362" s="985">
        <f>+G362*$H$362</f>
        <v>0</v>
      </c>
      <c r="M362" s="1001"/>
    </row>
    <row r="363" spans="1:13">
      <c r="A363" s="968"/>
      <c r="B363" s="1000" t="s">
        <v>2375</v>
      </c>
      <c r="C363" s="907"/>
      <c r="D363" s="986"/>
      <c r="E363" s="986"/>
      <c r="F363" s="986"/>
      <c r="G363" s="986"/>
      <c r="H363" s="986"/>
      <c r="I363" s="857">
        <f>SUM(I364:I369)</f>
        <v>0</v>
      </c>
      <c r="J363" s="857">
        <f>SUM(J364:J369)</f>
        <v>0</v>
      </c>
      <c r="K363" s="857">
        <f>SUM(K364:K369)</f>
        <v>0</v>
      </c>
      <c r="L363" s="857">
        <f>SUM(L364:L369)</f>
        <v>0</v>
      </c>
      <c r="M363" s="1001"/>
    </row>
    <row r="364" spans="1:13">
      <c r="A364" s="968"/>
      <c r="B364" s="913" t="str">
        <f>IF(AND('Planteamiento Técnico'!$J$347&gt;=4),"Póliza de seguros para vehiculos montacarga hidraulica","")</f>
        <v/>
      </c>
      <c r="C364" s="907" t="s">
        <v>2336</v>
      </c>
      <c r="D364" s="987"/>
      <c r="E364" s="987"/>
      <c r="F364" s="987"/>
      <c r="G364" s="987"/>
      <c r="H364" s="987"/>
      <c r="I364" s="985">
        <f>+D364*$H$364</f>
        <v>0</v>
      </c>
      <c r="J364" s="985">
        <f>+E364*$H$364</f>
        <v>0</v>
      </c>
      <c r="K364" s="985">
        <f>+F364*$H$364</f>
        <v>0</v>
      </c>
      <c r="L364" s="985">
        <f>+G364*$H$364</f>
        <v>0</v>
      </c>
      <c r="M364" s="1001"/>
    </row>
    <row r="365" spans="1:13">
      <c r="A365" s="968"/>
      <c r="B365" s="913" t="str">
        <f>IF(AND('Planteamiento Técnico'!$J$347&gt;=4),"SOAT para vehículos montacarga hidraulica","")</f>
        <v/>
      </c>
      <c r="C365" s="907" t="s">
        <v>2336</v>
      </c>
      <c r="D365" s="987"/>
      <c r="E365" s="987"/>
      <c r="F365" s="987"/>
      <c r="G365" s="987"/>
      <c r="H365" s="987"/>
      <c r="I365" s="985">
        <f>+D365*$H$365</f>
        <v>0</v>
      </c>
      <c r="J365" s="985">
        <f>+E365*$H$365</f>
        <v>0</v>
      </c>
      <c r="K365" s="985">
        <f>+F365*$H$365</f>
        <v>0</v>
      </c>
      <c r="L365" s="985">
        <f>+G365*$H$365</f>
        <v>0</v>
      </c>
      <c r="M365" s="1001"/>
    </row>
    <row r="366" spans="1:13">
      <c r="A366" s="968"/>
      <c r="B366" s="913" t="str">
        <f>IF(AND('Planteamiento Técnico'!$J$347&gt;=4),"Aceite de motor montacarga hidrailica","")</f>
        <v/>
      </c>
      <c r="C366" s="907" t="s">
        <v>2336</v>
      </c>
      <c r="D366" s="987"/>
      <c r="E366" s="987"/>
      <c r="F366" s="987"/>
      <c r="G366" s="987"/>
      <c r="H366" s="987"/>
      <c r="I366" s="985">
        <f>+D366*$H$366</f>
        <v>0</v>
      </c>
      <c r="J366" s="985">
        <f>+E366*$H$366</f>
        <v>0</v>
      </c>
      <c r="K366" s="985">
        <f>+F366*$H$366</f>
        <v>0</v>
      </c>
      <c r="L366" s="985">
        <f>+G366*$H$366</f>
        <v>0</v>
      </c>
      <c r="M366" s="1001"/>
    </row>
    <row r="367" spans="1:13">
      <c r="A367" s="968"/>
      <c r="B367" s="913" t="str">
        <f>IF(AND('Planteamiento Técnico'!$J$347&gt;=4),"Aceite de caja montacarga hiraulica","")</f>
        <v/>
      </c>
      <c r="C367" s="907" t="s">
        <v>2336</v>
      </c>
      <c r="D367" s="987"/>
      <c r="E367" s="987"/>
      <c r="F367" s="987"/>
      <c r="G367" s="987"/>
      <c r="H367" s="987"/>
      <c r="I367" s="985">
        <f>+D367*$H$367</f>
        <v>0</v>
      </c>
      <c r="J367" s="985">
        <f>+E367*$H$367</f>
        <v>0</v>
      </c>
      <c r="K367" s="985">
        <f>+F367*$H$367</f>
        <v>0</v>
      </c>
      <c r="L367" s="985">
        <f>+G367*$H$367</f>
        <v>0</v>
      </c>
      <c r="M367" s="1001"/>
    </row>
    <row r="368" spans="1:13">
      <c r="A368" s="968"/>
      <c r="B368" s="913" t="str">
        <f>IF(AND('Planteamiento Técnico'!$J$347&gt;=4),"Aceite de trasmisión montacarga hidrailica","")</f>
        <v/>
      </c>
      <c r="C368" s="907" t="s">
        <v>2336</v>
      </c>
      <c r="D368" s="987"/>
      <c r="E368" s="987"/>
      <c r="F368" s="987"/>
      <c r="G368" s="987"/>
      <c r="H368" s="987"/>
      <c r="I368" s="985">
        <f>+D368*$H$368</f>
        <v>0</v>
      </c>
      <c r="J368" s="985">
        <f>+E368*$H$368</f>
        <v>0</v>
      </c>
      <c r="K368" s="985">
        <f>+F368*$H$368</f>
        <v>0</v>
      </c>
      <c r="L368" s="985">
        <f>+G368*$H$368</f>
        <v>0</v>
      </c>
      <c r="M368" s="1001"/>
    </row>
    <row r="369" spans="1:13">
      <c r="A369" s="968"/>
      <c r="B369" s="913" t="str">
        <f>IF(AND('Planteamiento Técnico'!$J$347&gt;=4),"Sistema hidráulico (cambio al año) minicargador","")</f>
        <v/>
      </c>
      <c r="C369" s="907" t="s">
        <v>2336</v>
      </c>
      <c r="D369" s="987"/>
      <c r="E369" s="987"/>
      <c r="F369" s="987"/>
      <c r="G369" s="987"/>
      <c r="H369" s="987"/>
      <c r="I369" s="985">
        <f>+D369*$H$369</f>
        <v>0</v>
      </c>
      <c r="J369" s="985">
        <f>+E369*$H$369</f>
        <v>0</v>
      </c>
      <c r="K369" s="985">
        <f>+F369*$H$369</f>
        <v>0</v>
      </c>
      <c r="L369" s="985">
        <f>+G369*$H$369</f>
        <v>0</v>
      </c>
      <c r="M369" s="1001"/>
    </row>
    <row r="370" spans="1:13">
      <c r="A370" s="968"/>
      <c r="B370" s="1000" t="s">
        <v>2379</v>
      </c>
      <c r="C370" s="907"/>
      <c r="D370" s="986"/>
      <c r="E370" s="986"/>
      <c r="F370" s="986"/>
      <c r="G370" s="986"/>
      <c r="H370" s="986"/>
      <c r="I370" s="857">
        <f>+I371</f>
        <v>0</v>
      </c>
      <c r="J370" s="857">
        <f>+J371</f>
        <v>0</v>
      </c>
      <c r="K370" s="857">
        <f>+K371</f>
        <v>0</v>
      </c>
      <c r="L370" s="857">
        <f>+L371</f>
        <v>0</v>
      </c>
      <c r="M370" s="1001"/>
    </row>
    <row r="371" spans="1:13">
      <c r="A371" s="968"/>
      <c r="B371" s="913" t="str">
        <f>IF(AND('Planteamiento Técnico'!$J$347&gt;=4),"Petroleo para vehiculo montacarga hidraulica","")</f>
        <v/>
      </c>
      <c r="C371" s="907" t="s">
        <v>2363</v>
      </c>
      <c r="D371" s="987"/>
      <c r="E371" s="987"/>
      <c r="F371" s="987"/>
      <c r="G371" s="987"/>
      <c r="H371" s="987"/>
      <c r="I371" s="985">
        <f>+D371*$H$371</f>
        <v>0</v>
      </c>
      <c r="J371" s="985">
        <f>+E371*$H$371</f>
        <v>0</v>
      </c>
      <c r="K371" s="985">
        <f>+F371*$H$371</f>
        <v>0</v>
      </c>
      <c r="L371" s="985">
        <f>+G371*$H$371</f>
        <v>0</v>
      </c>
      <c r="M371" s="1001"/>
    </row>
    <row r="372" spans="1:13">
      <c r="A372" s="1001"/>
      <c r="B372" s="1002"/>
      <c r="C372" s="955"/>
      <c r="D372" s="991"/>
      <c r="E372" s="991"/>
      <c r="F372" s="991"/>
      <c r="G372" s="991"/>
      <c r="H372" s="991"/>
      <c r="I372" s="991"/>
      <c r="J372" s="991"/>
      <c r="K372" s="991"/>
      <c r="L372" s="991"/>
      <c r="M372" s="1001"/>
    </row>
    <row r="373" spans="1:13">
      <c r="A373" s="1001"/>
      <c r="B373" s="1002"/>
      <c r="C373" s="955"/>
      <c r="D373" s="991"/>
      <c r="E373" s="991"/>
      <c r="F373" s="991"/>
      <c r="G373" s="991"/>
      <c r="H373" s="991"/>
      <c r="I373" s="991"/>
      <c r="J373" s="991"/>
      <c r="K373" s="991"/>
      <c r="L373" s="991"/>
      <c r="M373" s="1001"/>
    </row>
    <row r="374" spans="1:13">
      <c r="A374" s="1931" t="s">
        <v>2354</v>
      </c>
      <c r="B374" s="1931"/>
      <c r="D374" s="252"/>
      <c r="E374" s="252"/>
      <c r="F374" s="252"/>
      <c r="G374" s="252"/>
      <c r="H374" s="252"/>
      <c r="M374" s="1001"/>
    </row>
    <row r="375" spans="1:13">
      <c r="A375" s="968"/>
      <c r="B375" s="968"/>
      <c r="M375" s="1001"/>
    </row>
    <row r="376" spans="1:13" ht="51">
      <c r="A376" s="968"/>
      <c r="B376" s="578" t="s">
        <v>7</v>
      </c>
      <c r="C376" s="578" t="s">
        <v>11</v>
      </c>
      <c r="D376" s="578" t="s">
        <v>2309</v>
      </c>
      <c r="E376" s="578" t="s">
        <v>2310</v>
      </c>
      <c r="F376" s="578" t="s">
        <v>2311</v>
      </c>
      <c r="G376" s="578" t="s">
        <v>2312</v>
      </c>
      <c r="H376" s="578" t="s">
        <v>2329</v>
      </c>
      <c r="I376" s="578" t="s">
        <v>2330</v>
      </c>
      <c r="J376" s="578" t="s">
        <v>2331</v>
      </c>
      <c r="K376" s="578" t="s">
        <v>2332</v>
      </c>
      <c r="L376" s="578" t="s">
        <v>2333</v>
      </c>
      <c r="M376" s="1001"/>
    </row>
    <row r="377" spans="1:13">
      <c r="A377" s="968"/>
      <c r="B377" s="998" t="s">
        <v>2355</v>
      </c>
      <c r="C377" s="911"/>
      <c r="D377" s="986"/>
      <c r="E377" s="986"/>
      <c r="F377" s="986"/>
      <c r="G377" s="986"/>
      <c r="H377" s="986"/>
      <c r="I377" s="857">
        <f>+I378</f>
        <v>0</v>
      </c>
      <c r="J377" s="857">
        <f>+J378</f>
        <v>0</v>
      </c>
      <c r="K377" s="857">
        <f>+K378</f>
        <v>0</v>
      </c>
      <c r="L377" s="857">
        <f>+L378</f>
        <v>0</v>
      </c>
      <c r="M377" s="1001"/>
    </row>
    <row r="378" spans="1:13">
      <c r="A378" s="968"/>
      <c r="B378" s="916" t="s">
        <v>298</v>
      </c>
      <c r="C378" s="907" t="s">
        <v>12</v>
      </c>
      <c r="D378" s="987"/>
      <c r="E378" s="987"/>
      <c r="F378" s="987"/>
      <c r="G378" s="987"/>
      <c r="H378" s="986">
        <v>1</v>
      </c>
      <c r="I378" s="985">
        <f>+D378*$H$378</f>
        <v>0</v>
      </c>
      <c r="J378" s="985">
        <f>+E378*$H$378</f>
        <v>0</v>
      </c>
      <c r="K378" s="985">
        <f>+F378*$H$378</f>
        <v>0</v>
      </c>
      <c r="L378" s="985">
        <f>+G378*$H$378</f>
        <v>0</v>
      </c>
      <c r="M378" s="1001"/>
    </row>
    <row r="379" spans="1:13">
      <c r="A379" s="968"/>
      <c r="B379" s="998" t="s">
        <v>2382</v>
      </c>
      <c r="C379" s="911"/>
      <c r="D379" s="986"/>
      <c r="E379" s="986"/>
      <c r="F379" s="986"/>
      <c r="G379" s="986"/>
      <c r="H379" s="986"/>
      <c r="I379" s="857">
        <f>SUM(I380:I384)</f>
        <v>0</v>
      </c>
      <c r="J379" s="857">
        <f>SUM(J380:J384)</f>
        <v>0</v>
      </c>
      <c r="K379" s="857">
        <f>SUM(K380:K384)</f>
        <v>0</v>
      </c>
      <c r="L379" s="857">
        <f>SUM(L380:L384)</f>
        <v>0</v>
      </c>
      <c r="M379" s="1001"/>
    </row>
    <row r="380" spans="1:13">
      <c r="A380" s="968"/>
      <c r="B380" s="916" t="s">
        <v>3185</v>
      </c>
      <c r="C380" s="907" t="s">
        <v>2336</v>
      </c>
      <c r="D380" s="987"/>
      <c r="E380" s="987"/>
      <c r="F380" s="987"/>
      <c r="G380" s="987"/>
      <c r="H380" s="986">
        <v>1</v>
      </c>
      <c r="I380" s="985">
        <f>+D380*$H$380</f>
        <v>0</v>
      </c>
      <c r="J380" s="985">
        <f>+E380*$H$380</f>
        <v>0</v>
      </c>
      <c r="K380" s="985">
        <f>+F380*$H$380</f>
        <v>0</v>
      </c>
      <c r="L380" s="985">
        <f>+G380*$H$380</f>
        <v>0</v>
      </c>
      <c r="M380" s="1001"/>
    </row>
    <row r="381" spans="1:13">
      <c r="A381" s="968"/>
      <c r="B381" s="913" t="str">
        <f>IF(AND('Planteamiento Técnico'!$J$347&gt;=4),"Lavado y Engrase de montacarga hidraulica","")</f>
        <v/>
      </c>
      <c r="C381" s="907" t="s">
        <v>2336</v>
      </c>
      <c r="D381" s="987"/>
      <c r="E381" s="987"/>
      <c r="F381" s="987"/>
      <c r="G381" s="987"/>
      <c r="H381" s="986">
        <v>1</v>
      </c>
      <c r="I381" s="985">
        <f>+D381*$H$381</f>
        <v>0</v>
      </c>
      <c r="J381" s="985">
        <f>+E381*$H$381</f>
        <v>0</v>
      </c>
      <c r="K381" s="985">
        <f>+F381*$H$381</f>
        <v>0</v>
      </c>
      <c r="L381" s="985">
        <f>+G381*$H$381</f>
        <v>0</v>
      </c>
      <c r="M381" s="1001"/>
    </row>
    <row r="382" spans="1:13">
      <c r="A382" s="968"/>
      <c r="B382" s="913" t="str">
        <f>IF(AND('Planteamiento Técnico'!$J$347&gt;=4),"Revisión técnica y otros","")</f>
        <v/>
      </c>
      <c r="C382" s="907" t="s">
        <v>12</v>
      </c>
      <c r="D382" s="987"/>
      <c r="E382" s="987"/>
      <c r="F382" s="987"/>
      <c r="G382" s="987"/>
      <c r="H382" s="986">
        <v>1</v>
      </c>
      <c r="I382" s="985">
        <f>+D382*$H$382</f>
        <v>0</v>
      </c>
      <c r="J382" s="985">
        <f>+E382*$H$382</f>
        <v>0</v>
      </c>
      <c r="K382" s="985">
        <f>+F382*$H$382</f>
        <v>0</v>
      </c>
      <c r="L382" s="985">
        <f>+G382*$H$382</f>
        <v>0</v>
      </c>
      <c r="M382" s="1001"/>
    </row>
    <row r="383" spans="1:13">
      <c r="A383" s="968"/>
      <c r="B383" s="934" t="str">
        <f>IF(AND('Planteamiento Técnico'!$J$347&gt;4,'Planteamiento Técnico'!$J$347&lt;=50),"Lavado y Engrase de faja transportadora","")</f>
        <v/>
      </c>
      <c r="C383" s="907" t="s">
        <v>2336</v>
      </c>
      <c r="D383" s="987"/>
      <c r="E383" s="987"/>
      <c r="F383" s="987"/>
      <c r="G383" s="987"/>
      <c r="H383" s="986">
        <v>1</v>
      </c>
      <c r="I383" s="985">
        <f>+D383*$H$383</f>
        <v>0</v>
      </c>
      <c r="J383" s="985">
        <f>+E383*$H$383</f>
        <v>0</v>
      </c>
      <c r="K383" s="985">
        <f>+F383*$H$383</f>
        <v>0</v>
      </c>
      <c r="L383" s="985">
        <f>+G383*$H$383</f>
        <v>0</v>
      </c>
      <c r="M383" s="1001"/>
    </row>
    <row r="384" spans="1:13">
      <c r="A384" s="968"/>
      <c r="B384" s="913" t="str">
        <f>IF(AND('Planteamiento Técnico'!$J$347&gt;=50),"Criba Tambor","")</f>
        <v/>
      </c>
      <c r="C384" s="907" t="s">
        <v>2336</v>
      </c>
      <c r="D384" s="987"/>
      <c r="E384" s="987"/>
      <c r="F384" s="987"/>
      <c r="G384" s="987"/>
      <c r="H384" s="986">
        <v>1</v>
      </c>
      <c r="I384" s="985">
        <f>+D384*$H$384</f>
        <v>0</v>
      </c>
      <c r="J384" s="985">
        <f>+E384*$H$384</f>
        <v>0</v>
      </c>
      <c r="K384" s="985">
        <f>+F384*$H$384</f>
        <v>0</v>
      </c>
      <c r="L384" s="985">
        <f>+G384*$H$384</f>
        <v>0</v>
      </c>
      <c r="M384" s="1001"/>
    </row>
    <row r="385" spans="1:13">
      <c r="A385" s="1001"/>
      <c r="B385" s="1002"/>
      <c r="C385" s="955"/>
      <c r="D385" s="991"/>
      <c r="E385" s="991"/>
      <c r="F385" s="991"/>
      <c r="G385" s="991"/>
      <c r="H385" s="991"/>
      <c r="I385" s="991"/>
      <c r="J385" s="991"/>
      <c r="K385" s="991"/>
      <c r="L385" s="991"/>
      <c r="M385" s="1001"/>
    </row>
    <row r="386" spans="1:13">
      <c r="A386" s="1001"/>
      <c r="B386" s="1002"/>
      <c r="C386" s="955"/>
      <c r="D386" s="991"/>
      <c r="E386" s="991"/>
      <c r="F386" s="991"/>
      <c r="G386" s="991"/>
      <c r="H386" s="991"/>
      <c r="I386" s="991"/>
      <c r="J386" s="991"/>
      <c r="K386" s="991"/>
      <c r="L386" s="991"/>
      <c r="M386" s="1001"/>
    </row>
    <row r="387" spans="1:13">
      <c r="A387" s="1932" t="s">
        <v>2487</v>
      </c>
      <c r="B387" s="1932"/>
      <c r="C387" s="1932"/>
      <c r="D387" s="1932"/>
      <c r="E387" s="1932"/>
      <c r="F387" s="1932"/>
      <c r="G387" s="1932"/>
      <c r="H387" s="1932"/>
      <c r="I387" s="1932"/>
      <c r="J387" s="1932"/>
      <c r="K387" s="1932"/>
      <c r="L387" s="1932"/>
      <c r="M387" s="968"/>
    </row>
    <row r="388" spans="1:13">
      <c r="A388" s="968"/>
      <c r="B388" s="968"/>
      <c r="M388" s="968"/>
    </row>
    <row r="389" spans="1:13">
      <c r="A389" s="1931" t="s">
        <v>2340</v>
      </c>
      <c r="B389" s="1931"/>
      <c r="M389" s="968"/>
    </row>
    <row r="390" spans="1:13">
      <c r="A390" s="968"/>
      <c r="B390" s="968"/>
      <c r="M390" s="968"/>
    </row>
    <row r="391" spans="1:13" ht="51">
      <c r="A391" s="968"/>
      <c r="B391" s="578" t="s">
        <v>7</v>
      </c>
      <c r="C391" s="578" t="s">
        <v>11</v>
      </c>
      <c r="D391" s="578" t="s">
        <v>2309</v>
      </c>
      <c r="E391" s="578" t="s">
        <v>2310</v>
      </c>
      <c r="F391" s="578" t="s">
        <v>2311</v>
      </c>
      <c r="G391" s="578" t="s">
        <v>2312</v>
      </c>
      <c r="H391" s="578" t="s">
        <v>2329</v>
      </c>
      <c r="I391" s="578" t="s">
        <v>2330</v>
      </c>
      <c r="J391" s="578" t="s">
        <v>2331</v>
      </c>
      <c r="K391" s="578" t="s">
        <v>2332</v>
      </c>
      <c r="L391" s="578" t="s">
        <v>2333</v>
      </c>
      <c r="M391" s="968"/>
    </row>
    <row r="392" spans="1:13">
      <c r="A392" s="968"/>
      <c r="B392" s="984" t="s">
        <v>206</v>
      </c>
      <c r="C392" s="907"/>
      <c r="D392" s="986"/>
      <c r="E392" s="986"/>
      <c r="F392" s="986"/>
      <c r="G392" s="986"/>
      <c r="H392" s="986"/>
      <c r="I392" s="857">
        <f>+I393+I394</f>
        <v>0</v>
      </c>
      <c r="J392" s="857">
        <f>+J393+J394</f>
        <v>0</v>
      </c>
      <c r="K392" s="857">
        <f>+K393+K394</f>
        <v>0</v>
      </c>
      <c r="L392" s="857">
        <f>+L393+L394</f>
        <v>0</v>
      </c>
      <c r="M392" s="968"/>
    </row>
    <row r="393" spans="1:13">
      <c r="A393" s="968"/>
      <c r="B393" s="994" t="s">
        <v>2366</v>
      </c>
      <c r="C393" s="907" t="s">
        <v>2366</v>
      </c>
      <c r="D393" s="987"/>
      <c r="E393" s="987"/>
      <c r="F393" s="987"/>
      <c r="G393" s="987"/>
      <c r="H393" s="987"/>
      <c r="I393" s="985">
        <f>+D393*$H$393</f>
        <v>0</v>
      </c>
      <c r="J393" s="985">
        <f>+E393*$H$393</f>
        <v>0</v>
      </c>
      <c r="K393" s="985">
        <f>+F393*$H$393</f>
        <v>0</v>
      </c>
      <c r="L393" s="985">
        <f>+G393*$H$393</f>
        <v>0</v>
      </c>
      <c r="M393" s="968"/>
    </row>
    <row r="394" spans="1:13">
      <c r="A394" s="968"/>
      <c r="B394" s="994" t="s">
        <v>2039</v>
      </c>
      <c r="C394" s="907" t="s">
        <v>2366</v>
      </c>
      <c r="D394" s="987"/>
      <c r="E394" s="987"/>
      <c r="F394" s="987"/>
      <c r="G394" s="987"/>
      <c r="H394" s="987"/>
      <c r="I394" s="985">
        <f>+D394*$H$394</f>
        <v>0</v>
      </c>
      <c r="J394" s="985">
        <f>+E394*$H$394</f>
        <v>0</v>
      </c>
      <c r="K394" s="985">
        <f>+F394*$H$394</f>
        <v>0</v>
      </c>
      <c r="L394" s="985">
        <f>+G394*$H$394</f>
        <v>0</v>
      </c>
      <c r="M394" s="968"/>
    </row>
    <row r="395" spans="1:13">
      <c r="A395" s="968"/>
      <c r="B395" s="984" t="s">
        <v>2367</v>
      </c>
      <c r="C395" s="985"/>
      <c r="D395" s="986"/>
      <c r="E395" s="986"/>
      <c r="F395" s="986"/>
      <c r="G395" s="986"/>
      <c r="H395" s="986"/>
      <c r="I395" s="857">
        <f>SUM(I396:I402)</f>
        <v>0</v>
      </c>
      <c r="J395" s="857">
        <f>SUM(J396:J402)</f>
        <v>0</v>
      </c>
      <c r="K395" s="857">
        <f>SUM(K396:K402)</f>
        <v>0</v>
      </c>
      <c r="L395" s="857">
        <f>SUM(L396:L402)</f>
        <v>0</v>
      </c>
      <c r="M395" s="968"/>
    </row>
    <row r="396" spans="1:13">
      <c r="A396" s="968"/>
      <c r="B396" s="994" t="s">
        <v>238</v>
      </c>
      <c r="C396" s="907" t="s">
        <v>11</v>
      </c>
      <c r="D396" s="987"/>
      <c r="E396" s="987"/>
      <c r="F396" s="987"/>
      <c r="G396" s="987"/>
      <c r="H396" s="987"/>
      <c r="I396" s="985">
        <f>+D396*$H$396</f>
        <v>0</v>
      </c>
      <c r="J396" s="985">
        <f>+E396*$H$396</f>
        <v>0</v>
      </c>
      <c r="K396" s="985">
        <f>+F396*$H$396</f>
        <v>0</v>
      </c>
      <c r="L396" s="985">
        <f>+G396*$H$396</f>
        <v>0</v>
      </c>
      <c r="M396" s="968"/>
    </row>
    <row r="397" spans="1:13">
      <c r="A397" s="968"/>
      <c r="B397" s="994" t="s">
        <v>240</v>
      </c>
      <c r="C397" s="907" t="s">
        <v>11</v>
      </c>
      <c r="D397" s="987"/>
      <c r="E397" s="987"/>
      <c r="F397" s="987"/>
      <c r="G397" s="987"/>
      <c r="H397" s="987"/>
      <c r="I397" s="985">
        <f>+D397*$H$397</f>
        <v>0</v>
      </c>
      <c r="J397" s="985">
        <f>+E397*$H$397</f>
        <v>0</v>
      </c>
      <c r="K397" s="985">
        <f>+F397*$H$397</f>
        <v>0</v>
      </c>
      <c r="L397" s="985">
        <f>+G397*$H$397</f>
        <v>0</v>
      </c>
      <c r="M397" s="968"/>
    </row>
    <row r="398" spans="1:13">
      <c r="A398" s="968"/>
      <c r="B398" s="913" t="s">
        <v>249</v>
      </c>
      <c r="C398" s="907" t="s">
        <v>11</v>
      </c>
      <c r="D398" s="987"/>
      <c r="E398" s="987"/>
      <c r="F398" s="987"/>
      <c r="G398" s="987"/>
      <c r="H398" s="987"/>
      <c r="I398" s="985">
        <f>+D398*$H$398</f>
        <v>0</v>
      </c>
      <c r="J398" s="985">
        <f>+E398*$H$398</f>
        <v>0</v>
      </c>
      <c r="K398" s="985">
        <f>+F398*$H$398</f>
        <v>0</v>
      </c>
      <c r="L398" s="985">
        <f>+G398*$H$398</f>
        <v>0</v>
      </c>
      <c r="M398" s="968"/>
    </row>
    <row r="399" spans="1:13">
      <c r="A399" s="968"/>
      <c r="B399" s="913" t="s">
        <v>250</v>
      </c>
      <c r="C399" s="907" t="s">
        <v>11</v>
      </c>
      <c r="D399" s="987"/>
      <c r="E399" s="987"/>
      <c r="F399" s="987"/>
      <c r="G399" s="987"/>
      <c r="H399" s="987"/>
      <c r="I399" s="985">
        <f>+D399*$H$399</f>
        <v>0</v>
      </c>
      <c r="J399" s="985">
        <f>+E399*$H$399</f>
        <v>0</v>
      </c>
      <c r="K399" s="985">
        <f>+F399*$H$399</f>
        <v>0</v>
      </c>
      <c r="L399" s="985">
        <f>+G399*$H$399</f>
        <v>0</v>
      </c>
      <c r="M399" s="968"/>
    </row>
    <row r="400" spans="1:13">
      <c r="A400" s="968"/>
      <c r="B400" s="913" t="s">
        <v>2048</v>
      </c>
      <c r="C400" s="907" t="s">
        <v>11</v>
      </c>
      <c r="D400" s="987"/>
      <c r="E400" s="987"/>
      <c r="F400" s="987"/>
      <c r="G400" s="987"/>
      <c r="H400" s="987"/>
      <c r="I400" s="985">
        <f>+D400*$H$400</f>
        <v>0</v>
      </c>
      <c r="J400" s="985">
        <f>+E400*$H$400</f>
        <v>0</v>
      </c>
      <c r="K400" s="985">
        <f>+F400*$H$400</f>
        <v>0</v>
      </c>
      <c r="L400" s="985">
        <f>+G400*$H$400</f>
        <v>0</v>
      </c>
      <c r="M400" s="968"/>
    </row>
    <row r="401" spans="1:13">
      <c r="A401" s="968"/>
      <c r="B401" s="913" t="s">
        <v>251</v>
      </c>
      <c r="C401" s="907" t="s">
        <v>11</v>
      </c>
      <c r="D401" s="987"/>
      <c r="E401" s="987"/>
      <c r="F401" s="987"/>
      <c r="G401" s="987"/>
      <c r="H401" s="987"/>
      <c r="I401" s="985">
        <f>+D401*$H$401</f>
        <v>0</v>
      </c>
      <c r="J401" s="985">
        <f>+E401*$H$401</f>
        <v>0</v>
      </c>
      <c r="K401" s="985">
        <f>+F401*$H$401</f>
        <v>0</v>
      </c>
      <c r="L401" s="985">
        <f>+G401*$H$401</f>
        <v>0</v>
      </c>
      <c r="M401" s="968"/>
    </row>
    <row r="402" spans="1:13">
      <c r="A402" s="968"/>
      <c r="B402" s="3" t="str">
        <f>IF(AND('Demanda Oferta'!$G$42&lt;=6),"Rodillo de compactación final","")</f>
        <v>Rodillo de compactación final</v>
      </c>
      <c r="C402" s="907" t="s">
        <v>11</v>
      </c>
      <c r="D402" s="987"/>
      <c r="E402" s="987"/>
      <c r="F402" s="987"/>
      <c r="G402" s="987"/>
      <c r="H402" s="987"/>
      <c r="I402" s="985">
        <f>+D402*$H$402</f>
        <v>0</v>
      </c>
      <c r="J402" s="985">
        <f>+E402*$H$402</f>
        <v>0</v>
      </c>
      <c r="K402" s="985">
        <f>+F402*$H$402</f>
        <v>0</v>
      </c>
      <c r="L402" s="985">
        <f>+G402*$H$402</f>
        <v>0</v>
      </c>
      <c r="M402" s="968"/>
    </row>
    <row r="403" spans="1:13">
      <c r="A403" s="968"/>
      <c r="B403" s="1000" t="s">
        <v>2404</v>
      </c>
      <c r="C403" s="985"/>
      <c r="D403" s="986"/>
      <c r="E403" s="986"/>
      <c r="F403" s="986"/>
      <c r="G403" s="986"/>
      <c r="H403" s="986"/>
      <c r="I403" s="857">
        <f>SUM(I404:I413)</f>
        <v>0</v>
      </c>
      <c r="J403" s="857">
        <f>SUM(J404:J413)</f>
        <v>0</v>
      </c>
      <c r="K403" s="857">
        <f>SUM(K404:K413)</f>
        <v>0</v>
      </c>
      <c r="L403" s="857">
        <f>SUM(L404:L413)</f>
        <v>0</v>
      </c>
      <c r="M403" s="968"/>
    </row>
    <row r="404" spans="1:13">
      <c r="A404" s="968"/>
      <c r="B404" s="913" t="s">
        <v>216</v>
      </c>
      <c r="C404" s="907" t="s">
        <v>11</v>
      </c>
      <c r="D404" s="987"/>
      <c r="E404" s="987"/>
      <c r="F404" s="987"/>
      <c r="G404" s="987"/>
      <c r="H404" s="987"/>
      <c r="I404" s="985">
        <f>+D404*$H$404</f>
        <v>0</v>
      </c>
      <c r="J404" s="985">
        <f>+E404*$H$404</f>
        <v>0</v>
      </c>
      <c r="K404" s="985">
        <f>+F404*$H$404</f>
        <v>0</v>
      </c>
      <c r="L404" s="985">
        <f>+G404*$H$404</f>
        <v>0</v>
      </c>
      <c r="M404" s="968"/>
    </row>
    <row r="405" spans="1:13">
      <c r="A405" s="968"/>
      <c r="B405" s="913" t="s">
        <v>217</v>
      </c>
      <c r="C405" s="907" t="s">
        <v>11</v>
      </c>
      <c r="D405" s="987"/>
      <c r="E405" s="987"/>
      <c r="F405" s="987"/>
      <c r="G405" s="987"/>
      <c r="H405" s="987"/>
      <c r="I405" s="985">
        <f>+D405*$H$405</f>
        <v>0</v>
      </c>
      <c r="J405" s="985">
        <f>+E405*$H$405</f>
        <v>0</v>
      </c>
      <c r="K405" s="985">
        <f>+F405*$H$405</f>
        <v>0</v>
      </c>
      <c r="L405" s="985">
        <f>+G405*$H$405</f>
        <v>0</v>
      </c>
      <c r="M405" s="968"/>
    </row>
    <row r="406" spans="1:13">
      <c r="A406" s="968"/>
      <c r="B406" s="994" t="s">
        <v>218</v>
      </c>
      <c r="C406" s="907" t="s">
        <v>11</v>
      </c>
      <c r="D406" s="987"/>
      <c r="E406" s="987"/>
      <c r="F406" s="987"/>
      <c r="G406" s="987"/>
      <c r="H406" s="987"/>
      <c r="I406" s="985">
        <f>+D406*$H$406</f>
        <v>0</v>
      </c>
      <c r="J406" s="985">
        <f>+E406*$H$406</f>
        <v>0</v>
      </c>
      <c r="K406" s="985">
        <f>+F406*$H$406</f>
        <v>0</v>
      </c>
      <c r="L406" s="985">
        <f>+G406*$H$406</f>
        <v>0</v>
      </c>
      <c r="M406" s="968"/>
    </row>
    <row r="407" spans="1:13">
      <c r="A407" s="968"/>
      <c r="B407" s="994" t="s">
        <v>244</v>
      </c>
      <c r="C407" s="907" t="s">
        <v>11</v>
      </c>
      <c r="D407" s="987"/>
      <c r="E407" s="987"/>
      <c r="F407" s="987"/>
      <c r="G407" s="987"/>
      <c r="H407" s="987"/>
      <c r="I407" s="985">
        <f>+D407*$H$407</f>
        <v>0</v>
      </c>
      <c r="J407" s="985">
        <f>+E407*$H$407</f>
        <v>0</v>
      </c>
      <c r="K407" s="985">
        <f>+F407*$H$407</f>
        <v>0</v>
      </c>
      <c r="L407" s="985">
        <f>+G407*$H$407</f>
        <v>0</v>
      </c>
      <c r="M407" s="968"/>
    </row>
    <row r="408" spans="1:13">
      <c r="A408" s="968"/>
      <c r="B408" s="994" t="s">
        <v>2405</v>
      </c>
      <c r="C408" s="907" t="s">
        <v>11</v>
      </c>
      <c r="D408" s="987"/>
      <c r="E408" s="987"/>
      <c r="F408" s="987"/>
      <c r="G408" s="987"/>
      <c r="H408" s="987"/>
      <c r="I408" s="985">
        <f>+D408*$H$408</f>
        <v>0</v>
      </c>
      <c r="J408" s="985">
        <f>+E408*$H$408</f>
        <v>0</v>
      </c>
      <c r="K408" s="985">
        <f>+F408*$H$408</f>
        <v>0</v>
      </c>
      <c r="L408" s="985">
        <f>+G408*$H$408</f>
        <v>0</v>
      </c>
      <c r="M408" s="968"/>
    </row>
    <row r="409" spans="1:13">
      <c r="A409" s="968"/>
      <c r="B409" s="994" t="s">
        <v>245</v>
      </c>
      <c r="C409" s="907" t="s">
        <v>11</v>
      </c>
      <c r="D409" s="987"/>
      <c r="E409" s="987"/>
      <c r="F409" s="987"/>
      <c r="G409" s="987"/>
      <c r="H409" s="987"/>
      <c r="I409" s="985">
        <f>+D409*$H$409</f>
        <v>0</v>
      </c>
      <c r="J409" s="985">
        <f>+E409*$H$409</f>
        <v>0</v>
      </c>
      <c r="K409" s="985">
        <f>+F409*$H$409</f>
        <v>0</v>
      </c>
      <c r="L409" s="985">
        <f>+G409*$H$409</f>
        <v>0</v>
      </c>
      <c r="M409" s="968"/>
    </row>
    <row r="410" spans="1:13">
      <c r="A410" s="968"/>
      <c r="B410" s="994" t="s">
        <v>232</v>
      </c>
      <c r="C410" s="907" t="s">
        <v>11</v>
      </c>
      <c r="D410" s="987"/>
      <c r="E410" s="987"/>
      <c r="F410" s="987"/>
      <c r="G410" s="987"/>
      <c r="H410" s="987"/>
      <c r="I410" s="985">
        <f>+D410*$H$410</f>
        <v>0</v>
      </c>
      <c r="J410" s="985">
        <f>+E410*$H$410</f>
        <v>0</v>
      </c>
      <c r="K410" s="985">
        <f>+F410*$H$410</f>
        <v>0</v>
      </c>
      <c r="L410" s="985">
        <f>+G410*$H$410</f>
        <v>0</v>
      </c>
      <c r="M410" s="968"/>
    </row>
    <row r="411" spans="1:13" ht="25.5">
      <c r="A411" s="968"/>
      <c r="B411" s="994" t="s">
        <v>257</v>
      </c>
      <c r="C411" s="907" t="s">
        <v>11</v>
      </c>
      <c r="D411" s="987"/>
      <c r="E411" s="987"/>
      <c r="F411" s="987"/>
      <c r="G411" s="987"/>
      <c r="H411" s="987"/>
      <c r="I411" s="985">
        <f>+D411*$H$411</f>
        <v>0</v>
      </c>
      <c r="J411" s="985">
        <f>+E411*$H$411</f>
        <v>0</v>
      </c>
      <c r="K411" s="985">
        <f>+F411*$H$411</f>
        <v>0</v>
      </c>
      <c r="L411" s="985">
        <f>+G411*$H$411</f>
        <v>0</v>
      </c>
      <c r="M411" s="968"/>
    </row>
    <row r="412" spans="1:13">
      <c r="A412" s="968"/>
      <c r="B412" s="994" t="s">
        <v>2120</v>
      </c>
      <c r="C412" s="907" t="s">
        <v>11</v>
      </c>
      <c r="D412" s="987"/>
      <c r="E412" s="987"/>
      <c r="F412" s="987"/>
      <c r="G412" s="987"/>
      <c r="H412" s="987"/>
      <c r="I412" s="985">
        <f>+D412*$H$412</f>
        <v>0</v>
      </c>
      <c r="J412" s="985">
        <f>+E412*$H$412</f>
        <v>0</v>
      </c>
      <c r="K412" s="985">
        <f>+F412*$H$412</f>
        <v>0</v>
      </c>
      <c r="L412" s="985">
        <f>+G412*$H$412</f>
        <v>0</v>
      </c>
      <c r="M412" s="968"/>
    </row>
    <row r="413" spans="1:13">
      <c r="A413" s="968"/>
      <c r="B413" s="994" t="s">
        <v>689</v>
      </c>
      <c r="C413" s="907" t="s">
        <v>11</v>
      </c>
      <c r="D413" s="987"/>
      <c r="E413" s="987"/>
      <c r="F413" s="987"/>
      <c r="G413" s="987"/>
      <c r="H413" s="987"/>
      <c r="I413" s="985">
        <f>+D413*$H$413</f>
        <v>0</v>
      </c>
      <c r="J413" s="985">
        <f>+E413*$H$413</f>
        <v>0</v>
      </c>
      <c r="K413" s="985">
        <f>+F413*$H$413</f>
        <v>0</v>
      </c>
      <c r="L413" s="985">
        <f>+G413*$H$413</f>
        <v>0</v>
      </c>
      <c r="M413" s="968"/>
    </row>
    <row r="414" spans="1:13">
      <c r="A414" s="968"/>
      <c r="B414" s="984" t="s">
        <v>2347</v>
      </c>
      <c r="C414" s="985"/>
      <c r="D414" s="986"/>
      <c r="E414" s="986"/>
      <c r="F414" s="986"/>
      <c r="G414" s="986"/>
      <c r="H414" s="986"/>
      <c r="I414" s="857">
        <f>+SUM(I415:I417)</f>
        <v>0</v>
      </c>
      <c r="J414" s="857">
        <f>+SUM(J415:J417)</f>
        <v>0</v>
      </c>
      <c r="K414" s="857">
        <f>+SUM(K415:K417)</f>
        <v>0</v>
      </c>
      <c r="L414" s="857">
        <f>+SUM(L415:L417)</f>
        <v>0</v>
      </c>
      <c r="M414" s="968"/>
    </row>
    <row r="415" spans="1:13">
      <c r="A415" s="968"/>
      <c r="B415" s="913" t="s">
        <v>205</v>
      </c>
      <c r="C415" s="907" t="s">
        <v>12</v>
      </c>
      <c r="D415" s="987"/>
      <c r="E415" s="987"/>
      <c r="F415" s="987"/>
      <c r="G415" s="987"/>
      <c r="H415" s="987"/>
      <c r="I415" s="985">
        <f>+D415*$H$415</f>
        <v>0</v>
      </c>
      <c r="J415" s="985">
        <f>+E415*$H$415</f>
        <v>0</v>
      </c>
      <c r="K415" s="985">
        <f>+F415*$H$415</f>
        <v>0</v>
      </c>
      <c r="L415" s="985">
        <f>+G415*$H$415</f>
        <v>0</v>
      </c>
      <c r="M415" s="968"/>
    </row>
    <row r="416" spans="1:13">
      <c r="A416" s="968"/>
      <c r="B416" s="913" t="s">
        <v>687</v>
      </c>
      <c r="C416" s="907" t="s">
        <v>12</v>
      </c>
      <c r="D416" s="987"/>
      <c r="E416" s="987"/>
      <c r="F416" s="987"/>
      <c r="G416" s="987"/>
      <c r="H416" s="987"/>
      <c r="I416" s="985">
        <f>+D416*$H$416</f>
        <v>0</v>
      </c>
      <c r="J416" s="985">
        <f>+E416*$H$416</f>
        <v>0</v>
      </c>
      <c r="K416" s="985">
        <f>+F416*$H$416</f>
        <v>0</v>
      </c>
      <c r="L416" s="985">
        <f>+G416*$H$416</f>
        <v>0</v>
      </c>
      <c r="M416" s="968"/>
    </row>
    <row r="417" spans="1:13">
      <c r="A417" s="968"/>
      <c r="B417" s="913" t="s">
        <v>2348</v>
      </c>
      <c r="C417" s="907" t="s">
        <v>2349</v>
      </c>
      <c r="D417" s="987"/>
      <c r="E417" s="987"/>
      <c r="F417" s="987"/>
      <c r="G417" s="987"/>
      <c r="H417" s="987"/>
      <c r="I417" s="985">
        <f>+D417*$H$417</f>
        <v>0</v>
      </c>
      <c r="J417" s="985">
        <f>+E417*$H$417</f>
        <v>0</v>
      </c>
      <c r="K417" s="985">
        <f>+F417*$H$417</f>
        <v>0</v>
      </c>
      <c r="L417" s="985">
        <f>+G417*$H$417</f>
        <v>0</v>
      </c>
      <c r="M417" s="968"/>
    </row>
    <row r="418" spans="1:13">
      <c r="A418" s="968"/>
      <c r="B418" s="984" t="s">
        <v>2406</v>
      </c>
      <c r="C418" s="985"/>
      <c r="D418" s="986"/>
      <c r="E418" s="986"/>
      <c r="F418" s="986"/>
      <c r="G418" s="986"/>
      <c r="H418" s="986"/>
      <c r="I418" s="857">
        <f>+I419+I420</f>
        <v>0</v>
      </c>
      <c r="J418" s="857">
        <f>+J419+J420</f>
        <v>0</v>
      </c>
      <c r="K418" s="857">
        <f>+K419+K420</f>
        <v>0</v>
      </c>
      <c r="L418" s="857">
        <f>+L419+L420</f>
        <v>0</v>
      </c>
      <c r="M418" s="968"/>
    </row>
    <row r="419" spans="1:13" ht="25.5">
      <c r="A419" s="968"/>
      <c r="B419" s="994" t="s">
        <v>3186</v>
      </c>
      <c r="C419" s="907" t="s">
        <v>2363</v>
      </c>
      <c r="D419" s="987"/>
      <c r="E419" s="987"/>
      <c r="F419" s="987"/>
      <c r="G419" s="987"/>
      <c r="H419" s="987"/>
      <c r="I419" s="985">
        <f>+D419*$H$419</f>
        <v>0</v>
      </c>
      <c r="J419" s="985">
        <f>+E419*$H$419</f>
        <v>0</v>
      </c>
      <c r="K419" s="985">
        <f>+F419*$H$419</f>
        <v>0</v>
      </c>
      <c r="L419" s="985">
        <f>+G419*$H$419</f>
        <v>0</v>
      </c>
      <c r="M419" s="968"/>
    </row>
    <row r="420" spans="1:13">
      <c r="A420" s="968"/>
      <c r="B420" s="994" t="s">
        <v>2407</v>
      </c>
      <c r="C420" s="907" t="s">
        <v>2363</v>
      </c>
      <c r="D420" s="987"/>
      <c r="E420" s="987"/>
      <c r="F420" s="987"/>
      <c r="G420" s="987"/>
      <c r="H420" s="987"/>
      <c r="I420" s="985">
        <f>+D420*$H$420</f>
        <v>0</v>
      </c>
      <c r="J420" s="985">
        <f>+E420*$H$420</f>
        <v>0</v>
      </c>
      <c r="K420" s="985">
        <f>+F420*$H$420</f>
        <v>0</v>
      </c>
      <c r="L420" s="985">
        <f>+G420*$H$420</f>
        <v>0</v>
      </c>
      <c r="M420" s="968"/>
    </row>
    <row r="421" spans="1:13">
      <c r="A421" s="968"/>
      <c r="B421" s="1003" t="s">
        <v>2488</v>
      </c>
      <c r="C421" s="985"/>
      <c r="D421" s="986"/>
      <c r="E421" s="986"/>
      <c r="F421" s="986"/>
      <c r="G421" s="986"/>
      <c r="H421" s="986"/>
      <c r="I421" s="857">
        <f>SUM(I422:I435)</f>
        <v>0</v>
      </c>
      <c r="J421" s="857">
        <f>SUM(J422:J435)</f>
        <v>0</v>
      </c>
      <c r="K421" s="857">
        <f>SUM(K422:K435)</f>
        <v>0</v>
      </c>
      <c r="L421" s="857">
        <f>SUM(L422:L435)</f>
        <v>0</v>
      </c>
      <c r="M421" s="968"/>
    </row>
    <row r="422" spans="1:13" ht="25.5">
      <c r="A422" s="968"/>
      <c r="B422" s="994" t="s">
        <v>2402</v>
      </c>
      <c r="C422" s="907" t="s">
        <v>983</v>
      </c>
      <c r="D422" s="987"/>
      <c r="E422" s="987"/>
      <c r="F422" s="987"/>
      <c r="G422" s="987"/>
      <c r="H422" s="987"/>
      <c r="I422" s="985">
        <f>+D422*$H$422</f>
        <v>0</v>
      </c>
      <c r="J422" s="985">
        <f>+E422*$H$422</f>
        <v>0</v>
      </c>
      <c r="K422" s="985">
        <f>+F422*$H$422</f>
        <v>0</v>
      </c>
      <c r="L422" s="985">
        <f>+G422*$H$422</f>
        <v>0</v>
      </c>
      <c r="M422" s="968"/>
    </row>
    <row r="423" spans="1:13" ht="25.5">
      <c r="A423" s="968"/>
      <c r="B423" s="994" t="s">
        <v>3187</v>
      </c>
      <c r="C423" s="907" t="s">
        <v>11</v>
      </c>
      <c r="D423" s="987"/>
      <c r="E423" s="987"/>
      <c r="F423" s="987"/>
      <c r="G423" s="987"/>
      <c r="H423" s="987"/>
      <c r="I423" s="985">
        <f>+D423*$H$423</f>
        <v>0</v>
      </c>
      <c r="J423" s="985">
        <f>+E423*$H$423</f>
        <v>0</v>
      </c>
      <c r="K423" s="985">
        <f>+F423*$H$423</f>
        <v>0</v>
      </c>
      <c r="L423" s="985">
        <f>+G423*$H$423</f>
        <v>0</v>
      </c>
      <c r="M423" s="968"/>
    </row>
    <row r="424" spans="1:13" ht="25.5">
      <c r="A424" s="968"/>
      <c r="B424" s="994" t="s">
        <v>2408</v>
      </c>
      <c r="C424" s="907" t="s">
        <v>11</v>
      </c>
      <c r="D424" s="987"/>
      <c r="E424" s="987"/>
      <c r="F424" s="987"/>
      <c r="G424" s="987"/>
      <c r="H424" s="987"/>
      <c r="I424" s="985">
        <f>+D424*$H$424</f>
        <v>0</v>
      </c>
      <c r="J424" s="985">
        <f>+E424*$H$424</f>
        <v>0</v>
      </c>
      <c r="K424" s="985">
        <f>+F424*$H$424</f>
        <v>0</v>
      </c>
      <c r="L424" s="985">
        <f>+G424*$H$424</f>
        <v>0</v>
      </c>
      <c r="M424" s="968"/>
    </row>
    <row r="425" spans="1:13" ht="25.5">
      <c r="A425" s="968"/>
      <c r="B425" s="994" t="s">
        <v>2403</v>
      </c>
      <c r="C425" s="907" t="s">
        <v>11</v>
      </c>
      <c r="D425" s="987"/>
      <c r="E425" s="987"/>
      <c r="F425" s="987"/>
      <c r="G425" s="987"/>
      <c r="H425" s="987"/>
      <c r="I425" s="985">
        <f>+D425*$H$425</f>
        <v>0</v>
      </c>
      <c r="J425" s="985">
        <f>+E425*$H$425</f>
        <v>0</v>
      </c>
      <c r="K425" s="985">
        <f>+F425*$H$425</f>
        <v>0</v>
      </c>
      <c r="L425" s="985">
        <f>+G425*$H$425</f>
        <v>0</v>
      </c>
      <c r="M425" s="968"/>
    </row>
    <row r="426" spans="1:13">
      <c r="A426" s="968"/>
      <c r="B426" s="994" t="s">
        <v>211</v>
      </c>
      <c r="C426" s="907" t="s">
        <v>11</v>
      </c>
      <c r="D426" s="987"/>
      <c r="E426" s="987"/>
      <c r="F426" s="987"/>
      <c r="G426" s="987"/>
      <c r="H426" s="987"/>
      <c r="I426" s="985">
        <f>+D426*$H$426</f>
        <v>0</v>
      </c>
      <c r="J426" s="985">
        <f>+E426*$H$426</f>
        <v>0</v>
      </c>
      <c r="K426" s="985">
        <f>+F426*$H$426</f>
        <v>0</v>
      </c>
      <c r="L426" s="985">
        <f>+G426*$H$426</f>
        <v>0</v>
      </c>
      <c r="M426" s="968"/>
    </row>
    <row r="427" spans="1:13">
      <c r="A427" s="968"/>
      <c r="B427" s="994" t="s">
        <v>2409</v>
      </c>
      <c r="C427" s="907" t="s">
        <v>11</v>
      </c>
      <c r="D427" s="987"/>
      <c r="E427" s="987"/>
      <c r="F427" s="987"/>
      <c r="G427" s="987"/>
      <c r="H427" s="987"/>
      <c r="I427" s="985">
        <f>+D427*$H$427</f>
        <v>0</v>
      </c>
      <c r="J427" s="985">
        <f>+E427*$H$427</f>
        <v>0</v>
      </c>
      <c r="K427" s="985">
        <f>+F427*$H$427</f>
        <v>0</v>
      </c>
      <c r="L427" s="985">
        <f>+G427*$H$427</f>
        <v>0</v>
      </c>
      <c r="M427" s="968"/>
    </row>
    <row r="428" spans="1:13">
      <c r="A428" s="968"/>
      <c r="B428" s="994" t="s">
        <v>213</v>
      </c>
      <c r="C428" s="907" t="s">
        <v>11</v>
      </c>
      <c r="D428" s="987"/>
      <c r="E428" s="987"/>
      <c r="F428" s="987"/>
      <c r="G428" s="987"/>
      <c r="H428" s="987"/>
      <c r="I428" s="985">
        <f>+D428*$H$428</f>
        <v>0</v>
      </c>
      <c r="J428" s="985">
        <f>+E428*$H$428</f>
        <v>0</v>
      </c>
      <c r="K428" s="985">
        <f>+F428*$H$428</f>
        <v>0</v>
      </c>
      <c r="L428" s="985">
        <f>+G428*$H$428</f>
        <v>0</v>
      </c>
      <c r="M428" s="968"/>
    </row>
    <row r="429" spans="1:13">
      <c r="A429" s="968"/>
      <c r="B429" s="994" t="s">
        <v>214</v>
      </c>
      <c r="C429" s="907" t="s">
        <v>11</v>
      </c>
      <c r="D429" s="987"/>
      <c r="E429" s="987"/>
      <c r="F429" s="987"/>
      <c r="G429" s="987"/>
      <c r="H429" s="987"/>
      <c r="I429" s="985">
        <f>+D429*$H$429</f>
        <v>0</v>
      </c>
      <c r="J429" s="985">
        <f>+E429*$H$429</f>
        <v>0</v>
      </c>
      <c r="K429" s="985">
        <f>+F429*$H$429</f>
        <v>0</v>
      </c>
      <c r="L429" s="985">
        <f>+G429*$H$429</f>
        <v>0</v>
      </c>
      <c r="M429" s="968"/>
    </row>
    <row r="430" spans="1:13">
      <c r="A430" s="968"/>
      <c r="B430" s="994" t="s">
        <v>215</v>
      </c>
      <c r="C430" s="907" t="s">
        <v>11</v>
      </c>
      <c r="D430" s="987"/>
      <c r="E430" s="987"/>
      <c r="F430" s="987"/>
      <c r="G430" s="987"/>
      <c r="H430" s="987"/>
      <c r="I430" s="985">
        <f>+D430*$H$430</f>
        <v>0</v>
      </c>
      <c r="J430" s="985">
        <f>+E430*$H$430</f>
        <v>0</v>
      </c>
      <c r="K430" s="985">
        <f>+F430*$H$430</f>
        <v>0</v>
      </c>
      <c r="L430" s="985">
        <f>+G430*$H$430</f>
        <v>0</v>
      </c>
      <c r="M430" s="968"/>
    </row>
    <row r="431" spans="1:13">
      <c r="A431" s="968"/>
      <c r="B431" s="913" t="str">
        <f>IF(AND('Demanda Oferta'!$G$42&gt;50),"Grasa amarilla (1kg/3 meses/ compactador con ruedas de acero pata de cabra)","")</f>
        <v/>
      </c>
      <c r="C431" s="907" t="s">
        <v>983</v>
      </c>
      <c r="D431" s="987"/>
      <c r="E431" s="987"/>
      <c r="F431" s="987"/>
      <c r="G431" s="987"/>
      <c r="H431" s="987"/>
      <c r="I431" s="985">
        <f>+D431*$H$431</f>
        <v>0</v>
      </c>
      <c r="J431" s="985">
        <f>+E431*$H$431</f>
        <v>0</v>
      </c>
      <c r="K431" s="985">
        <f>+F431*$H$431</f>
        <v>0</v>
      </c>
      <c r="L431" s="985">
        <f>+G431*$H$431</f>
        <v>0</v>
      </c>
      <c r="M431" s="968"/>
    </row>
    <row r="432" spans="1:13">
      <c r="A432" s="968"/>
      <c r="B432" s="913" t="str">
        <f>IF(AND('Demanda Oferta'!$G$42&gt;50),"Grasa amarilla (1kg/3 meses/ Volquete)","")</f>
        <v/>
      </c>
      <c r="C432" s="907" t="s">
        <v>983</v>
      </c>
      <c r="D432" s="987"/>
      <c r="E432" s="987"/>
      <c r="F432" s="987"/>
      <c r="G432" s="987"/>
      <c r="H432" s="987"/>
      <c r="I432" s="985">
        <f>+D432*$H$432</f>
        <v>0</v>
      </c>
      <c r="J432" s="985">
        <f>+E432*$H$432</f>
        <v>0</v>
      </c>
      <c r="K432" s="985">
        <f>+F432*$H$432</f>
        <v>0</v>
      </c>
      <c r="L432" s="985">
        <f>+G432*$H$432</f>
        <v>0</v>
      </c>
      <c r="M432" s="968"/>
    </row>
    <row r="433" spans="1:13">
      <c r="A433" s="968"/>
      <c r="B433" s="913" t="str">
        <f>IF(AND('Demanda Oferta'!$G$42&gt;50),"Filtro de petreoleo ( 1 und x mes x compatactador rueda de acero)","")</f>
        <v/>
      </c>
      <c r="C433" s="907" t="s">
        <v>11</v>
      </c>
      <c r="D433" s="987"/>
      <c r="E433" s="987"/>
      <c r="F433" s="987"/>
      <c r="G433" s="987"/>
      <c r="H433" s="987"/>
      <c r="I433" s="985">
        <f>+D433*$H$433</f>
        <v>0</v>
      </c>
      <c r="J433" s="985">
        <f>+E433*$H$433</f>
        <v>0</v>
      </c>
      <c r="K433" s="985">
        <f>+F433*$H$433</f>
        <v>0</v>
      </c>
      <c r="L433" s="985">
        <f>+G433*$H$433</f>
        <v>0</v>
      </c>
      <c r="M433" s="968"/>
    </row>
    <row r="434" spans="1:13">
      <c r="A434" s="968"/>
      <c r="B434" s="913" t="str">
        <f>IF(AND('Demanda Oferta'!$G$42&gt;50),"Filtro hidraulico para compactador rueda de acero pata de cabra","")</f>
        <v/>
      </c>
      <c r="C434" s="907" t="s">
        <v>11</v>
      </c>
      <c r="D434" s="987"/>
      <c r="E434" s="987"/>
      <c r="F434" s="987"/>
      <c r="G434" s="987"/>
      <c r="H434" s="987"/>
      <c r="I434" s="985">
        <f>+D434*$H$434</f>
        <v>0</v>
      </c>
      <c r="J434" s="985">
        <f>+E434*$H$434</f>
        <v>0</v>
      </c>
      <c r="K434" s="985">
        <f>+F434*$H$434</f>
        <v>0</v>
      </c>
      <c r="L434" s="985">
        <f>+G434*$H$434</f>
        <v>0</v>
      </c>
      <c r="M434" s="968"/>
    </row>
    <row r="435" spans="1:13">
      <c r="A435" s="968"/>
      <c r="B435" s="913" t="str">
        <f>IF(AND('Demanda Oferta'!$G$42&gt;50),"Filtro hidráulico de volquete","")</f>
        <v/>
      </c>
      <c r="C435" s="907" t="s">
        <v>11</v>
      </c>
      <c r="D435" s="987"/>
      <c r="E435" s="987"/>
      <c r="F435" s="987"/>
      <c r="G435" s="987"/>
      <c r="H435" s="987"/>
      <c r="I435" s="985">
        <f>+D435*$H$435</f>
        <v>0</v>
      </c>
      <c r="J435" s="985">
        <f>+E435*$H$435</f>
        <v>0</v>
      </c>
      <c r="K435" s="985">
        <f>+F435*$H$435</f>
        <v>0</v>
      </c>
      <c r="L435" s="985">
        <f>+G435*$H$435</f>
        <v>0</v>
      </c>
      <c r="M435" s="968"/>
    </row>
    <row r="436" spans="1:13">
      <c r="A436" s="968"/>
      <c r="B436" s="984" t="s">
        <v>2394</v>
      </c>
      <c r="C436" s="907"/>
      <c r="D436" s="986"/>
      <c r="E436" s="986"/>
      <c r="F436" s="986"/>
      <c r="G436" s="986"/>
      <c r="H436" s="986"/>
      <c r="I436" s="857">
        <f>SUM(I437:I442)</f>
        <v>0</v>
      </c>
      <c r="J436" s="857">
        <f>SUM(J437:J442)</f>
        <v>0</v>
      </c>
      <c r="K436" s="857">
        <f>SUM(K437:K442)</f>
        <v>0</v>
      </c>
      <c r="L436" s="857">
        <f>SUM(L437:L442)</f>
        <v>0</v>
      </c>
      <c r="M436" s="968"/>
    </row>
    <row r="437" spans="1:13">
      <c r="A437" s="968"/>
      <c r="B437" s="994" t="s">
        <v>3188</v>
      </c>
      <c r="C437" s="907" t="s">
        <v>2336</v>
      </c>
      <c r="D437" s="987"/>
      <c r="E437" s="987"/>
      <c r="F437" s="987"/>
      <c r="G437" s="987"/>
      <c r="H437" s="987"/>
      <c r="I437" s="985">
        <f>+D437*$H$437</f>
        <v>0</v>
      </c>
      <c r="J437" s="985">
        <f>+E437*$H$437</f>
        <v>0</v>
      </c>
      <c r="K437" s="985">
        <f>+F437*$H$437</f>
        <v>0</v>
      </c>
      <c r="L437" s="985">
        <f>+G437*$H$437</f>
        <v>0</v>
      </c>
      <c r="M437" s="968"/>
    </row>
    <row r="438" spans="1:13">
      <c r="A438" s="968"/>
      <c r="B438" s="916" t="s">
        <v>2414</v>
      </c>
      <c r="C438" s="907" t="s">
        <v>2336</v>
      </c>
      <c r="D438" s="987"/>
      <c r="E438" s="987"/>
      <c r="F438" s="987"/>
      <c r="G438" s="987"/>
      <c r="H438" s="987"/>
      <c r="I438" s="985">
        <f>+D438*$H$438</f>
        <v>0</v>
      </c>
      <c r="J438" s="985">
        <f>+E438*$H$438</f>
        <v>0</v>
      </c>
      <c r="K438" s="985">
        <f>+F438*$H$438</f>
        <v>0</v>
      </c>
      <c r="L438" s="985">
        <f>+G438*$H$438</f>
        <v>0</v>
      </c>
      <c r="M438" s="968"/>
    </row>
    <row r="439" spans="1:13">
      <c r="A439" s="968"/>
      <c r="B439" s="994" t="s">
        <v>2489</v>
      </c>
      <c r="C439" s="907" t="s">
        <v>2336</v>
      </c>
      <c r="D439" s="987"/>
      <c r="E439" s="987"/>
      <c r="F439" s="987"/>
      <c r="G439" s="987"/>
      <c r="H439" s="987"/>
      <c r="I439" s="985">
        <f>+D439*$H$439</f>
        <v>0</v>
      </c>
      <c r="J439" s="985">
        <f>+E439*$H$439</f>
        <v>0</v>
      </c>
      <c r="K439" s="985">
        <f>+F439*$H$439</f>
        <v>0</v>
      </c>
      <c r="L439" s="985">
        <f>+G439*$H$439</f>
        <v>0</v>
      </c>
      <c r="M439" s="968"/>
    </row>
    <row r="440" spans="1:13">
      <c r="A440" s="968"/>
      <c r="B440" s="994" t="s">
        <v>2490</v>
      </c>
      <c r="C440" s="907" t="s">
        <v>2336</v>
      </c>
      <c r="D440" s="987"/>
      <c r="E440" s="987"/>
      <c r="F440" s="987"/>
      <c r="G440" s="987"/>
      <c r="H440" s="987"/>
      <c r="I440" s="985">
        <f>+D440*$H$440</f>
        <v>0</v>
      </c>
      <c r="J440" s="985">
        <f>+E440*$H$440</f>
        <v>0</v>
      </c>
      <c r="K440" s="985">
        <f>+F440*$H$440</f>
        <v>0</v>
      </c>
      <c r="L440" s="985">
        <f>+G440*$H$440</f>
        <v>0</v>
      </c>
      <c r="M440" s="968"/>
    </row>
    <row r="441" spans="1:13">
      <c r="A441" s="968"/>
      <c r="B441" s="994" t="s">
        <v>2491</v>
      </c>
      <c r="C441" s="907" t="s">
        <v>2336</v>
      </c>
      <c r="D441" s="987"/>
      <c r="E441" s="987"/>
      <c r="F441" s="987"/>
      <c r="G441" s="987"/>
      <c r="H441" s="987"/>
      <c r="I441" s="985">
        <f>+D441*$H$441</f>
        <v>0</v>
      </c>
      <c r="J441" s="985">
        <f>+E441*$H$441</f>
        <v>0</v>
      </c>
      <c r="K441" s="985">
        <f>+F441*$H$441</f>
        <v>0</v>
      </c>
      <c r="L441" s="985">
        <f>+G441*$H$441</f>
        <v>0</v>
      </c>
      <c r="M441" s="968"/>
    </row>
    <row r="442" spans="1:13">
      <c r="A442" s="968"/>
      <c r="B442" s="994" t="s">
        <v>223</v>
      </c>
      <c r="C442" s="907" t="s">
        <v>2336</v>
      </c>
      <c r="D442" s="987"/>
      <c r="E442" s="987"/>
      <c r="F442" s="987"/>
      <c r="G442" s="987"/>
      <c r="H442" s="987"/>
      <c r="I442" s="985">
        <f>+D442*$H$442</f>
        <v>0</v>
      </c>
      <c r="J442" s="985">
        <f>+E442*$H$442</f>
        <v>0</v>
      </c>
      <c r="K442" s="985">
        <f>+F442*$H$442</f>
        <v>0</v>
      </c>
      <c r="L442" s="985">
        <f>+G442*$H$442</f>
        <v>0</v>
      </c>
      <c r="M442" s="968"/>
    </row>
    <row r="443" spans="1:13">
      <c r="A443" s="968"/>
      <c r="B443" s="984" t="s">
        <v>2410</v>
      </c>
      <c r="C443" s="985"/>
      <c r="D443" s="986"/>
      <c r="E443" s="986"/>
      <c r="F443" s="986"/>
      <c r="G443" s="986"/>
      <c r="H443" s="986"/>
      <c r="I443" s="857">
        <f>SUM(I444:I446)</f>
        <v>0</v>
      </c>
      <c r="J443" s="857">
        <f>SUM(J444:J446)</f>
        <v>0</v>
      </c>
      <c r="K443" s="857">
        <f>SUM(K444:K446)</f>
        <v>0</v>
      </c>
      <c r="L443" s="857">
        <f>SUM(L444:L446)</f>
        <v>0</v>
      </c>
      <c r="M443" s="968"/>
    </row>
    <row r="444" spans="1:13">
      <c r="A444" s="968"/>
      <c r="B444" s="994" t="s">
        <v>3189</v>
      </c>
      <c r="C444" s="907" t="s">
        <v>12</v>
      </c>
      <c r="D444" s="987"/>
      <c r="E444" s="987"/>
      <c r="F444" s="987"/>
      <c r="G444" s="987"/>
      <c r="H444" s="987"/>
      <c r="I444" s="985">
        <f>+D444*$H$444</f>
        <v>0</v>
      </c>
      <c r="J444" s="985">
        <f>+E444*$H$444</f>
        <v>0</v>
      </c>
      <c r="K444" s="985">
        <f>+F444*$H$444</f>
        <v>0</v>
      </c>
      <c r="L444" s="985">
        <f>+G444*$H$444</f>
        <v>0</v>
      </c>
      <c r="M444" s="968"/>
    </row>
    <row r="445" spans="1:13">
      <c r="A445" s="968"/>
      <c r="B445" s="994" t="s">
        <v>3190</v>
      </c>
      <c r="C445" s="907" t="s">
        <v>12</v>
      </c>
      <c r="D445" s="987"/>
      <c r="E445" s="987"/>
      <c r="F445" s="987"/>
      <c r="G445" s="987"/>
      <c r="H445" s="987"/>
      <c r="I445" s="985">
        <f>+D445*$H$445</f>
        <v>0</v>
      </c>
      <c r="J445" s="985">
        <f>+E445*$H$445</f>
        <v>0</v>
      </c>
      <c r="K445" s="985">
        <f>+F445*$H$445</f>
        <v>0</v>
      </c>
      <c r="L445" s="985">
        <f>+G445*$H$445</f>
        <v>0</v>
      </c>
      <c r="M445" s="968"/>
    </row>
    <row r="446" spans="1:13">
      <c r="A446" s="968"/>
      <c r="B446" s="994" t="s">
        <v>3191</v>
      </c>
      <c r="C446" s="907" t="s">
        <v>12</v>
      </c>
      <c r="D446" s="987"/>
      <c r="E446" s="987"/>
      <c r="F446" s="987"/>
      <c r="G446" s="987"/>
      <c r="H446" s="987"/>
      <c r="I446" s="985">
        <f>+D446*$H$446</f>
        <v>0</v>
      </c>
      <c r="J446" s="985">
        <f>+E446*$H$446</f>
        <v>0</v>
      </c>
      <c r="K446" s="985">
        <f>+F446*$H$446</f>
        <v>0</v>
      </c>
      <c r="L446" s="985">
        <f>+G446*$H$446</f>
        <v>0</v>
      </c>
      <c r="M446" s="968"/>
    </row>
    <row r="447" spans="1:13">
      <c r="A447" s="968"/>
      <c r="B447" s="984" t="s">
        <v>2411</v>
      </c>
      <c r="C447" s="985"/>
      <c r="D447" s="986"/>
      <c r="E447" s="986"/>
      <c r="F447" s="986"/>
      <c r="G447" s="986"/>
      <c r="H447" s="986"/>
      <c r="I447" s="857">
        <f>SUM(I448:I451)</f>
        <v>0</v>
      </c>
      <c r="J447" s="857">
        <f>SUM(J448:J451)</f>
        <v>0</v>
      </c>
      <c r="K447" s="857">
        <f>SUM(K448:K451)</f>
        <v>0</v>
      </c>
      <c r="L447" s="857">
        <f>SUM(L448:L451)</f>
        <v>0</v>
      </c>
      <c r="M447" s="968"/>
    </row>
    <row r="448" spans="1:13" ht="25.5">
      <c r="A448" s="968"/>
      <c r="B448" s="994" t="s">
        <v>2412</v>
      </c>
      <c r="C448" s="907" t="s">
        <v>12</v>
      </c>
      <c r="D448" s="987"/>
      <c r="E448" s="987"/>
      <c r="F448" s="987"/>
      <c r="G448" s="987"/>
      <c r="H448" s="987"/>
      <c r="I448" s="985">
        <f>+D448*$H$448</f>
        <v>0</v>
      </c>
      <c r="J448" s="985">
        <f>+E448*$H$448</f>
        <v>0</v>
      </c>
      <c r="K448" s="985">
        <f>+F448*$H$448</f>
        <v>0</v>
      </c>
      <c r="L448" s="985">
        <f>+G448*$H$448</f>
        <v>0</v>
      </c>
      <c r="M448" s="968"/>
    </row>
    <row r="449" spans="1:13" ht="25.5">
      <c r="A449" s="968"/>
      <c r="B449" s="994" t="s">
        <v>2413</v>
      </c>
      <c r="C449" s="907" t="s">
        <v>12</v>
      </c>
      <c r="D449" s="987"/>
      <c r="E449" s="987"/>
      <c r="F449" s="987"/>
      <c r="G449" s="987"/>
      <c r="H449" s="987"/>
      <c r="I449" s="985">
        <f>+D449*$H$449</f>
        <v>0</v>
      </c>
      <c r="J449" s="985">
        <f>+E449*$H$449</f>
        <v>0</v>
      </c>
      <c r="K449" s="985">
        <f>+F449*$H$449</f>
        <v>0</v>
      </c>
      <c r="L449" s="985">
        <f>+G449*$H$449</f>
        <v>0</v>
      </c>
      <c r="M449" s="968"/>
    </row>
    <row r="450" spans="1:13" ht="25.5">
      <c r="A450" s="968"/>
      <c r="B450" s="994" t="s">
        <v>247</v>
      </c>
      <c r="C450" s="907" t="s">
        <v>12</v>
      </c>
      <c r="D450" s="987"/>
      <c r="E450" s="987"/>
      <c r="F450" s="987"/>
      <c r="G450" s="987"/>
      <c r="H450" s="987"/>
      <c r="I450" s="985">
        <f>+D450*$H$450</f>
        <v>0</v>
      </c>
      <c r="J450" s="985">
        <f>+E450*$H$450</f>
        <v>0</v>
      </c>
      <c r="K450" s="985">
        <f>+F450*$H$450</f>
        <v>0</v>
      </c>
      <c r="L450" s="985">
        <f>+G450*$H$450</f>
        <v>0</v>
      </c>
      <c r="M450" s="968"/>
    </row>
    <row r="451" spans="1:13" ht="25.5">
      <c r="A451" s="968"/>
      <c r="B451" s="994" t="s">
        <v>3192</v>
      </c>
      <c r="C451" s="907" t="s">
        <v>12</v>
      </c>
      <c r="D451" s="987"/>
      <c r="E451" s="987"/>
      <c r="F451" s="987"/>
      <c r="G451" s="987"/>
      <c r="H451" s="987"/>
      <c r="I451" s="985">
        <f>+D451*$H$451</f>
        <v>0</v>
      </c>
      <c r="J451" s="985">
        <f>+E451*$H$451</f>
        <v>0</v>
      </c>
      <c r="K451" s="985">
        <f>+F451*$H$451</f>
        <v>0</v>
      </c>
      <c r="L451" s="985">
        <f>+G451*$H$451</f>
        <v>0</v>
      </c>
      <c r="M451" s="968"/>
    </row>
    <row r="452" spans="1:13">
      <c r="A452" s="968"/>
      <c r="B452" s="968"/>
      <c r="M452" s="968"/>
    </row>
    <row r="453" spans="1:13">
      <c r="A453" s="1931" t="s">
        <v>2354</v>
      </c>
      <c r="B453" s="1931"/>
      <c r="M453" s="968"/>
    </row>
    <row r="454" spans="1:13">
      <c r="A454" s="968"/>
      <c r="B454" s="968"/>
      <c r="M454" s="968"/>
    </row>
    <row r="455" spans="1:13" ht="51">
      <c r="A455" s="968"/>
      <c r="B455" s="578" t="s">
        <v>7</v>
      </c>
      <c r="C455" s="578" t="s">
        <v>11</v>
      </c>
      <c r="D455" s="578" t="s">
        <v>2309</v>
      </c>
      <c r="E455" s="578" t="s">
        <v>2310</v>
      </c>
      <c r="F455" s="578" t="s">
        <v>2311</v>
      </c>
      <c r="G455" s="578" t="s">
        <v>2312</v>
      </c>
      <c r="H455" s="578" t="s">
        <v>2329</v>
      </c>
      <c r="I455" s="578" t="s">
        <v>2330</v>
      </c>
      <c r="J455" s="578" t="s">
        <v>2331</v>
      </c>
      <c r="K455" s="578" t="s">
        <v>2332</v>
      </c>
      <c r="L455" s="578" t="s">
        <v>2333</v>
      </c>
      <c r="M455" s="968"/>
    </row>
    <row r="456" spans="1:13">
      <c r="A456" s="968"/>
      <c r="B456" s="998" t="s">
        <v>2355</v>
      </c>
      <c r="C456" s="911"/>
      <c r="D456" s="986"/>
      <c r="E456" s="986"/>
      <c r="F456" s="986"/>
      <c r="G456" s="986"/>
      <c r="H456" s="986"/>
      <c r="I456" s="857">
        <f>+I457</f>
        <v>0</v>
      </c>
      <c r="J456" s="857">
        <f>+J457</f>
        <v>0</v>
      </c>
      <c r="K456" s="857">
        <f>+K457</f>
        <v>0</v>
      </c>
      <c r="L456" s="857">
        <f>+L457</f>
        <v>0</v>
      </c>
      <c r="M456" s="968"/>
    </row>
    <row r="457" spans="1:13">
      <c r="A457" s="968"/>
      <c r="B457" s="916" t="s">
        <v>298</v>
      </c>
      <c r="C457" s="907" t="s">
        <v>12</v>
      </c>
      <c r="D457" s="987"/>
      <c r="E457" s="987"/>
      <c r="F457" s="987"/>
      <c r="G457" s="987"/>
      <c r="H457" s="987"/>
      <c r="I457" s="985">
        <f>+D457*$H$457</f>
        <v>0</v>
      </c>
      <c r="J457" s="985">
        <f>+E457*$H$457</f>
        <v>0</v>
      </c>
      <c r="K457" s="985">
        <f>+F457*$H$457</f>
        <v>0</v>
      </c>
      <c r="L457" s="985">
        <f>+G457*$H$457</f>
        <v>0</v>
      </c>
      <c r="M457" s="968"/>
    </row>
    <row r="458" spans="1:13">
      <c r="A458" s="968"/>
      <c r="B458" s="998" t="s">
        <v>2382</v>
      </c>
      <c r="C458" s="911"/>
      <c r="D458" s="986"/>
      <c r="E458" s="986"/>
      <c r="F458" s="986"/>
      <c r="G458" s="986"/>
      <c r="H458" s="986"/>
      <c r="I458" s="857">
        <f>SUM(I459:I462)</f>
        <v>0</v>
      </c>
      <c r="J458" s="857">
        <f>SUM(J459:J462)</f>
        <v>0</v>
      </c>
      <c r="K458" s="857">
        <f>SUM(K459:K462)</f>
        <v>0</v>
      </c>
      <c r="L458" s="857">
        <f>SUM(L459:L462)</f>
        <v>0</v>
      </c>
      <c r="M458" s="968"/>
    </row>
    <row r="459" spans="1:13">
      <c r="A459" s="968"/>
      <c r="B459" s="916" t="s">
        <v>2396</v>
      </c>
      <c r="C459" s="907" t="s">
        <v>2336</v>
      </c>
      <c r="D459" s="987"/>
      <c r="E459" s="987"/>
      <c r="F459" s="987"/>
      <c r="G459" s="987"/>
      <c r="H459" s="987"/>
      <c r="I459" s="985">
        <f>+D459*$H$459</f>
        <v>0</v>
      </c>
      <c r="J459" s="985">
        <f>+E459*$H$459</f>
        <v>0</v>
      </c>
      <c r="K459" s="985">
        <f>+F459*$H$459</f>
        <v>0</v>
      </c>
      <c r="L459" s="985">
        <f>+G459*$H$459</f>
        <v>0</v>
      </c>
      <c r="M459" s="968"/>
    </row>
    <row r="460" spans="1:13">
      <c r="A460" s="968"/>
      <c r="B460" s="913" t="str">
        <f>IF(AND('Demanda Oferta'!$G$36&gt;50),"Lavado y engrase de compactador de rueda de acero pata de cabra y/o oruga","")</f>
        <v/>
      </c>
      <c r="C460" s="907" t="s">
        <v>2336</v>
      </c>
      <c r="D460" s="987"/>
      <c r="E460" s="987"/>
      <c r="F460" s="987"/>
      <c r="G460" s="987"/>
      <c r="H460" s="987"/>
      <c r="I460" s="985">
        <f>+D460*$H$460</f>
        <v>0</v>
      </c>
      <c r="J460" s="985">
        <f>+E460*$H$460</f>
        <v>0</v>
      </c>
      <c r="K460" s="985">
        <f>+F460*$H$460</f>
        <v>0</v>
      </c>
      <c r="L460" s="985">
        <f>+G460*$H$460</f>
        <v>0</v>
      </c>
      <c r="M460" s="968"/>
    </row>
    <row r="461" spans="1:13">
      <c r="A461" s="968"/>
      <c r="B461" s="913" t="str">
        <f>IF(AND('Demanda Oferta'!$G$36&gt;50),"Lavado y engrase de camión volquete","")</f>
        <v/>
      </c>
      <c r="C461" s="907" t="s">
        <v>2336</v>
      </c>
      <c r="D461" s="987"/>
      <c r="E461" s="987"/>
      <c r="F461" s="987"/>
      <c r="G461" s="987"/>
      <c r="H461" s="987"/>
      <c r="I461" s="985">
        <f>+D461*$H$461</f>
        <v>0</v>
      </c>
      <c r="J461" s="985">
        <f>+E461*$H$461</f>
        <v>0</v>
      </c>
      <c r="K461" s="985">
        <f>+F461*$H$461</f>
        <v>0</v>
      </c>
      <c r="L461" s="985">
        <f>+G461*$H$461</f>
        <v>0</v>
      </c>
      <c r="M461" s="968"/>
    </row>
    <row r="462" spans="1:13">
      <c r="A462" s="968"/>
      <c r="B462" s="913" t="str">
        <f>IF(AND('Demanda Oferta'!$G$36&gt;50),"Revisión técnica y otros","")</f>
        <v/>
      </c>
      <c r="C462" s="907" t="s">
        <v>12</v>
      </c>
      <c r="D462" s="987"/>
      <c r="E462" s="987"/>
      <c r="F462" s="987"/>
      <c r="G462" s="987"/>
      <c r="H462" s="987"/>
      <c r="I462" s="985">
        <f>+D462*$H$462</f>
        <v>0</v>
      </c>
      <c r="J462" s="985">
        <f>+E462*$H$462</f>
        <v>0</v>
      </c>
      <c r="K462" s="985">
        <f>+F462*$H$462</f>
        <v>0</v>
      </c>
      <c r="L462" s="985">
        <f>+G462*$H$462</f>
        <v>0</v>
      </c>
      <c r="M462" s="968"/>
    </row>
    <row r="463" spans="1:13">
      <c r="A463" s="968"/>
      <c r="B463" s="968"/>
      <c r="M463" s="968"/>
    </row>
    <row r="464" spans="1:13">
      <c r="A464" s="968"/>
      <c r="B464" s="968"/>
      <c r="M464" s="968"/>
    </row>
    <row r="465" spans="1:13">
      <c r="A465" s="1932" t="s">
        <v>3193</v>
      </c>
      <c r="B465" s="1932"/>
      <c r="C465" s="1932"/>
      <c r="D465" s="1932"/>
      <c r="E465" s="1932"/>
      <c r="F465" s="1932"/>
      <c r="G465" s="1932"/>
      <c r="H465" s="1932"/>
      <c r="I465" s="1932"/>
      <c r="J465" s="1932"/>
      <c r="K465" s="1932"/>
      <c r="L465" s="1932"/>
      <c r="M465" s="968"/>
    </row>
    <row r="466" spans="1:13">
      <c r="A466" s="968"/>
      <c r="B466" s="968"/>
      <c r="M466" s="968"/>
    </row>
    <row r="467" spans="1:13">
      <c r="A467" s="1931" t="s">
        <v>2340</v>
      </c>
      <c r="B467" s="1931"/>
      <c r="M467" s="968"/>
    </row>
    <row r="468" spans="1:13">
      <c r="A468" s="968"/>
      <c r="B468" s="968"/>
      <c r="M468" s="968"/>
    </row>
    <row r="469" spans="1:13" ht="51">
      <c r="A469" s="968"/>
      <c r="B469" s="578" t="s">
        <v>7</v>
      </c>
      <c r="C469" s="578" t="s">
        <v>11</v>
      </c>
      <c r="D469" s="578" t="s">
        <v>2309</v>
      </c>
      <c r="E469" s="578" t="s">
        <v>2310</v>
      </c>
      <c r="F469" s="578" t="s">
        <v>2311</v>
      </c>
      <c r="G469" s="578" t="s">
        <v>2312</v>
      </c>
      <c r="H469" s="578" t="s">
        <v>2329</v>
      </c>
      <c r="I469" s="578" t="s">
        <v>2330</v>
      </c>
      <c r="J469" s="578" t="s">
        <v>2331</v>
      </c>
      <c r="K469" s="578" t="s">
        <v>2332</v>
      </c>
      <c r="L469" s="578" t="s">
        <v>2333</v>
      </c>
      <c r="M469" s="968"/>
    </row>
    <row r="470" spans="1:13">
      <c r="A470" s="968"/>
      <c r="B470" s="984" t="s">
        <v>206</v>
      </c>
      <c r="C470" s="907"/>
      <c r="D470" s="986"/>
      <c r="E470" s="986"/>
      <c r="F470" s="986"/>
      <c r="G470" s="986"/>
      <c r="H470" s="986"/>
      <c r="I470" s="857">
        <f>+I471+I472</f>
        <v>0</v>
      </c>
      <c r="J470" s="857">
        <f>+J471+J472</f>
        <v>0</v>
      </c>
      <c r="K470" s="857">
        <f>+K471+K472</f>
        <v>0</v>
      </c>
      <c r="L470" s="857">
        <f>+L471+L472</f>
        <v>0</v>
      </c>
      <c r="M470" s="968"/>
    </row>
    <row r="471" spans="1:13">
      <c r="A471" s="968"/>
      <c r="B471" s="994" t="s">
        <v>2494</v>
      </c>
      <c r="C471" s="907" t="s">
        <v>2366</v>
      </c>
      <c r="D471" s="987"/>
      <c r="E471" s="987"/>
      <c r="F471" s="987"/>
      <c r="G471" s="987"/>
      <c r="H471" s="987"/>
      <c r="I471" s="985">
        <f>+D471*$H$471</f>
        <v>0</v>
      </c>
      <c r="J471" s="985">
        <f>+E471*$H$471</f>
        <v>0</v>
      </c>
      <c r="K471" s="985">
        <f>+F471*$H$471</f>
        <v>0</v>
      </c>
      <c r="L471" s="985">
        <f>+G471*$H$471</f>
        <v>0</v>
      </c>
      <c r="M471" s="968"/>
    </row>
    <row r="472" spans="1:13">
      <c r="A472" s="968"/>
      <c r="B472" s="994" t="s">
        <v>2495</v>
      </c>
      <c r="C472" s="907" t="s">
        <v>2366</v>
      </c>
      <c r="D472" s="987"/>
      <c r="E472" s="987"/>
      <c r="F472" s="987"/>
      <c r="G472" s="987"/>
      <c r="H472" s="987"/>
      <c r="I472" s="985">
        <f>+D472*$H$472</f>
        <v>0</v>
      </c>
      <c r="J472" s="985">
        <f>+E472*$H$472</f>
        <v>0</v>
      </c>
      <c r="K472" s="985">
        <f>+F472*$H$472</f>
        <v>0</v>
      </c>
      <c r="L472" s="985">
        <f>+G472*$H$472</f>
        <v>0</v>
      </c>
      <c r="M472" s="968"/>
    </row>
    <row r="473" spans="1:13">
      <c r="A473" s="968"/>
      <c r="B473" s="984" t="s">
        <v>2496</v>
      </c>
      <c r="C473" s="985"/>
      <c r="D473" s="986"/>
      <c r="E473" s="986"/>
      <c r="F473" s="986"/>
      <c r="G473" s="986"/>
      <c r="H473" s="986"/>
      <c r="I473" s="857">
        <f>+I474+I478</f>
        <v>0</v>
      </c>
      <c r="J473" s="857">
        <f>+J474+J478</f>
        <v>0</v>
      </c>
      <c r="K473" s="857">
        <f>+K474+K478</f>
        <v>0</v>
      </c>
      <c r="L473" s="857">
        <f>+L474+L478</f>
        <v>0</v>
      </c>
      <c r="M473" s="968"/>
    </row>
    <row r="474" spans="1:13">
      <c r="A474" s="968"/>
      <c r="B474" s="994" t="s">
        <v>3194</v>
      </c>
      <c r="C474" s="907" t="s">
        <v>2363</v>
      </c>
      <c r="D474" s="987"/>
      <c r="E474" s="987"/>
      <c r="F474" s="987"/>
      <c r="G474" s="987"/>
      <c r="H474" s="987"/>
      <c r="I474" s="985">
        <f>+D474*$H$474</f>
        <v>0</v>
      </c>
      <c r="J474" s="985">
        <f>+E474*$H$474</f>
        <v>0</v>
      </c>
      <c r="K474" s="985">
        <f>+F474*$H$474</f>
        <v>0</v>
      </c>
      <c r="L474" s="985">
        <f>+G474*$H$474</f>
        <v>0</v>
      </c>
      <c r="M474" s="968"/>
    </row>
    <row r="475" spans="1:13">
      <c r="A475" s="968"/>
      <c r="B475" s="984" t="s">
        <v>2497</v>
      </c>
      <c r="C475" s="907"/>
      <c r="D475" s="986"/>
      <c r="E475" s="986"/>
      <c r="F475" s="986"/>
      <c r="G475" s="986"/>
      <c r="H475" s="986"/>
      <c r="I475" s="857">
        <f>SUM(I476:I478)</f>
        <v>0</v>
      </c>
      <c r="J475" s="857">
        <f>SUM(J476:J478)</f>
        <v>0</v>
      </c>
      <c r="K475" s="857">
        <f>SUM(K476:K478)</f>
        <v>0</v>
      </c>
      <c r="L475" s="857">
        <f>SUM(L476:L478)</f>
        <v>0</v>
      </c>
      <c r="M475" s="968"/>
    </row>
    <row r="476" spans="1:13">
      <c r="A476" s="968"/>
      <c r="B476" s="994" t="s">
        <v>3188</v>
      </c>
      <c r="C476" s="907" t="s">
        <v>2336</v>
      </c>
      <c r="D476" s="987"/>
      <c r="E476" s="987"/>
      <c r="F476" s="987"/>
      <c r="G476" s="987"/>
      <c r="H476" s="987"/>
      <c r="I476" s="985">
        <f>+D476*$H$476</f>
        <v>0</v>
      </c>
      <c r="J476" s="985">
        <f>+E476*$H$476</f>
        <v>0</v>
      </c>
      <c r="K476" s="985">
        <f>+F476*$H$476</f>
        <v>0</v>
      </c>
      <c r="L476" s="985">
        <f>+G476*$H$476</f>
        <v>0</v>
      </c>
      <c r="M476" s="968"/>
    </row>
    <row r="477" spans="1:13">
      <c r="A477" s="968"/>
      <c r="B477" s="916" t="s">
        <v>2414</v>
      </c>
      <c r="C477" s="907" t="s">
        <v>2336</v>
      </c>
      <c r="D477" s="987"/>
      <c r="E477" s="987"/>
      <c r="F477" s="987"/>
      <c r="G477" s="987"/>
      <c r="H477" s="987"/>
      <c r="I477" s="985">
        <f>+D477*$H$477</f>
        <v>0</v>
      </c>
      <c r="J477" s="985">
        <f>+E477*$H$477</f>
        <v>0</v>
      </c>
      <c r="K477" s="985">
        <f>+F477*$H$477</f>
        <v>0</v>
      </c>
      <c r="L477" s="985">
        <f>+G477*$H$477</f>
        <v>0</v>
      </c>
      <c r="M477" s="968"/>
    </row>
    <row r="478" spans="1:13">
      <c r="A478" s="968"/>
      <c r="B478" s="968"/>
      <c r="M478" s="968"/>
    </row>
    <row r="479" spans="1:13">
      <c r="A479" s="968"/>
      <c r="B479" s="968"/>
      <c r="M479" s="968"/>
    </row>
    <row r="480" spans="1:13" ht="24" customHeight="1">
      <c r="A480" s="1937" t="s">
        <v>93</v>
      </c>
      <c r="B480" s="1939" t="s">
        <v>608</v>
      </c>
      <c r="C480" s="1935" t="s">
        <v>2415</v>
      </c>
      <c r="D480" s="1941"/>
      <c r="E480" s="1941"/>
      <c r="F480" s="1941"/>
      <c r="G480" s="1941"/>
      <c r="H480" s="1941"/>
      <c r="I480" s="1941"/>
      <c r="J480" s="1941"/>
      <c r="K480" s="1941"/>
      <c r="L480" s="1936"/>
      <c r="M480" s="1934" t="s">
        <v>10</v>
      </c>
    </row>
    <row r="481" spans="1:13">
      <c r="A481" s="1938"/>
      <c r="B481" s="1940"/>
      <c r="C481" s="578">
        <v>1</v>
      </c>
      <c r="D481" s="578">
        <v>2</v>
      </c>
      <c r="E481" s="578">
        <v>3</v>
      </c>
      <c r="F481" s="578">
        <v>4</v>
      </c>
      <c r="G481" s="578">
        <v>5</v>
      </c>
      <c r="H481" s="578">
        <v>6</v>
      </c>
      <c r="I481" s="578">
        <v>7</v>
      </c>
      <c r="J481" s="578">
        <v>8</v>
      </c>
      <c r="K481" s="578">
        <v>9</v>
      </c>
      <c r="L481" s="578">
        <v>10</v>
      </c>
      <c r="M481" s="1934"/>
    </row>
    <row r="482" spans="1:13">
      <c r="A482" s="911">
        <v>1</v>
      </c>
      <c r="B482" s="917" t="s">
        <v>41</v>
      </c>
      <c r="C482" s="1004">
        <f t="shared" ref="C482:I482" si="31">SUM(C483:C487)</f>
        <v>0</v>
      </c>
      <c r="D482" s="1004">
        <f t="shared" si="31"/>
        <v>0</v>
      </c>
      <c r="E482" s="1004">
        <f t="shared" si="31"/>
        <v>0</v>
      </c>
      <c r="F482" s="1004">
        <f t="shared" si="31"/>
        <v>0</v>
      </c>
      <c r="G482" s="1004">
        <f t="shared" si="31"/>
        <v>0</v>
      </c>
      <c r="H482" s="1004">
        <f t="shared" si="31"/>
        <v>0</v>
      </c>
      <c r="I482" s="1004">
        <f t="shared" si="31"/>
        <v>0</v>
      </c>
      <c r="J482" s="1004">
        <f>SUM(J483:J487)</f>
        <v>0</v>
      </c>
      <c r="K482" s="1004">
        <f>SUM(K483:K487)</f>
        <v>0</v>
      </c>
      <c r="L482" s="1004">
        <f>SUM(L483:L487)</f>
        <v>0</v>
      </c>
      <c r="M482" s="1004">
        <f>SUM(M483:M487)</f>
        <v>0</v>
      </c>
    </row>
    <row r="483" spans="1:13">
      <c r="A483" s="907">
        <v>1.1000000000000001</v>
      </c>
      <c r="B483" s="913" t="s">
        <v>2233</v>
      </c>
      <c r="C483" s="935">
        <f>+'O&amp;M'!$I$18+'O&amp;M'!$I$59+'O&amp;M'!$I$106+'O&amp;M'!$I$170+'O&amp;M'!$I$247+'O&amp;M'!$I$314+'O&amp;M'!$I$392+I470</f>
        <v>0</v>
      </c>
      <c r="D483" s="935">
        <f>+C483</f>
        <v>0</v>
      </c>
      <c r="E483" s="935">
        <f>+C483</f>
        <v>0</v>
      </c>
      <c r="F483" s="935">
        <f>+'O&amp;M'!$J$18+'O&amp;M'!$J$59+'O&amp;M'!$J$106+'O&amp;M'!$J$170+'O&amp;M'!$J$247+'O&amp;M'!$J$314+'O&amp;M'!$J$392+J470</f>
        <v>0</v>
      </c>
      <c r="G483" s="935">
        <f>+F483</f>
        <v>0</v>
      </c>
      <c r="H483" s="935">
        <f>+F483</f>
        <v>0</v>
      </c>
      <c r="I483" s="935">
        <f>+'O&amp;M'!$K$18+'O&amp;M'!$K$59+'O&amp;M'!$K$106+'O&amp;M'!$K$170+'O&amp;M'!$K$247+'O&amp;M'!$K$314+'O&amp;M'!$K$392+K470</f>
        <v>0</v>
      </c>
      <c r="J483" s="935">
        <f>+I483</f>
        <v>0</v>
      </c>
      <c r="K483" s="935">
        <f>+I483</f>
        <v>0</v>
      </c>
      <c r="L483" s="935">
        <f>+'O&amp;M'!$L$18+'O&amp;M'!$L$59+'O&amp;M'!$L$106+'O&amp;M'!$L$170+'O&amp;M'!$L$247+'O&amp;M'!$L$314+'O&amp;M'!$L$392+L470</f>
        <v>0</v>
      </c>
      <c r="M483" s="935">
        <f>SUM(C483:L483)</f>
        <v>0</v>
      </c>
    </row>
    <row r="484" spans="1:13">
      <c r="A484" s="907">
        <v>1.2</v>
      </c>
      <c r="B484" s="913" t="s">
        <v>2234</v>
      </c>
      <c r="C484" s="935">
        <f>+'O&amp;M'!$I$21+'O&amp;M'!$I$32+'O&amp;M'!$I$62+'O&amp;M'!$I$73+'O&amp;M'!$I$109+'O&amp;M'!$I$121+'O&amp;M'!$I$135+'O&amp;M'!$I$173+'O&amp;M'!$I$185+'O&amp;M'!$I$199+'O&amp;M'!$I$249+'O&amp;M'!$I$254+'O&amp;M'!$I$316+'O&amp;M'!$I$328+'O&amp;M'!$I$395+'O&amp;M'!$I$403</f>
        <v>0</v>
      </c>
      <c r="D484" s="935">
        <f>+C484</f>
        <v>0</v>
      </c>
      <c r="E484" s="935">
        <f>+C484</f>
        <v>0</v>
      </c>
      <c r="F484" s="935">
        <f>+'O&amp;M'!$J$21+'O&amp;M'!$J$32+'O&amp;M'!$J$62+'O&amp;M'!$J$73+'O&amp;M'!$J$109+'O&amp;M'!$J$121+'O&amp;M'!$J$135+'O&amp;M'!$J$173+'O&amp;M'!$J$185+'O&amp;M'!$J$199+'O&amp;M'!$J$249+'O&amp;M'!$J$254+'O&amp;M'!$J$316+'O&amp;M'!$J$328+'O&amp;M'!$J$395+'O&amp;M'!$J$403</f>
        <v>0</v>
      </c>
      <c r="G484" s="935">
        <f>+F484</f>
        <v>0</v>
      </c>
      <c r="H484" s="935">
        <f>+F484</f>
        <v>0</v>
      </c>
      <c r="I484" s="935">
        <f>+'O&amp;M'!$K$21+'O&amp;M'!$K$32+'O&amp;M'!$K$62+'O&amp;M'!$K$73+'O&amp;M'!$K$109+'O&amp;M'!$K$121+'O&amp;M'!$K$135+'O&amp;M'!$K$173+'O&amp;M'!$K$185+'O&amp;M'!$K$199+'O&amp;M'!$K$249+'O&amp;M'!$K$254+'O&amp;M'!$K$316+'O&amp;M'!$K$328+'O&amp;M'!$K$395+'O&amp;M'!$K$403</f>
        <v>0</v>
      </c>
      <c r="J484" s="935">
        <f>+I484</f>
        <v>0</v>
      </c>
      <c r="K484" s="935">
        <f>+I484</f>
        <v>0</v>
      </c>
      <c r="L484" s="935">
        <f>+'O&amp;M'!$L$21+'O&amp;M'!$L$32+'O&amp;M'!$L$62+'O&amp;M'!$L$73+'O&amp;M'!$L$109+'O&amp;M'!$L$121+'O&amp;M'!$L$135+'O&amp;M'!$L$173+'O&amp;M'!$L$185+'O&amp;M'!$L$199+'O&amp;M'!$L$249+'O&amp;M'!$L$254+'O&amp;M'!$L$316+'O&amp;M'!$L$328+'O&amp;M'!$L$395+'O&amp;M'!$L$403</f>
        <v>0</v>
      </c>
      <c r="M484" s="935">
        <f>SUM(C484:L484)</f>
        <v>0</v>
      </c>
    </row>
    <row r="485" spans="1:13">
      <c r="A485" s="907">
        <v>1.3</v>
      </c>
      <c r="B485" s="913" t="s">
        <v>2236</v>
      </c>
      <c r="C485" s="935">
        <f>+'O&amp;M'!$I$28+'O&amp;M'!$I$69+'O&amp;M'!$I$118+'O&amp;M'!$I$141+'O&amp;M'!$I$182+'O&amp;M'!$I$205+'O&amp;M'!$I$268+'O&amp;M'!$I$276+'O&amp;M'!$I$340+'O&amp;M'!$I$349+'O&amp;M'!$I$414+'O&amp;M'!$I$421</f>
        <v>0</v>
      </c>
      <c r="D485" s="935">
        <f>+C485</f>
        <v>0</v>
      </c>
      <c r="E485" s="935">
        <f>+C485</f>
        <v>0</v>
      </c>
      <c r="F485" s="935">
        <f>+'O&amp;M'!$J$28+'O&amp;M'!$J$69+'O&amp;M'!$J$118+'O&amp;M'!$J$141+'O&amp;M'!$J$182+'O&amp;M'!$J$205+'O&amp;M'!$J$268+'O&amp;M'!$J$276+'O&amp;M'!$J$340+'O&amp;M'!$J$349+'O&amp;M'!$J$414+'O&amp;M'!$J$421</f>
        <v>0</v>
      </c>
      <c r="G485" s="935">
        <f>+F485</f>
        <v>0</v>
      </c>
      <c r="H485" s="935">
        <f>+F485</f>
        <v>0</v>
      </c>
      <c r="I485" s="935">
        <f>+'O&amp;M'!$K$28+'O&amp;M'!$K$69+'O&amp;M'!$K$118+'O&amp;M'!$K$141+'O&amp;M'!$K$182+'O&amp;M'!$K$205+'O&amp;M'!$K$268+'O&amp;M'!$K$276+'O&amp;M'!$K$340+'O&amp;M'!$K$349+'O&amp;M'!$K$414+'O&amp;M'!$K$421</f>
        <v>0</v>
      </c>
      <c r="J485" s="935">
        <f>+I485</f>
        <v>0</v>
      </c>
      <c r="K485" s="935">
        <f>+I485</f>
        <v>0</v>
      </c>
      <c r="L485" s="935">
        <f>+'O&amp;M'!$L$28+'O&amp;M'!$L$69+'O&amp;M'!$L$118+'O&amp;M'!$L$141+'O&amp;M'!$L$182+'O&amp;M'!$L$205+'O&amp;M'!$L$268+'O&amp;M'!$L$276+'O&amp;M'!$L$340+'O&amp;M'!$L$349+'O&amp;M'!$L$414+'O&amp;M'!$L$421</f>
        <v>0</v>
      </c>
      <c r="M485" s="935">
        <f>SUM(C485:L485)</f>
        <v>0</v>
      </c>
    </row>
    <row r="486" spans="1:13">
      <c r="A486" s="907">
        <v>1.4</v>
      </c>
      <c r="B486" s="913" t="s">
        <v>17</v>
      </c>
      <c r="C486" s="935">
        <f>+'O&amp;M'!$I$43+'O&amp;M'!$I$84+'O&amp;M'!$I$151+'O&amp;M'!$I$215+'O&amp;M'!$I$272+'O&amp;M'!$I$286+'O&amp;M'!$I$345+'O&amp;M'!$I$363+'O&amp;M'!$I$436+'O&amp;M'!$I$443+'O&amp;M'!$I$447+I475</f>
        <v>0</v>
      </c>
      <c r="D486" s="935">
        <f>+C486</f>
        <v>0</v>
      </c>
      <c r="E486" s="935">
        <f>+C486</f>
        <v>0</v>
      </c>
      <c r="F486" s="935">
        <f>+'O&amp;M'!$J$43+'O&amp;M'!$J$84+'O&amp;M'!$J$151+'O&amp;M'!$J$215+'O&amp;M'!$J$272+'O&amp;M'!$J$286+'O&amp;M'!$J$345+'O&amp;M'!$J$363+'O&amp;M'!$J$436+'O&amp;M'!$J$443+'O&amp;M'!$J$447+J475</f>
        <v>0</v>
      </c>
      <c r="G486" s="935">
        <f>+F486</f>
        <v>0</v>
      </c>
      <c r="H486" s="935">
        <f>+F486</f>
        <v>0</v>
      </c>
      <c r="I486" s="935">
        <f>+'O&amp;M'!$K$43+'O&amp;M'!$K$84+'O&amp;M'!$K$151+'O&amp;M'!$K$215+'O&amp;M'!$K$272+'O&amp;M'!$K$286+'O&amp;M'!$K$345+'O&amp;M'!$K$363+'O&amp;M'!$K$436+'O&amp;M'!$K$443+'O&amp;M'!$K$447+K475</f>
        <v>0</v>
      </c>
      <c r="J486" s="935">
        <f>+I486</f>
        <v>0</v>
      </c>
      <c r="K486" s="935">
        <f>+I486</f>
        <v>0</v>
      </c>
      <c r="L486" s="935">
        <f>+'O&amp;M'!$L$43+'O&amp;M'!$L$84+'O&amp;M'!$L$151+'O&amp;M'!$L$215+'O&amp;M'!$L$272+'O&amp;M'!$L$286+'O&amp;M'!$L$345+'O&amp;M'!$L$363+'O&amp;M'!$L$436+'O&amp;M'!$L$443+'O&amp;M'!$L$447+L475</f>
        <v>0</v>
      </c>
      <c r="M486" s="935">
        <f>SUM(C486:L486)</f>
        <v>0</v>
      </c>
    </row>
    <row r="487" spans="1:13">
      <c r="A487" s="907">
        <v>1.5</v>
      </c>
      <c r="B487" s="913" t="s">
        <v>42</v>
      </c>
      <c r="C487" s="935">
        <f>+'O&amp;M'!$I$87+'O&amp;M'!$I$161+'O&amp;M'!$I$225+'O&amp;M'!$I$295+'O&amp;M'!$I$370+'O&amp;M'!$I$418+I473</f>
        <v>0</v>
      </c>
      <c r="D487" s="935">
        <f>+C487</f>
        <v>0</v>
      </c>
      <c r="E487" s="935">
        <f>+C487</f>
        <v>0</v>
      </c>
      <c r="F487" s="935">
        <f>+'O&amp;M'!$J$87+'O&amp;M'!$J$161+'O&amp;M'!$J$225+'O&amp;M'!$J$295+'O&amp;M'!$J$370+'O&amp;M'!$J$418+J473</f>
        <v>0</v>
      </c>
      <c r="G487" s="935">
        <f>+F487</f>
        <v>0</v>
      </c>
      <c r="H487" s="935">
        <f>+F487</f>
        <v>0</v>
      </c>
      <c r="I487" s="935">
        <f>+'O&amp;M'!$K$87+'O&amp;M'!$K$161+'O&amp;M'!$K$225+'O&amp;M'!$K$295+'O&amp;M'!$K$370+'O&amp;M'!$K$418+K473</f>
        <v>0</v>
      </c>
      <c r="J487" s="935">
        <f>+I487</f>
        <v>0</v>
      </c>
      <c r="K487" s="935">
        <f>+I487</f>
        <v>0</v>
      </c>
      <c r="L487" s="935">
        <f>+'O&amp;M'!$L$87+'O&amp;M'!$L$161+'O&amp;M'!$L$225+'O&amp;M'!$L$295+'O&amp;M'!$L$370+'O&amp;M'!$L$418+L473</f>
        <v>0</v>
      </c>
      <c r="M487" s="935">
        <f>SUM(C487:L487)</f>
        <v>0</v>
      </c>
    </row>
    <row r="488" spans="1:13">
      <c r="A488" s="911">
        <v>2</v>
      </c>
      <c r="B488" s="917" t="s">
        <v>43</v>
      </c>
      <c r="C488" s="1004">
        <f>SUM(C489:C490)</f>
        <v>0</v>
      </c>
      <c r="D488" s="1004">
        <f>SUM(D489:D490)</f>
        <v>0</v>
      </c>
      <c r="E488" s="1004">
        <f t="shared" ref="E488:L488" si="32">SUM(E489:E490)</f>
        <v>0</v>
      </c>
      <c r="F488" s="1004">
        <f t="shared" si="32"/>
        <v>0</v>
      </c>
      <c r="G488" s="1004">
        <f t="shared" si="32"/>
        <v>0</v>
      </c>
      <c r="H488" s="1004">
        <f>SUM(H489:H490)</f>
        <v>0</v>
      </c>
      <c r="I488" s="1004">
        <f t="shared" si="32"/>
        <v>0</v>
      </c>
      <c r="J488" s="1004">
        <f t="shared" si="32"/>
        <v>0</v>
      </c>
      <c r="K488" s="1004">
        <f t="shared" si="32"/>
        <v>0</v>
      </c>
      <c r="L488" s="1004">
        <f t="shared" si="32"/>
        <v>0</v>
      </c>
      <c r="M488" s="1004">
        <f>SUM(M489:M490)</f>
        <v>0</v>
      </c>
    </row>
    <row r="489" spans="1:13">
      <c r="A489" s="907">
        <v>2.1</v>
      </c>
      <c r="B489" s="913" t="s">
        <v>2236</v>
      </c>
      <c r="C489" s="935">
        <f>+'O&amp;M'!$I$50+'O&amp;M'!$I$94+'O&amp;M'!$I$235+'O&amp;M'!$I$302+'O&amp;M'!$I$377+'O&amp;M'!$I$456</f>
        <v>0</v>
      </c>
      <c r="D489" s="935">
        <f>+C489</f>
        <v>0</v>
      </c>
      <c r="E489" s="935">
        <f>+C489</f>
        <v>0</v>
      </c>
      <c r="F489" s="935">
        <f>+'O&amp;M'!$J$50+'O&amp;M'!$J$94+'O&amp;M'!$J$235+'O&amp;M'!$J$302+'O&amp;M'!$J$377+'O&amp;M'!$J$456</f>
        <v>0</v>
      </c>
      <c r="G489" s="935">
        <f>+F489</f>
        <v>0</v>
      </c>
      <c r="H489" s="935">
        <f>+F489</f>
        <v>0</v>
      </c>
      <c r="I489" s="935">
        <f>+'O&amp;M'!$K$50+'O&amp;M'!$K$94+'O&amp;M'!$K$235+'O&amp;M'!$K$302+'O&amp;M'!$K$377+'O&amp;M'!$K$456</f>
        <v>0</v>
      </c>
      <c r="J489" s="935">
        <f>+I489</f>
        <v>0</v>
      </c>
      <c r="K489" s="935">
        <f>+I489</f>
        <v>0</v>
      </c>
      <c r="L489" s="935">
        <f>+'O&amp;M'!$L$50+'O&amp;M'!$L$94+'O&amp;M'!$L$235+'O&amp;M'!$L$302+'O&amp;M'!$L$377+'O&amp;M'!$L$456</f>
        <v>0</v>
      </c>
      <c r="M489" s="935">
        <f>SUM(C489:L489)</f>
        <v>0</v>
      </c>
    </row>
    <row r="490" spans="1:13">
      <c r="A490" s="907">
        <v>2.2000000000000002</v>
      </c>
      <c r="B490" s="913" t="s">
        <v>17</v>
      </c>
      <c r="C490" s="935">
        <f>+'O&amp;M'!$I$8+'O&amp;M'!$I$52+'O&amp;M'!$I$96+'O&amp;M'!$I$237+'O&amp;M'!$I$304+'O&amp;M'!$I$379+'O&amp;M'!$I$458</f>
        <v>0</v>
      </c>
      <c r="D490" s="935">
        <f>+C490</f>
        <v>0</v>
      </c>
      <c r="E490" s="935">
        <f>+C490</f>
        <v>0</v>
      </c>
      <c r="F490" s="935">
        <f>+'O&amp;M'!$J$8+'O&amp;M'!$J$52+'O&amp;M'!$J$96+'O&amp;M'!$J$237+'O&amp;M'!$J$304+'O&amp;M'!$J$379+'O&amp;M'!$J$458</f>
        <v>0</v>
      </c>
      <c r="G490" s="935">
        <f>+F490</f>
        <v>0</v>
      </c>
      <c r="H490" s="935">
        <f>+F490</f>
        <v>0</v>
      </c>
      <c r="I490" s="935">
        <f>+'O&amp;M'!$K$8+'O&amp;M'!$K$52+'O&amp;M'!$K$96+'O&amp;M'!$K$237+'O&amp;M'!$K$304+'O&amp;M'!$K$379+'O&amp;M'!$K$458</f>
        <v>0</v>
      </c>
      <c r="J490" s="935">
        <f>+I490</f>
        <v>0</v>
      </c>
      <c r="K490" s="935">
        <f>+I490</f>
        <v>0</v>
      </c>
      <c r="L490" s="935">
        <f>+'O&amp;M'!$L$8+'O&amp;M'!$L$52+'O&amp;M'!$L$96+'O&amp;M'!$L$237+'O&amp;M'!$L$304+'O&amp;M'!$L$379+'O&amp;M'!$L$458</f>
        <v>0</v>
      </c>
      <c r="M490" s="935">
        <f>SUM(C490:L490)</f>
        <v>0</v>
      </c>
    </row>
    <row r="491" spans="1:13">
      <c r="A491" s="1935" t="s">
        <v>2416</v>
      </c>
      <c r="B491" s="1936"/>
      <c r="C491" s="1005">
        <f>+C482+C488</f>
        <v>0</v>
      </c>
      <c r="D491" s="1005">
        <f t="shared" ref="D491:M491" si="33">+D482+D488</f>
        <v>0</v>
      </c>
      <c r="E491" s="1005">
        <f t="shared" si="33"/>
        <v>0</v>
      </c>
      <c r="F491" s="1005">
        <f t="shared" si="33"/>
        <v>0</v>
      </c>
      <c r="G491" s="1005">
        <f t="shared" si="33"/>
        <v>0</v>
      </c>
      <c r="H491" s="1005">
        <f t="shared" si="33"/>
        <v>0</v>
      </c>
      <c r="I491" s="1005">
        <f>+I482+I488</f>
        <v>0</v>
      </c>
      <c r="J491" s="1005">
        <f t="shared" si="33"/>
        <v>0</v>
      </c>
      <c r="K491" s="1005">
        <f t="shared" si="33"/>
        <v>0</v>
      </c>
      <c r="L491" s="1005">
        <f t="shared" si="33"/>
        <v>0</v>
      </c>
      <c r="M491" s="1005">
        <f t="shared" si="33"/>
        <v>0</v>
      </c>
    </row>
    <row r="493" spans="1:13">
      <c r="A493" s="431"/>
      <c r="B493" s="431"/>
      <c r="C493" s="977"/>
      <c r="D493" s="977"/>
      <c r="E493" s="977"/>
      <c r="F493" s="977"/>
      <c r="G493" s="977"/>
      <c r="H493" s="977"/>
      <c r="I493" s="977"/>
      <c r="J493" s="1933"/>
      <c r="K493" s="1933"/>
      <c r="L493" s="1933"/>
      <c r="M493" s="1933"/>
    </row>
    <row r="494" spans="1:13">
      <c r="A494" s="431"/>
      <c r="B494" s="431"/>
      <c r="C494" s="977"/>
      <c r="D494" s="977"/>
      <c r="E494" s="977"/>
      <c r="F494" s="977"/>
      <c r="G494" s="977"/>
      <c r="H494" s="977"/>
      <c r="I494" s="977"/>
      <c r="J494" s="1933"/>
      <c r="K494" s="1933"/>
      <c r="L494" s="1933"/>
      <c r="M494" s="1933"/>
    </row>
    <row r="495" spans="1:13">
      <c r="A495" s="431"/>
      <c r="B495" s="431"/>
      <c r="C495" s="977"/>
      <c r="D495" s="977"/>
      <c r="E495" s="977"/>
      <c r="F495" s="977"/>
      <c r="G495" s="977"/>
      <c r="H495" s="977"/>
      <c r="I495" s="977"/>
      <c r="J495" s="1933"/>
      <c r="K495" s="1933"/>
      <c r="L495" s="1933"/>
      <c r="M495" s="1933"/>
    </row>
    <row r="496" spans="1:13">
      <c r="A496" s="431"/>
      <c r="B496" s="431"/>
      <c r="C496" s="977"/>
      <c r="D496" s="977"/>
      <c r="E496" s="977"/>
      <c r="F496" s="977"/>
      <c r="G496" s="977"/>
      <c r="H496" s="977"/>
      <c r="I496" s="977"/>
      <c r="J496" s="977"/>
      <c r="K496" s="977"/>
      <c r="L496" s="977"/>
      <c r="M496" s="431"/>
    </row>
  </sheetData>
  <mergeCells count="32">
    <mergeCell ref="A47:B47"/>
    <mergeCell ref="A2:L2"/>
    <mergeCell ref="A5:B5"/>
    <mergeCell ref="A13:L13"/>
    <mergeCell ref="A15:B15"/>
    <mergeCell ref="B16:L16"/>
    <mergeCell ref="A4:L4"/>
    <mergeCell ref="B57:L57"/>
    <mergeCell ref="A91:B91"/>
    <mergeCell ref="A101:L101"/>
    <mergeCell ref="A103:B103"/>
    <mergeCell ref="A167:B167"/>
    <mergeCell ref="C103:L103"/>
    <mergeCell ref="C167:L167"/>
    <mergeCell ref="J493:M495"/>
    <mergeCell ref="M480:M481"/>
    <mergeCell ref="A491:B491"/>
    <mergeCell ref="A299:B299"/>
    <mergeCell ref="A309:L309"/>
    <mergeCell ref="A311:B311"/>
    <mergeCell ref="A453:B453"/>
    <mergeCell ref="A480:A481"/>
    <mergeCell ref="B480:B481"/>
    <mergeCell ref="C480:L480"/>
    <mergeCell ref="A374:B374"/>
    <mergeCell ref="A465:L465"/>
    <mergeCell ref="A467:B467"/>
    <mergeCell ref="A232:B232"/>
    <mergeCell ref="A387:L387"/>
    <mergeCell ref="A389:B389"/>
    <mergeCell ref="A242:L242"/>
    <mergeCell ref="A244:B244"/>
  </mergeCells>
  <pageMargins left="0.7" right="0.7" top="0.75" bottom="0.75" header="0.3" footer="0.3"/>
  <pageSetup paperSize="9" scale="50" orientation="portrait" r:id="rId1"/>
  <rowBreaks count="2" manualBreakCount="2">
    <brk id="90" max="16383" man="1"/>
    <brk id="373" max="16383" man="1"/>
  </rowBreaks>
  <drawing r:id="rId2"/>
  <legacyDrawing r:id="rId3"/>
  <controls>
    <mc:AlternateContent xmlns:mc="http://schemas.openxmlformats.org/markup-compatibility/2006">
      <mc:Choice Requires="x14">
        <control shapeId="111625" r:id="rId4" name="CommandButton9">
          <controlPr defaultSize="0" autoLine="0" r:id="rId5">
            <anchor moveWithCells="1" sizeWithCells="1">
              <from>
                <xdr:col>2</xdr:col>
                <xdr:colOff>371475</xdr:colOff>
                <xdr:row>493</xdr:row>
                <xdr:rowOff>28575</xdr:rowOff>
              </from>
              <to>
                <xdr:col>4</xdr:col>
                <xdr:colOff>600075</xdr:colOff>
                <xdr:row>495</xdr:row>
                <xdr:rowOff>19050</xdr:rowOff>
              </to>
            </anchor>
          </controlPr>
        </control>
      </mc:Choice>
      <mc:Fallback>
        <control shapeId="111625" r:id="rId4" name="CommandButton9"/>
      </mc:Fallback>
    </mc:AlternateContent>
    <mc:AlternateContent xmlns:mc="http://schemas.openxmlformats.org/markup-compatibility/2006">
      <mc:Choice Requires="x14">
        <control shapeId="111624" r:id="rId6" name="CommandButton8">
          <controlPr defaultSize="0" autoLine="0" r:id="rId7">
            <anchor moveWithCells="1" sizeWithCells="1">
              <from>
                <xdr:col>1</xdr:col>
                <xdr:colOff>485775</xdr:colOff>
                <xdr:row>493</xdr:row>
                <xdr:rowOff>38100</xdr:rowOff>
              </from>
              <to>
                <xdr:col>2</xdr:col>
                <xdr:colOff>342900</xdr:colOff>
                <xdr:row>495</xdr:row>
                <xdr:rowOff>28575</xdr:rowOff>
              </to>
            </anchor>
          </controlPr>
        </control>
      </mc:Choice>
      <mc:Fallback>
        <control shapeId="111624" r:id="rId6" name="CommandButton8"/>
      </mc:Fallback>
    </mc:AlternateContent>
    <mc:AlternateContent xmlns:mc="http://schemas.openxmlformats.org/markup-compatibility/2006">
      <mc:Choice Requires="x14">
        <control shapeId="111623" r:id="rId8" name="CommandButton7">
          <controlPr defaultSize="0" autoLine="0" r:id="rId9">
            <anchor moveWithCells="1" sizeWithCells="1">
              <from>
                <xdr:col>0</xdr:col>
                <xdr:colOff>9525</xdr:colOff>
                <xdr:row>493</xdr:row>
                <xdr:rowOff>47625</xdr:rowOff>
              </from>
              <to>
                <xdr:col>1</xdr:col>
                <xdr:colOff>476250</xdr:colOff>
                <xdr:row>495</xdr:row>
                <xdr:rowOff>38100</xdr:rowOff>
              </to>
            </anchor>
          </controlPr>
        </control>
      </mc:Choice>
      <mc:Fallback>
        <control shapeId="111623" r:id="rId8" name="CommandButton7"/>
      </mc:Fallback>
    </mc:AlternateContent>
    <mc:AlternateContent xmlns:mc="http://schemas.openxmlformats.org/markup-compatibility/2006">
      <mc:Choice Requires="x14">
        <control shapeId="111622" r:id="rId10" name="CommandButton6">
          <controlPr defaultSize="0" autoLine="0" autoPict="0" r:id="rId11">
            <anchor moveWithCells="1" sizeWithCells="1">
              <from>
                <xdr:col>2</xdr:col>
                <xdr:colOff>390525</xdr:colOff>
                <xdr:row>2</xdr:row>
                <xdr:rowOff>28575</xdr:rowOff>
              </from>
              <to>
                <xdr:col>4</xdr:col>
                <xdr:colOff>619125</xdr:colOff>
                <xdr:row>2</xdr:row>
                <xdr:rowOff>323850</xdr:rowOff>
              </to>
            </anchor>
          </controlPr>
        </control>
      </mc:Choice>
      <mc:Fallback>
        <control shapeId="111622" r:id="rId10" name="CommandButton6"/>
      </mc:Fallback>
    </mc:AlternateContent>
    <mc:AlternateContent xmlns:mc="http://schemas.openxmlformats.org/markup-compatibility/2006">
      <mc:Choice Requires="x14">
        <control shapeId="111617" r:id="rId12" name="CommandButton1">
          <controlPr defaultSize="0" autoLine="0" autoPict="0" r:id="rId13">
            <anchor moveWithCells="1" sizeWithCells="1">
              <from>
                <xdr:col>0</xdr:col>
                <xdr:colOff>28575</xdr:colOff>
                <xdr:row>2</xdr:row>
                <xdr:rowOff>47625</xdr:rowOff>
              </from>
              <to>
                <xdr:col>1</xdr:col>
                <xdr:colOff>495300</xdr:colOff>
                <xdr:row>2</xdr:row>
                <xdr:rowOff>342900</xdr:rowOff>
              </to>
            </anchor>
          </controlPr>
        </control>
      </mc:Choice>
      <mc:Fallback>
        <control shapeId="111617" r:id="rId12" name="CommandButton1"/>
      </mc:Fallback>
    </mc:AlternateContent>
    <mc:AlternateContent xmlns:mc="http://schemas.openxmlformats.org/markup-compatibility/2006">
      <mc:Choice Requires="x14">
        <control shapeId="111618" r:id="rId14" name="CommandButton2">
          <controlPr defaultSize="0" autoLine="0" autoPict="0" r:id="rId15">
            <anchor moveWithCells="1" sizeWithCells="1">
              <from>
                <xdr:col>1</xdr:col>
                <xdr:colOff>504825</xdr:colOff>
                <xdr:row>2</xdr:row>
                <xdr:rowOff>38100</xdr:rowOff>
              </from>
              <to>
                <xdr:col>2</xdr:col>
                <xdr:colOff>361950</xdr:colOff>
                <xdr:row>2</xdr:row>
                <xdr:rowOff>333375</xdr:rowOff>
              </to>
            </anchor>
          </controlPr>
        </control>
      </mc:Choice>
      <mc:Fallback>
        <control shapeId="111618" r:id="rId14" name="CommandButton2"/>
      </mc:Fallback>
    </mc:AlternateContent>
    <mc:AlternateContent xmlns:mc="http://schemas.openxmlformats.org/markup-compatibility/2006">
      <mc:Choice Requires="x14">
        <control shapeId="111619" r:id="rId16" name="CommandButton3">
          <controlPr defaultSize="0" autoLine="0" autoPict="0" r:id="rId17">
            <anchor moveWithCells="1">
              <from>
                <xdr:col>0</xdr:col>
                <xdr:colOff>9525</xdr:colOff>
                <xdr:row>8</xdr:row>
                <xdr:rowOff>28575</xdr:rowOff>
              </from>
              <to>
                <xdr:col>0</xdr:col>
                <xdr:colOff>47625</xdr:colOff>
                <xdr:row>8</xdr:row>
                <xdr:rowOff>28575</xdr:rowOff>
              </to>
            </anchor>
          </controlPr>
        </control>
      </mc:Choice>
      <mc:Fallback>
        <control shapeId="111619" r:id="rId16" name="CommandButton3"/>
      </mc:Fallback>
    </mc:AlternateContent>
    <mc:AlternateContent xmlns:mc="http://schemas.openxmlformats.org/markup-compatibility/2006">
      <mc:Choice Requires="x14">
        <control shapeId="111620" r:id="rId18" name="CommandButton4">
          <controlPr defaultSize="0" autoLine="0" autoPict="0" r:id="rId19">
            <anchor moveWithCells="1">
              <from>
                <xdr:col>0</xdr:col>
                <xdr:colOff>38100</xdr:colOff>
                <xdr:row>8</xdr:row>
                <xdr:rowOff>28575</xdr:rowOff>
              </from>
              <to>
                <xdr:col>0</xdr:col>
                <xdr:colOff>95250</xdr:colOff>
                <xdr:row>8</xdr:row>
                <xdr:rowOff>28575</xdr:rowOff>
              </to>
            </anchor>
          </controlPr>
        </control>
      </mc:Choice>
      <mc:Fallback>
        <control shapeId="111620" r:id="rId18" name="CommandButton4"/>
      </mc:Fallback>
    </mc:AlternateContent>
    <mc:AlternateContent xmlns:mc="http://schemas.openxmlformats.org/markup-compatibility/2006">
      <mc:Choice Requires="x14">
        <control shapeId="111621" r:id="rId20" name="CommandButton5">
          <controlPr defaultSize="0" autoLine="0" autoPict="0" r:id="rId21">
            <anchor moveWithCells="1">
              <from>
                <xdr:col>0</xdr:col>
                <xdr:colOff>95250</xdr:colOff>
                <xdr:row>8</xdr:row>
                <xdr:rowOff>28575</xdr:rowOff>
              </from>
              <to>
                <xdr:col>0</xdr:col>
                <xdr:colOff>142875</xdr:colOff>
                <xdr:row>8</xdr:row>
                <xdr:rowOff>28575</xdr:rowOff>
              </to>
            </anchor>
          </controlPr>
        </control>
      </mc:Choice>
      <mc:Fallback>
        <control shapeId="111621" r:id="rId20" name="CommandButton5"/>
      </mc:Fallback>
    </mc:AlternateContent>
    <mc:AlternateContent xmlns:mc="http://schemas.openxmlformats.org/markup-compatibility/2006">
      <mc:Choice Requires="x14">
        <control shapeId="111626" r:id="rId22" name="CommandButton10">
          <controlPr defaultSize="0" autoLine="0" r:id="rId23">
            <anchor moveWithCells="1" sizeWithCells="1">
              <from>
                <xdr:col>0</xdr:col>
                <xdr:colOff>28575</xdr:colOff>
                <xdr:row>2</xdr:row>
                <xdr:rowOff>371475</xdr:rowOff>
              </from>
              <to>
                <xdr:col>1</xdr:col>
                <xdr:colOff>733425</xdr:colOff>
                <xdr:row>2</xdr:row>
                <xdr:rowOff>666750</xdr:rowOff>
              </to>
            </anchor>
          </controlPr>
        </control>
      </mc:Choice>
      <mc:Fallback>
        <control shapeId="111626" r:id="rId22" name="CommandButton10"/>
      </mc:Fallback>
    </mc:AlternateContent>
    <mc:AlternateContent xmlns:mc="http://schemas.openxmlformats.org/markup-compatibility/2006">
      <mc:Choice Requires="x14">
        <control shapeId="111627" r:id="rId24" name="CommandButton11">
          <controlPr defaultSize="0" autoLine="0" r:id="rId25">
            <anchor moveWithCells="1" sizeWithCells="1">
              <from>
                <xdr:col>0</xdr:col>
                <xdr:colOff>9525</xdr:colOff>
                <xdr:row>495</xdr:row>
                <xdr:rowOff>85725</xdr:rowOff>
              </from>
              <to>
                <xdr:col>1</xdr:col>
                <xdr:colOff>714375</xdr:colOff>
                <xdr:row>497</xdr:row>
                <xdr:rowOff>57150</xdr:rowOff>
              </to>
            </anchor>
          </controlPr>
        </control>
      </mc:Choice>
      <mc:Fallback>
        <control shapeId="111627" r:id="rId24" name="CommandButton1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4">
    <tabColor theme="0"/>
  </sheetPr>
  <dimension ref="A1:AX185"/>
  <sheetViews>
    <sheetView showGridLines="0" showZeros="0" view="pageBreakPreview" zoomScale="115" zoomScaleNormal="115" zoomScaleSheetLayoutView="115" workbookViewId="0">
      <selection sqref="A1:M1"/>
    </sheetView>
  </sheetViews>
  <sheetFormatPr baseColWidth="10" defaultColWidth="11.42578125" defaultRowHeight="15.75" customHeight="1"/>
  <cols>
    <col min="1" max="1" width="7.140625" style="2" customWidth="1"/>
    <col min="2" max="2" width="49.5703125" style="88" customWidth="1"/>
    <col min="3" max="3" width="12.42578125" style="88" customWidth="1"/>
    <col min="4" max="4" width="14.5703125" style="2" customWidth="1"/>
    <col min="5" max="6" width="11.85546875" style="2" customWidth="1"/>
    <col min="7" max="7" width="10.7109375" style="2" customWidth="1"/>
    <col min="8" max="10" width="12.140625" style="2" customWidth="1"/>
    <col min="11" max="14" width="10.7109375" style="2" customWidth="1"/>
    <col min="15" max="50" width="11.42578125" style="252"/>
    <col min="51" max="16384" width="11.42578125" style="2"/>
  </cols>
  <sheetData>
    <row r="1" spans="1:14" s="244" customFormat="1" ht="15.75" customHeight="1">
      <c r="A1" s="1954" t="s">
        <v>3272</v>
      </c>
      <c r="B1" s="1954"/>
      <c r="C1" s="1954"/>
      <c r="D1" s="1954"/>
      <c r="E1" s="1954"/>
      <c r="F1" s="1954"/>
      <c r="G1" s="1954"/>
      <c r="H1" s="1954"/>
      <c r="I1" s="1954"/>
      <c r="J1" s="1954"/>
      <c r="K1" s="1954"/>
      <c r="L1" s="1954"/>
      <c r="M1" s="1954"/>
      <c r="N1" s="513"/>
    </row>
    <row r="2" spans="1:14" s="244" customFormat="1" ht="15.75" customHeight="1">
      <c r="A2" s="511"/>
      <c r="B2" s="511"/>
      <c r="C2" s="511"/>
      <c r="D2" s="511"/>
      <c r="E2" s="511"/>
      <c r="F2" s="511"/>
      <c r="G2" s="511"/>
      <c r="H2" s="511"/>
      <c r="I2" s="511"/>
      <c r="J2" s="511"/>
      <c r="K2" s="511"/>
      <c r="L2" s="511"/>
      <c r="M2" s="511"/>
      <c r="N2" s="513"/>
    </row>
    <row r="3" spans="1:14" s="244" customFormat="1" ht="15.75" customHeight="1">
      <c r="A3" s="511"/>
      <c r="B3" s="511"/>
      <c r="C3" s="511"/>
      <c r="D3" s="511"/>
      <c r="E3" s="511"/>
      <c r="F3" s="511"/>
      <c r="G3" s="511"/>
      <c r="H3" s="511"/>
      <c r="I3" s="511"/>
      <c r="J3" s="511"/>
      <c r="K3" s="511"/>
      <c r="L3" s="511"/>
      <c r="M3" s="511"/>
      <c r="N3" s="513"/>
    </row>
    <row r="4" spans="1:14" s="244" customFormat="1" ht="27" customHeight="1">
      <c r="A4" s="68"/>
      <c r="B4" s="1955" t="s">
        <v>2421</v>
      </c>
      <c r="C4" s="1955"/>
      <c r="D4" s="1955"/>
      <c r="E4" s="1955"/>
      <c r="F4" s="1955"/>
      <c r="G4" s="1955"/>
      <c r="H4" s="1955"/>
      <c r="I4" s="1955"/>
      <c r="J4" s="1955"/>
      <c r="K4" s="222"/>
      <c r="L4" s="222"/>
      <c r="M4" s="222"/>
      <c r="N4" s="222"/>
    </row>
    <row r="5" spans="1:14" s="244" customFormat="1" ht="73.5" customHeight="1">
      <c r="A5" s="68"/>
      <c r="B5" s="512" t="s">
        <v>7</v>
      </c>
      <c r="C5" s="512" t="s">
        <v>11</v>
      </c>
      <c r="D5" s="512" t="s">
        <v>2422</v>
      </c>
      <c r="E5" s="512" t="s">
        <v>2423</v>
      </c>
      <c r="F5" s="512" t="s">
        <v>2424</v>
      </c>
      <c r="G5" s="512" t="s">
        <v>3270</v>
      </c>
      <c r="H5" s="512" t="s">
        <v>2425</v>
      </c>
      <c r="I5" s="512" t="s">
        <v>2426</v>
      </c>
      <c r="J5" s="512" t="s">
        <v>2427</v>
      </c>
    </row>
    <row r="6" spans="1:14" s="244" customFormat="1" ht="15.75" customHeight="1">
      <c r="A6" s="68"/>
      <c r="B6" s="231" t="s">
        <v>407</v>
      </c>
      <c r="C6" s="234"/>
      <c r="D6" s="234"/>
      <c r="E6" s="234"/>
      <c r="F6" s="234"/>
      <c r="G6" s="234"/>
      <c r="H6" s="238"/>
      <c r="I6" s="238"/>
      <c r="J6" s="238"/>
    </row>
    <row r="7" spans="1:14" s="244" customFormat="1" ht="15.75" customHeight="1">
      <c r="A7" s="68"/>
      <c r="B7" s="224" t="s">
        <v>2428</v>
      </c>
      <c r="C7" s="234" t="s">
        <v>11</v>
      </c>
      <c r="D7" s="243">
        <f>'Planteamiento Técnico'!D37</f>
        <v>0</v>
      </c>
      <c r="E7" s="243">
        <f>'Planteamiento Técnico'!E37</f>
        <v>0</v>
      </c>
      <c r="F7" s="243">
        <f>'Planteamiento Técnico'!F37</f>
        <v>0</v>
      </c>
      <c r="G7" s="286"/>
      <c r="H7" s="236">
        <f>+D7*$G$7</f>
        <v>0</v>
      </c>
      <c r="I7" s="236">
        <f>+E7*$G$7</f>
        <v>0</v>
      </c>
      <c r="J7" s="236">
        <f>+F7*$G$7</f>
        <v>0</v>
      </c>
    </row>
    <row r="8" spans="1:14" s="244" customFormat="1" ht="15.75" customHeight="1">
      <c r="A8" s="68"/>
      <c r="B8" s="224" t="s">
        <v>2429</v>
      </c>
      <c r="C8" s="234" t="s">
        <v>11</v>
      </c>
      <c r="D8" s="243">
        <f>'Planteamiento Técnico'!D38</f>
        <v>0</v>
      </c>
      <c r="E8" s="243">
        <f>'Planteamiento Técnico'!E38</f>
        <v>0</v>
      </c>
      <c r="F8" s="243">
        <f>'Planteamiento Técnico'!F38</f>
        <v>0</v>
      </c>
      <c r="G8" s="286"/>
      <c r="H8" s="236">
        <f>+D8*$G$8</f>
        <v>0</v>
      </c>
      <c r="I8" s="236">
        <f>+E8*$G$8</f>
        <v>0</v>
      </c>
      <c r="J8" s="236">
        <f>+F8*$G$8</f>
        <v>0</v>
      </c>
    </row>
    <row r="9" spans="1:14" s="244" customFormat="1" ht="15.75" customHeight="1">
      <c r="A9" s="68"/>
      <c r="B9" s="224" t="s">
        <v>724</v>
      </c>
      <c r="C9" s="234" t="s">
        <v>11</v>
      </c>
      <c r="D9" s="243">
        <f>'Planteamiento Técnico'!D39</f>
        <v>0</v>
      </c>
      <c r="E9" s="243">
        <f>'Planteamiento Técnico'!E39</f>
        <v>0</v>
      </c>
      <c r="F9" s="243">
        <f>'Planteamiento Técnico'!F39</f>
        <v>0</v>
      </c>
      <c r="G9" s="286"/>
      <c r="H9" s="236">
        <f>+D9*$G$9</f>
        <v>0</v>
      </c>
      <c r="I9" s="236">
        <f>+E9*$G$9</f>
        <v>0</v>
      </c>
      <c r="J9" s="236">
        <f>+F9*$G$9</f>
        <v>0</v>
      </c>
    </row>
    <row r="10" spans="1:14" s="245" customFormat="1" ht="15.75" customHeight="1">
      <c r="A10" s="250"/>
      <c r="B10" s="1948" t="s">
        <v>125</v>
      </c>
      <c r="C10" s="1948"/>
      <c r="D10" s="1948"/>
      <c r="E10" s="1948"/>
      <c r="F10" s="1948"/>
      <c r="G10" s="1948"/>
      <c r="H10" s="225">
        <f>SUM(H7:H9)</f>
        <v>0</v>
      </c>
      <c r="I10" s="225">
        <f>SUM(I7:I9)</f>
        <v>0</v>
      </c>
      <c r="J10" s="225">
        <f>SUM(J7:J9)</f>
        <v>0</v>
      </c>
    </row>
    <row r="11" spans="1:14" s="245" customFormat="1" ht="15.75" customHeight="1">
      <c r="A11" s="250"/>
      <c r="B11" s="9"/>
      <c r="C11" s="9"/>
      <c r="D11" s="9"/>
      <c r="E11" s="9"/>
      <c r="F11" s="9"/>
      <c r="G11" s="9"/>
      <c r="H11" s="9"/>
      <c r="I11" s="9"/>
      <c r="J11" s="9"/>
    </row>
    <row r="12" spans="1:14" s="245" customFormat="1" ht="15.75" customHeight="1"/>
    <row r="13" spans="1:14" s="244" customFormat="1" ht="15.75" customHeight="1">
      <c r="A13" s="1949" t="s">
        <v>2430</v>
      </c>
      <c r="B13" s="1694"/>
      <c r="C13" s="1694"/>
      <c r="D13" s="1694"/>
      <c r="E13" s="1694"/>
      <c r="F13" s="1694"/>
      <c r="G13" s="1694"/>
      <c r="H13" s="1694"/>
      <c r="I13" s="1694"/>
      <c r="J13" s="1694"/>
      <c r="K13" s="1694"/>
      <c r="L13" s="1694"/>
      <c r="M13" s="1694"/>
    </row>
    <row r="14" spans="1:14" s="244" customFormat="1" ht="15.75" customHeight="1">
      <c r="A14" s="68"/>
      <c r="B14" s="68"/>
      <c r="C14" s="68"/>
      <c r="D14" s="68"/>
      <c r="E14" s="68"/>
      <c r="F14" s="68"/>
      <c r="G14" s="68"/>
      <c r="H14" s="68"/>
      <c r="I14" s="68"/>
      <c r="J14" s="68"/>
    </row>
    <row r="15" spans="1:14" s="244" customFormat="1" ht="63.75" customHeight="1">
      <c r="A15" s="68"/>
      <c r="B15" s="512" t="s">
        <v>7</v>
      </c>
      <c r="C15" s="512" t="s">
        <v>11</v>
      </c>
      <c r="D15" s="512" t="s">
        <v>2422</v>
      </c>
      <c r="E15" s="512" t="s">
        <v>2423</v>
      </c>
      <c r="F15" s="512" t="s">
        <v>2424</v>
      </c>
      <c r="G15" s="512" t="s">
        <v>3270</v>
      </c>
      <c r="H15" s="512" t="s">
        <v>2425</v>
      </c>
      <c r="I15" s="512" t="s">
        <v>2426</v>
      </c>
      <c r="J15" s="512" t="s">
        <v>2427</v>
      </c>
    </row>
    <row r="16" spans="1:14" s="244" customFormat="1" ht="15.75" customHeight="1">
      <c r="A16" s="68"/>
      <c r="B16" s="231" t="s">
        <v>407</v>
      </c>
      <c r="C16" s="234"/>
      <c r="D16" s="234"/>
      <c r="E16" s="234"/>
      <c r="F16" s="234"/>
      <c r="G16" s="234"/>
      <c r="H16" s="238"/>
      <c r="I16" s="238"/>
      <c r="J16" s="238"/>
    </row>
    <row r="17" spans="1:13" s="244" customFormat="1" ht="15.75" customHeight="1">
      <c r="A17" s="68"/>
      <c r="B17" s="224" t="s">
        <v>2431</v>
      </c>
      <c r="C17" s="234" t="s">
        <v>11</v>
      </c>
      <c r="D17" s="243">
        <f>'Planteamiento Técnico'!E68+'Planteamiento Técnico'!E110</f>
        <v>0</v>
      </c>
      <c r="E17" s="243">
        <f>'Planteamiento Técnico'!F68+'Planteamiento Técnico'!F110</f>
        <v>0</v>
      </c>
      <c r="F17" s="243">
        <f>'Planteamiento Técnico'!G68+'Planteamiento Técnico'!G110</f>
        <v>0</v>
      </c>
      <c r="G17" s="286"/>
      <c r="H17" s="236">
        <f>+D17*$G$17</f>
        <v>0</v>
      </c>
      <c r="I17" s="236">
        <f>+E17*$G$17</f>
        <v>0</v>
      </c>
      <c r="J17" s="236">
        <f>+F17*$G$17</f>
        <v>0</v>
      </c>
    </row>
    <row r="18" spans="1:13" s="245" customFormat="1" ht="15.75" customHeight="1">
      <c r="A18" s="250"/>
      <c r="B18" s="1948" t="s">
        <v>125</v>
      </c>
      <c r="C18" s="1948"/>
      <c r="D18" s="1948"/>
      <c r="E18" s="1948"/>
      <c r="F18" s="1948"/>
      <c r="G18" s="1948"/>
      <c r="H18" s="225">
        <f>SUM(H17:H17)</f>
        <v>0</v>
      </c>
      <c r="I18" s="225">
        <f>SUM(I17:I17)</f>
        <v>0</v>
      </c>
      <c r="J18" s="225">
        <f>SUM(J17:J17)</f>
        <v>0</v>
      </c>
    </row>
    <row r="19" spans="1:13" s="244" customFormat="1" ht="15.75" customHeight="1"/>
    <row r="20" spans="1:13" s="244" customFormat="1" ht="15.75" customHeight="1">
      <c r="A20" s="68"/>
      <c r="B20" s="68"/>
      <c r="C20" s="68"/>
      <c r="D20" s="68"/>
      <c r="E20" s="68"/>
      <c r="F20" s="68"/>
      <c r="G20" s="68"/>
      <c r="H20" s="68"/>
      <c r="I20" s="68"/>
      <c r="J20" s="68"/>
    </row>
    <row r="21" spans="1:13" s="244" customFormat="1" ht="63.75" customHeight="1">
      <c r="A21" s="68"/>
      <c r="B21" s="512" t="s">
        <v>7</v>
      </c>
      <c r="C21" s="512" t="s">
        <v>11</v>
      </c>
      <c r="D21" s="512" t="s">
        <v>4</v>
      </c>
      <c r="E21" s="512" t="s">
        <v>2444</v>
      </c>
      <c r="F21" s="512" t="s">
        <v>2445</v>
      </c>
    </row>
    <row r="22" spans="1:13" s="244" customFormat="1" ht="15.75" customHeight="1">
      <c r="A22" s="68"/>
      <c r="B22" s="231" t="s">
        <v>407</v>
      </c>
      <c r="C22" s="234"/>
      <c r="D22" s="234"/>
      <c r="E22" s="234"/>
      <c r="F22" s="234"/>
    </row>
    <row r="23" spans="1:13" s="244" customFormat="1" ht="15.75" customHeight="1">
      <c r="A23" s="68"/>
      <c r="B23" s="224">
        <f>'Planteamiento Técnico'!B112</f>
        <v>0</v>
      </c>
      <c r="C23" s="234" t="s">
        <v>11</v>
      </c>
      <c r="D23" s="234" t="b">
        <f>'Planteamiento Técnico'!F112</f>
        <v>0</v>
      </c>
      <c r="E23" s="517"/>
      <c r="F23" s="243">
        <f>D23*E23</f>
        <v>0</v>
      </c>
    </row>
    <row r="24" spans="1:13" s="245" customFormat="1" ht="15.75" customHeight="1">
      <c r="A24" s="250"/>
      <c r="B24" s="1944" t="s">
        <v>125</v>
      </c>
      <c r="C24" s="1945"/>
      <c r="D24" s="1945"/>
      <c r="E24" s="1946"/>
      <c r="F24" s="259">
        <f>F23</f>
        <v>0</v>
      </c>
    </row>
    <row r="25" spans="1:13" s="244" customFormat="1" ht="15.75" customHeight="1" thickBot="1"/>
    <row r="26" spans="1:13" s="244" customFormat="1" ht="15.75" customHeight="1" thickBot="1">
      <c r="A26" s="1950" t="s">
        <v>2432</v>
      </c>
      <c r="B26" s="1951"/>
      <c r="C26" s="1951"/>
      <c r="D26" s="1951"/>
      <c r="E26" s="1951"/>
      <c r="F26" s="1951"/>
      <c r="G26" s="1951"/>
      <c r="H26" s="1951"/>
      <c r="I26" s="1951"/>
      <c r="J26" s="1951"/>
      <c r="K26" s="1951"/>
      <c r="L26" s="1951"/>
      <c r="M26" s="1952"/>
    </row>
    <row r="27" spans="1:13" s="244" customFormat="1" ht="15.75" customHeight="1">
      <c r="A27" s="68"/>
      <c r="B27" s="68"/>
      <c r="C27" s="68"/>
      <c r="D27" s="68"/>
      <c r="E27" s="68"/>
      <c r="F27" s="68"/>
      <c r="G27" s="68"/>
      <c r="H27" s="68"/>
      <c r="I27" s="68"/>
      <c r="J27" s="68"/>
    </row>
    <row r="28" spans="1:13" s="244" customFormat="1" ht="30" customHeight="1">
      <c r="A28" s="68"/>
      <c r="B28" s="512" t="s">
        <v>7</v>
      </c>
      <c r="C28" s="512" t="s">
        <v>11</v>
      </c>
      <c r="D28" s="512" t="s">
        <v>4</v>
      </c>
      <c r="E28" s="512" t="s">
        <v>2444</v>
      </c>
      <c r="F28" s="512" t="s">
        <v>2445</v>
      </c>
    </row>
    <row r="29" spans="1:13" s="244" customFormat="1" ht="27.75" customHeight="1">
      <c r="A29" s="68"/>
      <c r="B29" s="249" t="s">
        <v>2918</v>
      </c>
      <c r="C29" s="247"/>
      <c r="D29" s="236"/>
      <c r="E29" s="236"/>
      <c r="F29" s="236"/>
    </row>
    <row r="30" spans="1:13" s="244" customFormat="1" ht="15.75" customHeight="1">
      <c r="A30" s="68"/>
      <c r="B30" s="249" t="s">
        <v>2446</v>
      </c>
      <c r="C30" s="247"/>
      <c r="D30" s="236"/>
      <c r="E30" s="236"/>
      <c r="F30" s="236"/>
    </row>
    <row r="31" spans="1:13" s="244" customFormat="1" ht="15.75" customHeight="1">
      <c r="A31" s="68"/>
      <c r="B31" s="249" t="s">
        <v>2709</v>
      </c>
      <c r="C31" s="247"/>
      <c r="D31" s="236"/>
      <c r="E31" s="236"/>
      <c r="F31" s="236"/>
    </row>
    <row r="32" spans="1:13" s="244" customFormat="1" ht="15.75" customHeight="1">
      <c r="A32" s="68"/>
      <c r="B32" s="223" t="str">
        <f>'Planteamiento Técnico'!B153</f>
        <v>Camión Compactador 4 m3 - con alza contenedor</v>
      </c>
      <c r="C32" s="247" t="s">
        <v>11</v>
      </c>
      <c r="D32" s="236">
        <f>'Planteamiento Técnico'!J153</f>
        <v>0</v>
      </c>
      <c r="E32" s="286"/>
      <c r="F32" s="236">
        <f t="shared" ref="F32:F37" si="0">D32*E32</f>
        <v>0</v>
      </c>
    </row>
    <row r="33" spans="1:6" s="244" customFormat="1" ht="15.75" customHeight="1">
      <c r="A33" s="68"/>
      <c r="B33" s="223" t="str">
        <f>'Planteamiento Técnico'!B154</f>
        <v>Camión Compactador 4 m3 - sin alza contenedor</v>
      </c>
      <c r="C33" s="247" t="s">
        <v>11</v>
      </c>
      <c r="D33" s="236">
        <f>'Planteamiento Técnico'!J154</f>
        <v>0</v>
      </c>
      <c r="E33" s="286"/>
      <c r="F33" s="236">
        <f t="shared" si="0"/>
        <v>0</v>
      </c>
    </row>
    <row r="34" spans="1:6" s="244" customFormat="1" ht="15.75" customHeight="1">
      <c r="A34" s="68"/>
      <c r="B34" s="223" t="str">
        <f>'Planteamiento Técnico'!B155</f>
        <v>Camión Compactador 6 m3 - con alza contenedor</v>
      </c>
      <c r="C34" s="247" t="s">
        <v>11</v>
      </c>
      <c r="D34" s="236">
        <f>'Planteamiento Técnico'!J155</f>
        <v>0</v>
      </c>
      <c r="E34" s="286"/>
      <c r="F34" s="236">
        <f t="shared" si="0"/>
        <v>0</v>
      </c>
    </row>
    <row r="35" spans="1:6" s="244" customFormat="1" ht="15.75" customHeight="1">
      <c r="A35" s="68"/>
      <c r="B35" s="223" t="str">
        <f>'Planteamiento Técnico'!B156</f>
        <v>Camión Compactador 6 m3 sin alza contenedor</v>
      </c>
      <c r="C35" s="247" t="s">
        <v>11</v>
      </c>
      <c r="D35" s="236">
        <f>'Planteamiento Técnico'!J156</f>
        <v>0</v>
      </c>
      <c r="E35" s="286"/>
      <c r="F35" s="236">
        <f t="shared" si="0"/>
        <v>0</v>
      </c>
    </row>
    <row r="36" spans="1:6" s="244" customFormat="1" ht="15.75" customHeight="1">
      <c r="A36" s="68"/>
      <c r="B36" s="223" t="str">
        <f>'Planteamiento Técnico'!B157</f>
        <v>Camión Baranda 4 m3</v>
      </c>
      <c r="C36" s="247" t="s">
        <v>11</v>
      </c>
      <c r="D36" s="236">
        <f>'Planteamiento Técnico'!J157</f>
        <v>0</v>
      </c>
      <c r="E36" s="286"/>
      <c r="F36" s="236">
        <f t="shared" si="0"/>
        <v>0</v>
      </c>
    </row>
    <row r="37" spans="1:6" s="244" customFormat="1" ht="15.75" customHeight="1">
      <c r="A37" s="68"/>
      <c r="B37" s="223" t="str">
        <f>'Planteamiento Técnico'!B158</f>
        <v>Camión Baranda 8 m3</v>
      </c>
      <c r="C37" s="247" t="s">
        <v>11</v>
      </c>
      <c r="D37" s="236">
        <f>'Planteamiento Técnico'!J158</f>
        <v>0</v>
      </c>
      <c r="E37" s="286"/>
      <c r="F37" s="236">
        <f t="shared" si="0"/>
        <v>0</v>
      </c>
    </row>
    <row r="38" spans="1:6" s="244" customFormat="1" ht="15.75" customHeight="1">
      <c r="A38" s="68"/>
      <c r="B38" s="249" t="s">
        <v>2709</v>
      </c>
      <c r="C38" s="247"/>
      <c r="D38" s="236"/>
      <c r="E38" s="236"/>
      <c r="F38" s="236"/>
    </row>
    <row r="39" spans="1:6" s="244" customFormat="1" ht="15.75" customHeight="1">
      <c r="A39" s="68"/>
      <c r="B39" s="223" t="str">
        <f>'Planteamiento Técnico'!B256</f>
        <v>Camión Compactador 6 m3 - con alza contenedor</v>
      </c>
      <c r="C39" s="247" t="s">
        <v>11</v>
      </c>
      <c r="D39" s="236">
        <f>'Planteamiento Técnico'!J256</f>
        <v>0</v>
      </c>
      <c r="E39" s="286"/>
      <c r="F39" s="236">
        <f t="shared" ref="F39:F47" si="1">D39*E39</f>
        <v>0</v>
      </c>
    </row>
    <row r="40" spans="1:6" s="244" customFormat="1" ht="15.75" customHeight="1">
      <c r="A40" s="68"/>
      <c r="B40" s="223" t="str">
        <f>'Planteamiento Técnico'!B257</f>
        <v>Camión Compactador 6 m3 sin alza contenedor</v>
      </c>
      <c r="C40" s="247" t="s">
        <v>11</v>
      </c>
      <c r="D40" s="236">
        <f>'Planteamiento Técnico'!J257</f>
        <v>0</v>
      </c>
      <c r="E40" s="286"/>
      <c r="F40" s="236">
        <f t="shared" si="1"/>
        <v>0</v>
      </c>
    </row>
    <row r="41" spans="1:6" s="244" customFormat="1" ht="15.75" customHeight="1">
      <c r="A41" s="68"/>
      <c r="B41" s="223" t="str">
        <f>'Planteamiento Técnico'!B258</f>
        <v>Camión Compactador 8 m3 - con alza contenedor</v>
      </c>
      <c r="C41" s="247" t="s">
        <v>11</v>
      </c>
      <c r="D41" s="236">
        <f>'Planteamiento Técnico'!J258</f>
        <v>0</v>
      </c>
      <c r="E41" s="286"/>
      <c r="F41" s="236">
        <f t="shared" si="1"/>
        <v>0</v>
      </c>
    </row>
    <row r="42" spans="1:6" s="244" customFormat="1" ht="15.75" customHeight="1">
      <c r="A42" s="68"/>
      <c r="B42" s="223" t="str">
        <f>'Planteamiento Técnico'!B259</f>
        <v xml:space="preserve">Camión Compactador 10 m3 sin alza contenedor </v>
      </c>
      <c r="C42" s="247" t="s">
        <v>11</v>
      </c>
      <c r="D42" s="236">
        <f>'Planteamiento Técnico'!J259</f>
        <v>0</v>
      </c>
      <c r="E42" s="286"/>
      <c r="F42" s="236">
        <f t="shared" si="1"/>
        <v>0</v>
      </c>
    </row>
    <row r="43" spans="1:6" s="244" customFormat="1" ht="15.75" customHeight="1">
      <c r="A43" s="68"/>
      <c r="B43" s="223" t="str">
        <f>'Planteamiento Técnico'!B260</f>
        <v>Camión Compactador 10 m3 - con alza contenedor</v>
      </c>
      <c r="C43" s="247" t="s">
        <v>11</v>
      </c>
      <c r="D43" s="236">
        <f>'Planteamiento Técnico'!J260</f>
        <v>0</v>
      </c>
      <c r="E43" s="286"/>
      <c r="F43" s="236">
        <f t="shared" si="1"/>
        <v>0</v>
      </c>
    </row>
    <row r="44" spans="1:6" s="244" customFormat="1" ht="15.75" customHeight="1">
      <c r="A44" s="68"/>
      <c r="B44" s="223" t="str">
        <f>'Planteamiento Técnico'!B261</f>
        <v xml:space="preserve">Camión Compactador 10 m3 sin alza contenedor </v>
      </c>
      <c r="C44" s="247" t="s">
        <v>11</v>
      </c>
      <c r="D44" s="236">
        <f>'Planteamiento Técnico'!J261</f>
        <v>0</v>
      </c>
      <c r="E44" s="286"/>
      <c r="F44" s="236">
        <f t="shared" si="1"/>
        <v>0</v>
      </c>
    </row>
    <row r="45" spans="1:6" s="244" customFormat="1" ht="15.75" customHeight="1">
      <c r="A45" s="68"/>
      <c r="B45" s="223" t="str">
        <f>'Planteamiento Técnico'!B262</f>
        <v>Camión Compactador 12 m3 - con alza contenedor</v>
      </c>
      <c r="C45" s="247" t="s">
        <v>11</v>
      </c>
      <c r="D45" s="236">
        <f>'Planteamiento Técnico'!J262</f>
        <v>0</v>
      </c>
      <c r="E45" s="286"/>
      <c r="F45" s="236">
        <f t="shared" si="1"/>
        <v>0</v>
      </c>
    </row>
    <row r="46" spans="1:6" s="244" customFormat="1" ht="15.75" customHeight="1">
      <c r="A46" s="68"/>
      <c r="B46" s="223" t="str">
        <f>'Planteamiento Técnico'!B263</f>
        <v>Camión Compactador 12 m3 sin alza contenedor</v>
      </c>
      <c r="C46" s="247" t="s">
        <v>11</v>
      </c>
      <c r="D46" s="236">
        <f>'Planteamiento Técnico'!J263</f>
        <v>0</v>
      </c>
      <c r="E46" s="286"/>
      <c r="F46" s="236">
        <f t="shared" si="1"/>
        <v>0</v>
      </c>
    </row>
    <row r="47" spans="1:6" s="244" customFormat="1" ht="15.75" customHeight="1">
      <c r="A47" s="68"/>
      <c r="B47" s="223" t="str">
        <f>'Planteamiento Técnico'!B264</f>
        <v>Camión Compactador 15 m3 - con alza contenedor</v>
      </c>
      <c r="C47" s="247" t="s">
        <v>11</v>
      </c>
      <c r="D47" s="236">
        <f>'Planteamiento Técnico'!J264</f>
        <v>0</v>
      </c>
      <c r="E47" s="286"/>
      <c r="F47" s="236">
        <f t="shared" si="1"/>
        <v>0</v>
      </c>
    </row>
    <row r="48" spans="1:6" s="244" customFormat="1" ht="15.75" customHeight="1">
      <c r="A48" s="68"/>
      <c r="B48" s="223" t="str">
        <f>'Planteamiento Técnico'!B265</f>
        <v>Camión Compactador 15 m3 sin alza contenedor</v>
      </c>
      <c r="C48" s="247" t="s">
        <v>11</v>
      </c>
      <c r="D48" s="236">
        <f>'Planteamiento Técnico'!J265</f>
        <v>0</v>
      </c>
      <c r="E48" s="286"/>
      <c r="F48" s="236">
        <f>D48*E48</f>
        <v>0</v>
      </c>
    </row>
    <row r="49" spans="1:6" s="244" customFormat="1" ht="15.75" customHeight="1">
      <c r="A49" s="68"/>
      <c r="B49" s="1947" t="s">
        <v>10</v>
      </c>
      <c r="C49" s="1947"/>
      <c r="D49" s="1947"/>
      <c r="E49" s="1947"/>
      <c r="F49" s="238">
        <f>SUM(F29:F48)</f>
        <v>0</v>
      </c>
    </row>
    <row r="50" spans="1:6" s="244" customFormat="1" ht="15.75" customHeight="1">
      <c r="A50" s="68"/>
      <c r="B50" s="237"/>
      <c r="C50" s="64"/>
      <c r="D50" s="64"/>
      <c r="E50" s="64"/>
    </row>
    <row r="51" spans="1:6" s="244" customFormat="1" ht="26.25" customHeight="1">
      <c r="A51" s="68"/>
      <c r="B51" s="512" t="s">
        <v>7</v>
      </c>
      <c r="C51" s="512" t="s">
        <v>11</v>
      </c>
      <c r="D51" s="512" t="s">
        <v>4</v>
      </c>
      <c r="E51" s="512" t="s">
        <v>2444</v>
      </c>
      <c r="F51" s="512" t="s">
        <v>2445</v>
      </c>
    </row>
    <row r="52" spans="1:6" s="244" customFormat="1" ht="30.75" customHeight="1">
      <c r="A52" s="68"/>
      <c r="B52" s="249" t="s">
        <v>2918</v>
      </c>
      <c r="C52" s="247"/>
      <c r="D52" s="236"/>
      <c r="E52" s="236"/>
      <c r="F52" s="236"/>
    </row>
    <row r="53" spans="1:6" s="244" customFormat="1" ht="15.75" customHeight="1">
      <c r="A53" s="68"/>
      <c r="B53" s="249" t="s">
        <v>2447</v>
      </c>
      <c r="C53" s="247"/>
      <c r="D53" s="236"/>
      <c r="E53" s="236"/>
      <c r="F53" s="236"/>
    </row>
    <row r="54" spans="1:6" s="244" customFormat="1" ht="15.75" customHeight="1">
      <c r="A54" s="68"/>
      <c r="B54" s="249" t="s">
        <v>2709</v>
      </c>
      <c r="C54" s="247"/>
      <c r="D54" s="236"/>
      <c r="E54" s="236"/>
      <c r="F54" s="236"/>
    </row>
    <row r="55" spans="1:6" s="244" customFormat="1" ht="15.75" customHeight="1">
      <c r="A55" s="68"/>
      <c r="B55" s="223" t="str">
        <f>'Planteamiento Técnico'!B162</f>
        <v>Vehículo tipo Trimóvil</v>
      </c>
      <c r="C55" s="247" t="s">
        <v>11</v>
      </c>
      <c r="D55" s="236">
        <f>'Planteamiento Técnico'!J162</f>
        <v>0</v>
      </c>
      <c r="E55" s="286"/>
      <c r="F55" s="236">
        <f>D55*E55</f>
        <v>0</v>
      </c>
    </row>
    <row r="56" spans="1:6" s="244" customFormat="1" ht="15.75" customHeight="1">
      <c r="A56" s="68"/>
      <c r="B56" s="223" t="str">
        <f>'Planteamiento Técnico'!B163</f>
        <v>Vehículo tipo Trimóvil</v>
      </c>
      <c r="C56" s="247" t="s">
        <v>11</v>
      </c>
      <c r="D56" s="236">
        <f>'Planteamiento Técnico'!J163</f>
        <v>0</v>
      </c>
      <c r="E56" s="286"/>
      <c r="F56" s="236">
        <f>D56*E56</f>
        <v>0</v>
      </c>
    </row>
    <row r="57" spans="1:6" s="244" customFormat="1" ht="15.75" customHeight="1">
      <c r="A57" s="68"/>
      <c r="B57" s="223" t="str">
        <f>'Planteamiento Técnico'!B164</f>
        <v>Otros (especifique)</v>
      </c>
      <c r="C57" s="247" t="s">
        <v>11</v>
      </c>
      <c r="D57" s="236">
        <f>'Planteamiento Técnico'!J164</f>
        <v>0</v>
      </c>
      <c r="E57" s="286"/>
      <c r="F57" s="236">
        <f>D57*E57</f>
        <v>0</v>
      </c>
    </row>
    <row r="58" spans="1:6" s="244" customFormat="1" ht="15.75" customHeight="1">
      <c r="A58" s="68"/>
      <c r="B58" s="1947" t="s">
        <v>10</v>
      </c>
      <c r="C58" s="1947"/>
      <c r="D58" s="1947"/>
      <c r="E58" s="1947"/>
      <c r="F58" s="238">
        <f>SUM(F52:F57)</f>
        <v>0</v>
      </c>
    </row>
    <row r="59" spans="1:6" s="244" customFormat="1" ht="15.75" customHeight="1"/>
    <row r="60" spans="1:6" s="244" customFormat="1" ht="25.5" customHeight="1">
      <c r="A60" s="68"/>
      <c r="B60" s="512" t="s">
        <v>7</v>
      </c>
      <c r="C60" s="512" t="s">
        <v>11</v>
      </c>
      <c r="D60" s="512" t="s">
        <v>4</v>
      </c>
      <c r="E60" s="512" t="s">
        <v>2444</v>
      </c>
      <c r="F60" s="512" t="s">
        <v>2445</v>
      </c>
    </row>
    <row r="61" spans="1:6" s="244" customFormat="1" ht="25.5" customHeight="1">
      <c r="A61" s="68"/>
      <c r="B61" s="240" t="s">
        <v>2449</v>
      </c>
      <c r="C61" s="247"/>
      <c r="D61" s="236"/>
      <c r="E61" s="236"/>
      <c r="F61" s="236"/>
    </row>
    <row r="62" spans="1:6" s="244" customFormat="1" ht="15.75" customHeight="1">
      <c r="A62" s="68"/>
      <c r="B62" s="249" t="s">
        <v>2446</v>
      </c>
      <c r="C62" s="247"/>
      <c r="D62" s="236"/>
      <c r="E62" s="509"/>
      <c r="F62" s="508"/>
    </row>
    <row r="63" spans="1:6" s="244" customFormat="1" ht="15.75" customHeight="1">
      <c r="A63" s="68"/>
      <c r="B63" s="249" t="s">
        <v>2709</v>
      </c>
      <c r="C63" s="247"/>
      <c r="D63" s="236"/>
      <c r="E63" s="509"/>
      <c r="F63" s="236"/>
    </row>
    <row r="64" spans="1:6" s="244" customFormat="1" ht="15.75" customHeight="1">
      <c r="A64" s="68"/>
      <c r="B64" s="223">
        <f>'Planteamiento Técnico'!B184</f>
        <v>0</v>
      </c>
      <c r="C64" s="247" t="s">
        <v>11</v>
      </c>
      <c r="D64" s="236">
        <f>'Planteamiento Técnico'!J184</f>
        <v>0</v>
      </c>
      <c r="E64" s="286"/>
      <c r="F64" s="236">
        <f>D64*E64</f>
        <v>0</v>
      </c>
    </row>
    <row r="65" spans="1:6" s="244" customFormat="1" ht="15.75" customHeight="1">
      <c r="A65" s="68"/>
      <c r="B65" s="249" t="s">
        <v>3169</v>
      </c>
      <c r="C65" s="247"/>
      <c r="D65" s="236"/>
      <c r="E65" s="509"/>
      <c r="F65" s="236"/>
    </row>
    <row r="66" spans="1:6" s="244" customFormat="1" ht="15.75" customHeight="1">
      <c r="A66" s="68"/>
      <c r="B66" s="223" t="str">
        <f>'Planteamiento Técnico'!B279</f>
        <v>Camión Baranda</v>
      </c>
      <c r="C66" s="247" t="s">
        <v>11</v>
      </c>
      <c r="D66" s="236">
        <f>'Planteamiento Técnico'!H279</f>
        <v>0</v>
      </c>
      <c r="E66" s="286"/>
      <c r="F66" s="236">
        <f>D66*E66</f>
        <v>0</v>
      </c>
    </row>
    <row r="67" spans="1:6" s="244" customFormat="1" ht="15.75" customHeight="1">
      <c r="A67" s="68"/>
      <c r="B67" s="1947" t="s">
        <v>10</v>
      </c>
      <c r="C67" s="1947"/>
      <c r="D67" s="1947"/>
      <c r="E67" s="1947"/>
      <c r="F67" s="238">
        <f>SUM(F61:F66)</f>
        <v>0</v>
      </c>
    </row>
    <row r="68" spans="1:6" s="244" customFormat="1" ht="15.75" customHeight="1">
      <c r="A68" s="68"/>
      <c r="B68" s="248"/>
      <c r="C68" s="246"/>
      <c r="D68" s="246"/>
      <c r="E68" s="62"/>
    </row>
    <row r="69" spans="1:6" s="244" customFormat="1" ht="15.75" customHeight="1">
      <c r="A69" s="68"/>
      <c r="B69" s="248"/>
      <c r="C69" s="246"/>
      <c r="D69" s="246"/>
      <c r="E69" s="62"/>
    </row>
    <row r="70" spans="1:6" s="244" customFormat="1" ht="27.75" customHeight="1">
      <c r="A70" s="68"/>
      <c r="B70" s="512" t="s">
        <v>7</v>
      </c>
      <c r="C70" s="512" t="s">
        <v>11</v>
      </c>
      <c r="D70" s="512" t="s">
        <v>4</v>
      </c>
      <c r="E70" s="512" t="s">
        <v>2444</v>
      </c>
      <c r="F70" s="512" t="s">
        <v>2445</v>
      </c>
    </row>
    <row r="71" spans="1:6" s="244" customFormat="1" ht="29.25" customHeight="1">
      <c r="A71" s="68"/>
      <c r="B71" s="240" t="s">
        <v>2922</v>
      </c>
      <c r="D71" s="236"/>
      <c r="E71" s="236"/>
      <c r="F71" s="236"/>
    </row>
    <row r="72" spans="1:6" s="244" customFormat="1" ht="15.75" customHeight="1">
      <c r="A72" s="68"/>
      <c r="B72" s="249" t="s">
        <v>2450</v>
      </c>
      <c r="C72" s="247"/>
      <c r="D72" s="236"/>
      <c r="E72" s="236"/>
      <c r="F72" s="236"/>
    </row>
    <row r="73" spans="1:6" s="244" customFormat="1" ht="15.75" customHeight="1">
      <c r="A73" s="68"/>
      <c r="B73" s="249" t="s">
        <v>2709</v>
      </c>
      <c r="C73" s="247"/>
      <c r="D73" s="247"/>
      <c r="E73" s="236"/>
      <c r="F73" s="236"/>
    </row>
    <row r="74" spans="1:6" s="244" customFormat="1" ht="15.75" customHeight="1">
      <c r="A74" s="68"/>
      <c r="B74" s="223">
        <f>'Planteamiento Técnico'!B188</f>
        <v>0</v>
      </c>
      <c r="C74" s="247" t="s">
        <v>11</v>
      </c>
      <c r="D74" s="236">
        <f>'Planteamiento Técnico'!J188</f>
        <v>0</v>
      </c>
      <c r="E74" s="286"/>
      <c r="F74" s="236">
        <f>D74*E74</f>
        <v>0</v>
      </c>
    </row>
    <row r="75" spans="1:6" s="244" customFormat="1" ht="15.75" customHeight="1">
      <c r="A75" s="68"/>
      <c r="B75" s="223">
        <f>'Planteamiento Técnico'!B189</f>
        <v>0</v>
      </c>
      <c r="C75" s="247" t="s">
        <v>11</v>
      </c>
      <c r="D75" s="236">
        <f>'Planteamiento Técnico'!J189</f>
        <v>0</v>
      </c>
      <c r="E75" s="286"/>
      <c r="F75" s="236">
        <f>D75*E75</f>
        <v>0</v>
      </c>
    </row>
    <row r="76" spans="1:6" s="244" customFormat="1" ht="15.75" customHeight="1">
      <c r="A76" s="68"/>
      <c r="B76" s="223" t="str">
        <f>'Planteamiento Técnico'!B190</f>
        <v>Otros (especifique)</v>
      </c>
      <c r="C76" s="247" t="s">
        <v>11</v>
      </c>
      <c r="D76" s="236">
        <f>'Planteamiento Técnico'!J190</f>
        <v>0</v>
      </c>
      <c r="E76" s="286"/>
      <c r="F76" s="236">
        <f>D76*E76</f>
        <v>0</v>
      </c>
    </row>
    <row r="77" spans="1:6" s="244" customFormat="1" ht="15.75" customHeight="1">
      <c r="A77" s="68"/>
      <c r="B77" s="249" t="s">
        <v>3169</v>
      </c>
      <c r="C77" s="247"/>
      <c r="D77" s="236"/>
      <c r="E77" s="236"/>
      <c r="F77" s="236"/>
    </row>
    <row r="78" spans="1:6" s="244" customFormat="1" ht="15.75" customHeight="1">
      <c r="A78" s="68"/>
      <c r="B78" s="223" t="s">
        <v>739</v>
      </c>
      <c r="C78" s="247" t="s">
        <v>11</v>
      </c>
      <c r="D78" s="236">
        <f>'Planteamiento Técnico'!H283</f>
        <v>0</v>
      </c>
      <c r="E78" s="286"/>
      <c r="F78" s="236">
        <f>D78*E78</f>
        <v>0</v>
      </c>
    </row>
    <row r="79" spans="1:6" s="244" customFormat="1" ht="15.75" customHeight="1">
      <c r="A79" s="68"/>
      <c r="B79" s="223" t="s">
        <v>2268</v>
      </c>
      <c r="C79" s="247" t="s">
        <v>11</v>
      </c>
      <c r="D79" s="236">
        <f>'Planteamiento Técnico'!H284</f>
        <v>0</v>
      </c>
      <c r="E79" s="286"/>
      <c r="F79" s="236">
        <f>D79*E79</f>
        <v>0</v>
      </c>
    </row>
    <row r="80" spans="1:6" s="244" customFormat="1" ht="15.75" customHeight="1">
      <c r="A80" s="68"/>
      <c r="B80" s="223" t="s">
        <v>2448</v>
      </c>
      <c r="C80" s="247" t="s">
        <v>11</v>
      </c>
      <c r="D80" s="236">
        <f>'Planteamiento Técnico'!H285</f>
        <v>0</v>
      </c>
      <c r="E80" s="286"/>
      <c r="F80" s="236">
        <f>D80*E80</f>
        <v>0</v>
      </c>
    </row>
    <row r="81" spans="1:13" s="244" customFormat="1" ht="15.75" customHeight="1">
      <c r="A81" s="68"/>
      <c r="B81" s="1947" t="s">
        <v>10</v>
      </c>
      <c r="C81" s="1947"/>
      <c r="D81" s="1947"/>
      <c r="E81" s="1947"/>
      <c r="F81" s="238">
        <f>SUM(F71:F80)</f>
        <v>0</v>
      </c>
    </row>
    <row r="82" spans="1:13" s="244" customFormat="1" ht="15.75" customHeight="1" thickBot="1">
      <c r="A82" s="68"/>
      <c r="B82" s="246"/>
      <c r="C82" s="246"/>
      <c r="D82" s="246"/>
      <c r="E82" s="62"/>
    </row>
    <row r="83" spans="1:13" s="244" customFormat="1" ht="15.75" customHeight="1" thickBot="1">
      <c r="A83" s="1950" t="s">
        <v>2433</v>
      </c>
      <c r="B83" s="1951"/>
      <c r="C83" s="1951"/>
      <c r="D83" s="1951"/>
      <c r="E83" s="1951"/>
      <c r="F83" s="1951"/>
      <c r="G83" s="1951"/>
      <c r="H83" s="1951"/>
      <c r="I83" s="1951"/>
      <c r="J83" s="1951"/>
      <c r="K83" s="1951"/>
      <c r="L83" s="1951"/>
      <c r="M83" s="1952"/>
    </row>
    <row r="84" spans="1:13" s="244" customFormat="1" ht="15.75" customHeight="1">
      <c r="A84" s="68"/>
      <c r="B84" s="68"/>
      <c r="C84" s="68"/>
      <c r="D84" s="68"/>
      <c r="E84" s="68"/>
      <c r="F84" s="68"/>
      <c r="G84" s="68"/>
      <c r="H84" s="68"/>
      <c r="I84" s="68"/>
      <c r="J84" s="68"/>
    </row>
    <row r="85" spans="1:13" s="244" customFormat="1" ht="72.75" customHeight="1">
      <c r="A85" s="68"/>
      <c r="B85" s="512" t="s">
        <v>7</v>
      </c>
      <c r="C85" s="512" t="s">
        <v>11</v>
      </c>
      <c r="D85" s="512" t="s">
        <v>2422</v>
      </c>
      <c r="E85" s="512" t="s">
        <v>2423</v>
      </c>
      <c r="F85" s="512" t="s">
        <v>2424</v>
      </c>
      <c r="G85" s="512" t="s">
        <v>3270</v>
      </c>
      <c r="H85" s="512" t="s">
        <v>2425</v>
      </c>
      <c r="I85" s="512" t="s">
        <v>2426</v>
      </c>
      <c r="J85" s="512" t="s">
        <v>2427</v>
      </c>
    </row>
    <row r="86" spans="1:13" s="244" customFormat="1" ht="15.75" customHeight="1">
      <c r="A86" s="68"/>
      <c r="B86" s="231" t="s">
        <v>407</v>
      </c>
      <c r="C86" s="236"/>
      <c r="D86" s="234"/>
      <c r="E86" s="234"/>
      <c r="F86" s="234"/>
      <c r="G86" s="234"/>
      <c r="H86" s="236"/>
      <c r="I86" s="236"/>
      <c r="J86" s="236"/>
    </row>
    <row r="87" spans="1:13" s="244" customFormat="1" ht="15.75" customHeight="1">
      <c r="A87" s="68"/>
      <c r="B87" s="224" t="str">
        <f>'Planteamiento Técnico'!B366</f>
        <v>Balanza electrónica no mayor a 1 tonelada</v>
      </c>
      <c r="C87" s="247" t="s">
        <v>11</v>
      </c>
      <c r="D87" s="253">
        <f>'Planteamiento Técnico'!E366</f>
        <v>0</v>
      </c>
      <c r="E87" s="243">
        <f>D87</f>
        <v>0</v>
      </c>
      <c r="F87" s="243">
        <f>E87</f>
        <v>0</v>
      </c>
      <c r="G87" s="286"/>
      <c r="H87" s="236">
        <f>D87*$G$87</f>
        <v>0</v>
      </c>
      <c r="I87" s="236">
        <f>E87*$G$87</f>
        <v>0</v>
      </c>
      <c r="J87" s="236">
        <f>F87*G87</f>
        <v>0</v>
      </c>
    </row>
    <row r="88" spans="1:13" s="244" customFormat="1" ht="15.75" customHeight="1">
      <c r="A88" s="68"/>
      <c r="B88" s="224" t="str">
        <f>'Planteamiento Técnico'!B368</f>
        <v>Medidor de PH</v>
      </c>
      <c r="C88" s="244" t="s">
        <v>11</v>
      </c>
      <c r="D88" s="253">
        <f>'Planteamiento Técnico'!E368</f>
        <v>0</v>
      </c>
      <c r="E88" s="243">
        <f>D88</f>
        <v>0</v>
      </c>
      <c r="F88" s="243">
        <f>E88</f>
        <v>0</v>
      </c>
      <c r="G88" s="286"/>
      <c r="H88" s="236">
        <f>D88*$G$88</f>
        <v>0</v>
      </c>
      <c r="I88" s="236">
        <f>E88*$G$88</f>
        <v>0</v>
      </c>
      <c r="J88" s="236">
        <f>F88*G88</f>
        <v>0</v>
      </c>
    </row>
    <row r="89" spans="1:13" s="244" customFormat="1" ht="15.75" customHeight="1">
      <c r="A89" s="68"/>
      <c r="B89" s="1948" t="s">
        <v>10</v>
      </c>
      <c r="C89" s="1948"/>
      <c r="D89" s="1948"/>
      <c r="E89" s="1948"/>
      <c r="F89" s="1948"/>
      <c r="G89" s="1948"/>
      <c r="H89" s="225">
        <f>SUM(H87:H88)</f>
        <v>0</v>
      </c>
      <c r="I89" s="225">
        <f>SUM(I87:I88)</f>
        <v>0</v>
      </c>
      <c r="J89" s="225">
        <f>SUM(J87:J88)</f>
        <v>0</v>
      </c>
      <c r="K89" s="251"/>
    </row>
    <row r="90" spans="1:13" s="244" customFormat="1" ht="15.75" customHeight="1" thickBot="1"/>
    <row r="91" spans="1:13" s="244" customFormat="1" ht="15.75" customHeight="1" thickBot="1">
      <c r="A91" s="1950" t="s">
        <v>2435</v>
      </c>
      <c r="B91" s="1951"/>
      <c r="C91" s="1951"/>
      <c r="D91" s="1951"/>
      <c r="E91" s="1951"/>
      <c r="F91" s="1951"/>
      <c r="G91" s="1951"/>
      <c r="H91" s="1951"/>
      <c r="I91" s="1951"/>
      <c r="J91" s="1951"/>
      <c r="K91" s="1951"/>
      <c r="L91" s="1951"/>
      <c r="M91" s="1952"/>
    </row>
    <row r="92" spans="1:13" s="244" customFormat="1" ht="15.75" customHeight="1">
      <c r="A92" s="68"/>
      <c r="B92" s="68"/>
      <c r="C92" s="68"/>
      <c r="D92" s="68"/>
      <c r="E92" s="68"/>
      <c r="F92" s="68"/>
      <c r="G92" s="68"/>
      <c r="H92" s="68"/>
      <c r="I92" s="68"/>
      <c r="J92" s="68"/>
    </row>
    <row r="93" spans="1:13" s="244" customFormat="1" ht="35.25" customHeight="1">
      <c r="A93" s="68"/>
      <c r="B93" s="512" t="s">
        <v>7</v>
      </c>
      <c r="C93" s="512" t="s">
        <v>11</v>
      </c>
      <c r="D93" s="512" t="s">
        <v>4</v>
      </c>
      <c r="E93" s="512" t="s">
        <v>2444</v>
      </c>
      <c r="F93" s="512" t="s">
        <v>2445</v>
      </c>
    </row>
    <row r="94" spans="1:13" s="244" customFormat="1" ht="15.75" customHeight="1">
      <c r="A94" s="68"/>
      <c r="B94" s="228" t="s">
        <v>2436</v>
      </c>
      <c r="C94" s="247"/>
      <c r="D94" s="236"/>
      <c r="E94" s="236"/>
      <c r="F94" s="236"/>
    </row>
    <row r="95" spans="1:13" s="244" customFormat="1" ht="15.75" customHeight="1">
      <c r="A95" s="68"/>
      <c r="B95" s="231" t="s">
        <v>2437</v>
      </c>
      <c r="C95" s="247"/>
      <c r="D95" s="236"/>
      <c r="E95" s="247"/>
      <c r="F95" s="247"/>
    </row>
    <row r="96" spans="1:13" s="244" customFormat="1" ht="15.75" customHeight="1">
      <c r="A96" s="68"/>
      <c r="B96" s="224" t="s">
        <v>2456</v>
      </c>
      <c r="C96" s="234" t="s">
        <v>22</v>
      </c>
      <c r="D96" s="516"/>
      <c r="E96" s="516"/>
      <c r="F96" s="247">
        <f>D96*E96</f>
        <v>0</v>
      </c>
    </row>
    <row r="97" spans="1:13" s="244" customFormat="1" ht="15.75" customHeight="1">
      <c r="A97" s="68"/>
      <c r="B97" s="231" t="s">
        <v>407</v>
      </c>
      <c r="C97" s="247"/>
      <c r="D97" s="247"/>
      <c r="E97" s="247"/>
      <c r="F97" s="247"/>
    </row>
    <row r="98" spans="1:13" s="244" customFormat="1" ht="17.25" customHeight="1">
      <c r="A98" s="68"/>
      <c r="B98" s="224" t="s">
        <v>2434</v>
      </c>
      <c r="C98" s="247" t="s">
        <v>11</v>
      </c>
      <c r="D98" s="253">
        <f>'Planteamiento Técnico'!E440+'Planteamiento Técnico'!E493+'Planteamiento Técnico'!E548</f>
        <v>0</v>
      </c>
      <c r="E98" s="516"/>
      <c r="F98" s="247">
        <f>D98*E98</f>
        <v>0</v>
      </c>
    </row>
    <row r="99" spans="1:13" s="244" customFormat="1" ht="15.75" customHeight="1">
      <c r="A99" s="68"/>
      <c r="B99" s="1948" t="s">
        <v>125</v>
      </c>
      <c r="C99" s="1948"/>
      <c r="D99" s="1948"/>
      <c r="E99" s="1948"/>
      <c r="F99" s="240">
        <f>SUM(F94:F98)</f>
        <v>0</v>
      </c>
    </row>
    <row r="100" spans="1:13" s="244" customFormat="1" ht="15.75" customHeight="1" thickBot="1"/>
    <row r="101" spans="1:13" s="244" customFormat="1" ht="15.75" customHeight="1" thickBot="1">
      <c r="A101" s="1950" t="s">
        <v>2451</v>
      </c>
      <c r="B101" s="1951"/>
      <c r="C101" s="1951"/>
      <c r="D101" s="1951"/>
      <c r="E101" s="1951"/>
      <c r="F101" s="1951"/>
      <c r="G101" s="1951"/>
      <c r="H101" s="1951"/>
      <c r="I101" s="1951"/>
      <c r="J101" s="1951"/>
      <c r="K101" s="1951"/>
      <c r="L101" s="1951"/>
      <c r="M101" s="1952"/>
    </row>
    <row r="102" spans="1:13" s="244" customFormat="1" ht="15.75" customHeight="1">
      <c r="A102" s="68"/>
      <c r="B102" s="68"/>
      <c r="C102" s="68"/>
      <c r="D102" s="68"/>
      <c r="E102" s="68"/>
      <c r="F102" s="68"/>
      <c r="G102" s="68"/>
      <c r="H102" s="68"/>
      <c r="I102" s="68"/>
      <c r="J102" s="68"/>
    </row>
    <row r="103" spans="1:13" s="244" customFormat="1" ht="30.75" customHeight="1">
      <c r="A103" s="68"/>
      <c r="B103" s="512" t="s">
        <v>7</v>
      </c>
      <c r="C103" s="512" t="s">
        <v>11</v>
      </c>
      <c r="D103" s="512" t="s">
        <v>4</v>
      </c>
      <c r="E103" s="512" t="s">
        <v>2444</v>
      </c>
      <c r="F103" s="512" t="s">
        <v>2445</v>
      </c>
    </row>
    <row r="104" spans="1:13" s="244" customFormat="1" ht="15.75" customHeight="1">
      <c r="A104" s="68"/>
      <c r="B104" s="231" t="s">
        <v>538</v>
      </c>
      <c r="C104" s="247"/>
      <c r="D104" s="225"/>
      <c r="E104" s="225"/>
      <c r="F104" s="225"/>
    </row>
    <row r="105" spans="1:13" s="244" customFormat="1" ht="28.5" customHeight="1">
      <c r="A105" s="68"/>
      <c r="B105" s="63" t="str">
        <f>'Planteamiento Técnico'!B607</f>
        <v>Adquisición de camioneta para el desarrollo de las actividades de Supervisión y monitoreo</v>
      </c>
      <c r="C105" s="247" t="s">
        <v>11</v>
      </c>
      <c r="D105" s="236">
        <f>'Planteamiento Técnico'!D607</f>
        <v>0</v>
      </c>
      <c r="E105" s="286"/>
      <c r="F105" s="508">
        <f>D105*E105</f>
        <v>0</v>
      </c>
    </row>
    <row r="106" spans="1:13" s="244" customFormat="1" ht="15.75" customHeight="1">
      <c r="A106" s="68"/>
      <c r="B106" s="231" t="s">
        <v>407</v>
      </c>
      <c r="C106" s="247"/>
      <c r="D106" s="236"/>
      <c r="E106" s="247"/>
      <c r="F106" s="247"/>
    </row>
    <row r="107" spans="1:13" s="244" customFormat="1" ht="27" customHeight="1">
      <c r="A107" s="68"/>
      <c r="B107" s="224" t="str">
        <f>'Planteamiento Técnico'!B605</f>
        <v>Adquisición de equipo de cómputo (incluye mobiliario) para la supervisión y monitoreo del Servicio de Limpieza Pública</v>
      </c>
      <c r="C107" s="247" t="s">
        <v>11</v>
      </c>
      <c r="D107" s="236">
        <f>'Planteamiento Técnico'!D605</f>
        <v>0</v>
      </c>
      <c r="E107" s="516"/>
      <c r="F107" s="236">
        <f>D107*E107</f>
        <v>0</v>
      </c>
    </row>
    <row r="108" spans="1:13" s="237" customFormat="1" ht="15.75" customHeight="1">
      <c r="A108" s="64"/>
      <c r="B108" s="1948" t="s">
        <v>125</v>
      </c>
      <c r="C108" s="1948"/>
      <c r="D108" s="1948"/>
      <c r="E108" s="1948"/>
      <c r="F108" s="240">
        <f>F107+F105</f>
        <v>0</v>
      </c>
    </row>
    <row r="109" spans="1:13" s="237" customFormat="1" ht="15.75" customHeight="1">
      <c r="A109" s="64"/>
      <c r="B109" s="235"/>
      <c r="C109" s="64"/>
    </row>
    <row r="110" spans="1:13" s="237" customFormat="1" ht="15.75" customHeight="1">
      <c r="A110" s="64"/>
      <c r="B110" s="1948" t="s">
        <v>2458</v>
      </c>
      <c r="C110" s="1948"/>
      <c r="D110" s="1948"/>
      <c r="E110" s="1948"/>
      <c r="F110" s="518">
        <f>F108+F99+H89+I89+J89+F81+F67+F58+F49+F24+H18+I18+J18+H10+I10+J10</f>
        <v>0</v>
      </c>
    </row>
    <row r="111" spans="1:13" s="237" customFormat="1" ht="15.75" customHeight="1">
      <c r="A111" s="64"/>
      <c r="B111" s="235"/>
      <c r="C111" s="64"/>
    </row>
    <row r="112" spans="1:13" s="244" customFormat="1" ht="15.75" customHeight="1">
      <c r="A112" s="1949" t="s">
        <v>2459</v>
      </c>
      <c r="B112" s="1694"/>
      <c r="C112" s="1694"/>
      <c r="D112" s="1694"/>
      <c r="E112" s="1694"/>
      <c r="F112" s="1694"/>
      <c r="G112" s="1694"/>
      <c r="H112" s="1694"/>
      <c r="I112" s="1694"/>
      <c r="J112" s="1694"/>
      <c r="K112" s="1694"/>
      <c r="L112" s="1694"/>
      <c r="M112" s="1694"/>
    </row>
    <row r="113" spans="1:14" s="244" customFormat="1" ht="15.75" customHeight="1"/>
    <row r="114" spans="1:14" s="244" customFormat="1" ht="20.25" customHeight="1">
      <c r="A114" s="32" t="s">
        <v>19</v>
      </c>
      <c r="B114" s="32" t="s">
        <v>608</v>
      </c>
      <c r="C114" s="32" t="s">
        <v>46</v>
      </c>
      <c r="D114" s="32" t="s">
        <v>47</v>
      </c>
      <c r="E114" s="32" t="s">
        <v>48</v>
      </c>
      <c r="F114" s="32" t="s">
        <v>49</v>
      </c>
      <c r="G114" s="32" t="s">
        <v>50</v>
      </c>
      <c r="H114" s="32" t="s">
        <v>51</v>
      </c>
      <c r="I114" s="32" t="s">
        <v>52</v>
      </c>
      <c r="J114" s="32" t="s">
        <v>53</v>
      </c>
      <c r="K114" s="32" t="s">
        <v>54</v>
      </c>
      <c r="L114" s="32" t="s">
        <v>55</v>
      </c>
      <c r="M114" s="32" t="s">
        <v>56</v>
      </c>
      <c r="N114" s="32" t="s">
        <v>10</v>
      </c>
    </row>
    <row r="115" spans="1:14" s="245" customFormat="1" ht="15.75" customHeight="1">
      <c r="A115" s="262">
        <v>1</v>
      </c>
      <c r="B115" s="261" t="s">
        <v>389</v>
      </c>
      <c r="C115" s="262"/>
      <c r="D115" s="262"/>
      <c r="E115" s="262"/>
      <c r="F115" s="262"/>
      <c r="G115" s="262"/>
      <c r="H115" s="262"/>
      <c r="I115" s="262"/>
      <c r="J115" s="262"/>
      <c r="K115" s="262"/>
      <c r="L115" s="262"/>
      <c r="M115" s="262"/>
      <c r="N115" s="239"/>
    </row>
    <row r="116" spans="1:14" s="244" customFormat="1" ht="15.75" customHeight="1">
      <c r="A116" s="236"/>
      <c r="B116" s="260" t="s">
        <v>15</v>
      </c>
      <c r="C116" s="241"/>
      <c r="D116" s="241"/>
      <c r="E116" s="241"/>
      <c r="F116" s="241">
        <f>H10</f>
        <v>0</v>
      </c>
      <c r="G116" s="241"/>
      <c r="H116" s="247"/>
      <c r="I116" s="241">
        <f>I10</f>
        <v>0</v>
      </c>
      <c r="J116" s="241"/>
      <c r="K116" s="241"/>
      <c r="L116" s="241">
        <f>J10</f>
        <v>0</v>
      </c>
      <c r="M116" s="241"/>
      <c r="N116" s="263">
        <f>SUM(C116:M116)</f>
        <v>0</v>
      </c>
    </row>
    <row r="117" spans="1:14" s="244" customFormat="1" ht="15.75" customHeight="1">
      <c r="A117" s="236"/>
      <c r="B117" s="260" t="s">
        <v>573</v>
      </c>
      <c r="C117" s="241"/>
      <c r="D117" s="241"/>
      <c r="E117" s="241"/>
      <c r="F117" s="241"/>
      <c r="G117" s="241"/>
      <c r="H117" s="241"/>
      <c r="I117" s="241"/>
      <c r="J117" s="241"/>
      <c r="K117" s="241"/>
      <c r="L117" s="241"/>
      <c r="M117" s="241"/>
      <c r="N117" s="263">
        <f>SUM(C117:M117)</f>
        <v>0</v>
      </c>
    </row>
    <row r="118" spans="1:14" s="245" customFormat="1" ht="15.75" customHeight="1">
      <c r="A118" s="262">
        <v>2</v>
      </c>
      <c r="B118" s="261" t="s">
        <v>390</v>
      </c>
      <c r="C118" s="262"/>
      <c r="D118" s="262"/>
      <c r="E118" s="262"/>
      <c r="F118" s="262"/>
      <c r="G118" s="262"/>
      <c r="H118" s="262"/>
      <c r="I118" s="262"/>
      <c r="J118" s="262"/>
      <c r="K118" s="262"/>
      <c r="L118" s="262"/>
      <c r="M118" s="262"/>
      <c r="N118" s="239"/>
    </row>
    <row r="119" spans="1:14" s="244" customFormat="1" ht="15.75" customHeight="1">
      <c r="A119" s="236"/>
      <c r="B119" s="260" t="s">
        <v>15</v>
      </c>
      <c r="C119" s="241"/>
      <c r="D119" s="241"/>
      <c r="E119" s="241"/>
      <c r="F119" s="241">
        <f>H18</f>
        <v>0</v>
      </c>
      <c r="G119" s="241"/>
      <c r="H119" s="247"/>
      <c r="I119" s="241">
        <f>I18</f>
        <v>0</v>
      </c>
      <c r="J119" s="241"/>
      <c r="K119" s="241"/>
      <c r="L119" s="241">
        <f>J18</f>
        <v>0</v>
      </c>
      <c r="M119" s="241"/>
      <c r="N119" s="263">
        <f>SUM(C119:M119)</f>
        <v>0</v>
      </c>
    </row>
    <row r="120" spans="1:14" s="244" customFormat="1" ht="15.75" customHeight="1">
      <c r="A120" s="236"/>
      <c r="B120" s="260" t="s">
        <v>573</v>
      </c>
      <c r="C120" s="241"/>
      <c r="D120" s="241"/>
      <c r="E120" s="241"/>
      <c r="F120" s="241"/>
      <c r="G120" s="241"/>
      <c r="H120" s="241">
        <f>F24</f>
        <v>0</v>
      </c>
      <c r="I120" s="241"/>
      <c r="J120" s="241"/>
      <c r="K120" s="241"/>
      <c r="L120" s="241"/>
      <c r="M120" s="241"/>
      <c r="N120" s="263">
        <f>SUM(C120:M120)</f>
        <v>0</v>
      </c>
    </row>
    <row r="121" spans="1:14" s="245" customFormat="1" ht="15.75" customHeight="1">
      <c r="A121" s="262">
        <v>3</v>
      </c>
      <c r="B121" s="261" t="s">
        <v>3174</v>
      </c>
      <c r="C121" s="262"/>
      <c r="D121" s="262"/>
      <c r="E121" s="262"/>
      <c r="F121" s="262"/>
      <c r="G121" s="262"/>
      <c r="H121" s="262"/>
      <c r="I121" s="262"/>
      <c r="J121" s="262"/>
      <c r="K121" s="262"/>
      <c r="L121" s="262"/>
      <c r="M121" s="262"/>
      <c r="N121" s="239"/>
    </row>
    <row r="122" spans="1:14" s="244" customFormat="1" ht="15.75" customHeight="1">
      <c r="A122" s="236"/>
      <c r="B122" s="260" t="s">
        <v>15</v>
      </c>
      <c r="C122" s="241"/>
      <c r="D122" s="241"/>
      <c r="E122" s="241"/>
      <c r="F122" s="241"/>
      <c r="G122" s="241"/>
      <c r="H122" s="247"/>
      <c r="I122" s="241"/>
      <c r="J122" s="241"/>
      <c r="K122" s="241"/>
      <c r="M122" s="241"/>
      <c r="N122" s="263">
        <f>SUM(C122:M122)</f>
        <v>0</v>
      </c>
    </row>
    <row r="123" spans="1:14" s="244" customFormat="1" ht="15.75" customHeight="1">
      <c r="A123" s="236"/>
      <c r="B123" s="260" t="s">
        <v>573</v>
      </c>
      <c r="C123" s="241"/>
      <c r="D123" s="241"/>
      <c r="E123" s="241"/>
      <c r="F123" s="241">
        <f>F58+F81</f>
        <v>0</v>
      </c>
      <c r="G123" s="241"/>
      <c r="H123" s="241">
        <f>F49+F67</f>
        <v>0</v>
      </c>
      <c r="I123" s="241">
        <f>F58+F81</f>
        <v>0</v>
      </c>
      <c r="J123" s="241"/>
      <c r="K123" s="241"/>
      <c r="L123" s="241">
        <f>F58+F81</f>
        <v>0</v>
      </c>
      <c r="M123" s="241"/>
      <c r="N123" s="263">
        <f>SUM(C123:M123)</f>
        <v>0</v>
      </c>
    </row>
    <row r="124" spans="1:14" s="245" customFormat="1" ht="15.75" customHeight="1">
      <c r="A124" s="262">
        <v>4</v>
      </c>
      <c r="B124" s="261" t="s">
        <v>463</v>
      </c>
      <c r="C124" s="262"/>
      <c r="D124" s="262"/>
      <c r="E124" s="262"/>
      <c r="F124" s="262"/>
      <c r="G124" s="262"/>
      <c r="H124" s="262"/>
      <c r="I124" s="262"/>
      <c r="J124" s="262"/>
      <c r="K124" s="262"/>
      <c r="L124" s="262"/>
      <c r="M124" s="262"/>
      <c r="N124" s="239"/>
    </row>
    <row r="125" spans="1:14" s="244" customFormat="1" ht="15.75" customHeight="1">
      <c r="A125" s="236"/>
      <c r="B125" s="260" t="s">
        <v>15</v>
      </c>
      <c r="C125" s="241"/>
      <c r="D125" s="241"/>
      <c r="E125" s="241"/>
      <c r="F125" s="241">
        <f>H89</f>
        <v>0</v>
      </c>
      <c r="G125" s="241"/>
      <c r="H125" s="247"/>
      <c r="I125" s="241">
        <f>I89</f>
        <v>0</v>
      </c>
      <c r="J125" s="241"/>
      <c r="K125" s="241"/>
      <c r="L125" s="241">
        <f>J89</f>
        <v>0</v>
      </c>
      <c r="M125" s="241"/>
      <c r="N125" s="263">
        <f>SUM(C125:M125)</f>
        <v>0</v>
      </c>
    </row>
    <row r="126" spans="1:14" s="244" customFormat="1" ht="15.75" customHeight="1">
      <c r="A126" s="236"/>
      <c r="B126" s="260" t="s">
        <v>573</v>
      </c>
      <c r="C126" s="241"/>
      <c r="D126" s="241"/>
      <c r="E126" s="241"/>
      <c r="F126" s="241"/>
      <c r="G126" s="241"/>
      <c r="H126" s="241"/>
      <c r="I126" s="241"/>
      <c r="J126" s="241"/>
      <c r="K126" s="241"/>
      <c r="L126" s="241"/>
      <c r="M126" s="241"/>
      <c r="N126" s="263">
        <f>SUM(C126:M126)</f>
        <v>0</v>
      </c>
    </row>
    <row r="127" spans="1:14" s="245" customFormat="1" ht="15.75" customHeight="1">
      <c r="A127" s="262">
        <v>5</v>
      </c>
      <c r="B127" s="261" t="s">
        <v>764</v>
      </c>
      <c r="C127" s="262"/>
      <c r="D127" s="262"/>
      <c r="E127" s="262"/>
      <c r="F127" s="262"/>
      <c r="G127" s="262"/>
      <c r="H127" s="262"/>
      <c r="I127" s="262"/>
      <c r="J127" s="262"/>
      <c r="K127" s="262"/>
      <c r="L127" s="262"/>
      <c r="M127" s="262"/>
      <c r="N127" s="239"/>
    </row>
    <row r="128" spans="1:14" s="244" customFormat="1" ht="15.75" customHeight="1">
      <c r="A128" s="236"/>
      <c r="B128" s="260" t="s">
        <v>15</v>
      </c>
      <c r="C128" s="241"/>
      <c r="D128" s="241"/>
      <c r="E128" s="241"/>
      <c r="F128" s="241">
        <f>F98</f>
        <v>0</v>
      </c>
      <c r="G128" s="241"/>
      <c r="H128" s="247"/>
      <c r="I128" s="241">
        <f>F128</f>
        <v>0</v>
      </c>
      <c r="J128" s="241"/>
      <c r="K128" s="241"/>
      <c r="L128" s="241">
        <f>0</f>
        <v>0</v>
      </c>
      <c r="M128" s="241"/>
      <c r="N128" s="263">
        <f>SUM(C128:M128)</f>
        <v>0</v>
      </c>
    </row>
    <row r="129" spans="1:14" s="244" customFormat="1" ht="15.75" customHeight="1">
      <c r="A129" s="236"/>
      <c r="B129" s="260" t="s">
        <v>573</v>
      </c>
      <c r="C129" s="241"/>
      <c r="D129" s="241"/>
      <c r="E129" s="241"/>
      <c r="F129" s="241"/>
      <c r="G129" s="241"/>
      <c r="H129" s="241"/>
      <c r="I129" s="241"/>
      <c r="J129" s="241"/>
      <c r="K129" s="241"/>
      <c r="L129" s="241"/>
      <c r="M129" s="241"/>
      <c r="N129" s="263">
        <f>SUM(C129:M129)</f>
        <v>0</v>
      </c>
    </row>
    <row r="130" spans="1:14" s="244" customFormat="1" ht="15.75" customHeight="1">
      <c r="A130" s="236"/>
      <c r="B130" s="264" t="s">
        <v>2437</v>
      </c>
      <c r="C130" s="515"/>
      <c r="D130" s="515"/>
      <c r="E130" s="515"/>
      <c r="F130" s="515"/>
      <c r="G130" s="515"/>
      <c r="H130" s="515"/>
      <c r="I130" s="515"/>
      <c r="J130" s="515"/>
      <c r="K130" s="515"/>
      <c r="L130" s="515"/>
      <c r="M130" s="515"/>
      <c r="N130" s="263">
        <f>SUM(C130:M130)</f>
        <v>0</v>
      </c>
    </row>
    <row r="131" spans="1:14" s="245" customFormat="1" ht="15.75" customHeight="1">
      <c r="A131" s="262">
        <v>6</v>
      </c>
      <c r="B131" s="261" t="s">
        <v>2457</v>
      </c>
      <c r="C131" s="262"/>
      <c r="D131" s="262"/>
      <c r="E131" s="262"/>
      <c r="F131" s="262"/>
      <c r="G131" s="262"/>
      <c r="H131" s="262"/>
      <c r="I131" s="262"/>
      <c r="J131" s="262"/>
      <c r="K131" s="262"/>
      <c r="L131" s="262"/>
      <c r="M131" s="262"/>
      <c r="N131" s="239"/>
    </row>
    <row r="132" spans="1:14" s="245" customFormat="1" ht="15.75" customHeight="1">
      <c r="A132" s="225"/>
      <c r="B132" s="260" t="s">
        <v>15</v>
      </c>
      <c r="C132" s="225"/>
      <c r="D132" s="225"/>
      <c r="E132" s="225"/>
      <c r="F132" s="234">
        <f>F107</f>
        <v>0</v>
      </c>
      <c r="G132" s="234"/>
      <c r="H132" s="234"/>
      <c r="I132" s="234">
        <f>F107</f>
        <v>0</v>
      </c>
      <c r="J132" s="225"/>
      <c r="K132" s="225"/>
      <c r="L132" s="225">
        <f>F107</f>
        <v>0</v>
      </c>
      <c r="M132" s="225"/>
      <c r="N132" s="263">
        <f>SUM(C132:M132)</f>
        <v>0</v>
      </c>
    </row>
    <row r="133" spans="1:14" s="244" customFormat="1" ht="15.75" customHeight="1">
      <c r="A133" s="236"/>
      <c r="B133" s="264" t="s">
        <v>573</v>
      </c>
      <c r="C133" s="515"/>
      <c r="D133" s="515"/>
      <c r="E133" s="515"/>
      <c r="F133" s="515"/>
      <c r="G133" s="515"/>
      <c r="H133" s="516"/>
      <c r="I133" s="515"/>
      <c r="J133" s="515"/>
      <c r="K133" s="515"/>
      <c r="L133" s="515"/>
      <c r="M133" s="515"/>
      <c r="N133" s="263">
        <f>SUM(C133:M133)</f>
        <v>0</v>
      </c>
    </row>
    <row r="134" spans="1:14" s="244" customFormat="1" ht="15.75" customHeight="1">
      <c r="A134" s="1923" t="s">
        <v>10</v>
      </c>
      <c r="B134" s="1923"/>
      <c r="C134" s="242">
        <f>SUM(C115:C133)</f>
        <v>0</v>
      </c>
      <c r="D134" s="242">
        <f t="shared" ref="D134:N134" si="2">SUM(D115:D133)</f>
        <v>0</v>
      </c>
      <c r="E134" s="242">
        <f t="shared" si="2"/>
        <v>0</v>
      </c>
      <c r="F134" s="242">
        <f t="shared" si="2"/>
        <v>0</v>
      </c>
      <c r="G134" s="242">
        <f t="shared" si="2"/>
        <v>0</v>
      </c>
      <c r="H134" s="242">
        <f t="shared" si="2"/>
        <v>0</v>
      </c>
      <c r="I134" s="242">
        <f t="shared" si="2"/>
        <v>0</v>
      </c>
      <c r="J134" s="242">
        <f t="shared" si="2"/>
        <v>0</v>
      </c>
      <c r="K134" s="242">
        <f t="shared" si="2"/>
        <v>0</v>
      </c>
      <c r="L134" s="242">
        <f t="shared" si="2"/>
        <v>0</v>
      </c>
      <c r="M134" s="242">
        <f t="shared" si="2"/>
        <v>0</v>
      </c>
      <c r="N134" s="242">
        <f t="shared" si="2"/>
        <v>0</v>
      </c>
    </row>
    <row r="135" spans="1:14" s="61" customFormat="1" ht="15.75" customHeight="1">
      <c r="B135" s="244"/>
    </row>
    <row r="136" spans="1:14" s="61" customFormat="1" ht="15.75" customHeight="1">
      <c r="B136" s="244"/>
    </row>
    <row r="137" spans="1:14" s="61" customFormat="1" ht="15.75" customHeight="1">
      <c r="A137" s="1949" t="s">
        <v>2462</v>
      </c>
      <c r="B137" s="1694"/>
      <c r="C137" s="1694"/>
      <c r="D137" s="1694"/>
      <c r="E137" s="1694"/>
      <c r="F137" s="1694"/>
      <c r="G137" s="1694"/>
      <c r="H137" s="1694"/>
      <c r="I137" s="1694"/>
      <c r="J137" s="1694"/>
      <c r="K137" s="1694"/>
      <c r="L137" s="1694"/>
      <c r="M137" s="1694"/>
    </row>
    <row r="138" spans="1:14" s="61" customFormat="1" ht="15.75" customHeight="1">
      <c r="B138" s="244"/>
    </row>
    <row r="139" spans="1:14" s="244" customFormat="1" ht="15.75" customHeight="1">
      <c r="A139" s="32" t="s">
        <v>19</v>
      </c>
      <c r="B139" s="32" t="s">
        <v>608</v>
      </c>
      <c r="C139" s="32" t="s">
        <v>46</v>
      </c>
      <c r="D139" s="32" t="s">
        <v>47</v>
      </c>
      <c r="E139" s="32" t="s">
        <v>48</v>
      </c>
      <c r="F139" s="32" t="s">
        <v>49</v>
      </c>
      <c r="G139" s="32" t="s">
        <v>50</v>
      </c>
      <c r="H139" s="32" t="s">
        <v>51</v>
      </c>
      <c r="I139" s="32" t="s">
        <v>52</v>
      </c>
      <c r="J139" s="32" t="s">
        <v>53</v>
      </c>
      <c r="K139" s="32" t="s">
        <v>54</v>
      </c>
      <c r="L139" s="32" t="s">
        <v>55</v>
      </c>
      <c r="M139" s="32" t="s">
        <v>56</v>
      </c>
    </row>
    <row r="140" spans="1:14" s="244" customFormat="1" ht="15.75" customHeight="1">
      <c r="A140" s="236">
        <v>1</v>
      </c>
      <c r="B140" s="260" t="s">
        <v>15</v>
      </c>
      <c r="C140" s="241">
        <f>C116+C119+C122+C125+C128+C132</f>
        <v>0</v>
      </c>
      <c r="D140" s="241">
        <f t="shared" ref="D140:M140" si="3">D116+D119+D122+D125+D128+D132</f>
        <v>0</v>
      </c>
      <c r="E140" s="241">
        <f t="shared" si="3"/>
        <v>0</v>
      </c>
      <c r="F140" s="241">
        <f t="shared" si="3"/>
        <v>0</v>
      </c>
      <c r="G140" s="241">
        <f t="shared" si="3"/>
        <v>0</v>
      </c>
      <c r="H140" s="241">
        <f t="shared" si="3"/>
        <v>0</v>
      </c>
      <c r="I140" s="241">
        <f t="shared" si="3"/>
        <v>0</v>
      </c>
      <c r="J140" s="241">
        <f t="shared" si="3"/>
        <v>0</v>
      </c>
      <c r="K140" s="241">
        <f t="shared" si="3"/>
        <v>0</v>
      </c>
      <c r="L140" s="241">
        <f t="shared" si="3"/>
        <v>0</v>
      </c>
      <c r="M140" s="241">
        <f t="shared" si="3"/>
        <v>0</v>
      </c>
    </row>
    <row r="141" spans="1:14" s="244" customFormat="1" ht="15.75" customHeight="1">
      <c r="A141" s="236">
        <v>1</v>
      </c>
      <c r="B141" s="260" t="s">
        <v>573</v>
      </c>
      <c r="C141" s="241">
        <f>C117+C120+C123+C126+C129+C133</f>
        <v>0</v>
      </c>
      <c r="D141" s="241">
        <f t="shared" ref="D141:M141" si="4">D117+D120+D123+D126+D129+D133</f>
        <v>0</v>
      </c>
      <c r="E141" s="241">
        <f t="shared" si="4"/>
        <v>0</v>
      </c>
      <c r="F141" s="241">
        <f t="shared" si="4"/>
        <v>0</v>
      </c>
      <c r="G141" s="241">
        <f t="shared" si="4"/>
        <v>0</v>
      </c>
      <c r="H141" s="241">
        <f t="shared" si="4"/>
        <v>0</v>
      </c>
      <c r="I141" s="241">
        <f t="shared" si="4"/>
        <v>0</v>
      </c>
      <c r="J141" s="241">
        <f t="shared" si="4"/>
        <v>0</v>
      </c>
      <c r="K141" s="241">
        <f t="shared" si="4"/>
        <v>0</v>
      </c>
      <c r="L141" s="241">
        <f t="shared" si="4"/>
        <v>0</v>
      </c>
      <c r="M141" s="241">
        <f t="shared" si="4"/>
        <v>0</v>
      </c>
    </row>
    <row r="142" spans="1:14" s="244" customFormat="1" ht="15.75" customHeight="1">
      <c r="A142" s="236">
        <v>1</v>
      </c>
      <c r="B142" s="260" t="s">
        <v>2437</v>
      </c>
      <c r="C142" s="241">
        <f>C130</f>
        <v>0</v>
      </c>
      <c r="D142" s="241">
        <f t="shared" ref="D142:M142" si="5">D130</f>
        <v>0</v>
      </c>
      <c r="E142" s="241">
        <f t="shared" si="5"/>
        <v>0</v>
      </c>
      <c r="F142" s="241">
        <f t="shared" si="5"/>
        <v>0</v>
      </c>
      <c r="G142" s="241">
        <f t="shared" si="5"/>
        <v>0</v>
      </c>
      <c r="H142" s="241">
        <f t="shared" si="5"/>
        <v>0</v>
      </c>
      <c r="I142" s="241">
        <f t="shared" si="5"/>
        <v>0</v>
      </c>
      <c r="J142" s="241">
        <f t="shared" si="5"/>
        <v>0</v>
      </c>
      <c r="K142" s="241">
        <f t="shared" si="5"/>
        <v>0</v>
      </c>
      <c r="L142" s="241">
        <f t="shared" si="5"/>
        <v>0</v>
      </c>
      <c r="M142" s="241">
        <f t="shared" si="5"/>
        <v>0</v>
      </c>
    </row>
    <row r="143" spans="1:14" s="244" customFormat="1" ht="15.75" customHeight="1">
      <c r="A143" s="1923" t="s">
        <v>10</v>
      </c>
      <c r="B143" s="1923"/>
      <c r="C143" s="242">
        <f>SUM(C140:C142)</f>
        <v>0</v>
      </c>
      <c r="D143" s="242">
        <f t="shared" ref="D143:M143" si="6">SUM(D140:D142)</f>
        <v>0</v>
      </c>
      <c r="E143" s="242">
        <f t="shared" si="6"/>
        <v>0</v>
      </c>
      <c r="F143" s="242">
        <f t="shared" si="6"/>
        <v>0</v>
      </c>
      <c r="G143" s="242">
        <f t="shared" si="6"/>
        <v>0</v>
      </c>
      <c r="H143" s="242">
        <f t="shared" si="6"/>
        <v>0</v>
      </c>
      <c r="I143" s="242">
        <f t="shared" si="6"/>
        <v>0</v>
      </c>
      <c r="J143" s="242">
        <f t="shared" si="6"/>
        <v>0</v>
      </c>
      <c r="K143" s="242">
        <f t="shared" si="6"/>
        <v>0</v>
      </c>
      <c r="L143" s="242">
        <f t="shared" si="6"/>
        <v>0</v>
      </c>
      <c r="M143" s="242">
        <f t="shared" si="6"/>
        <v>0</v>
      </c>
    </row>
    <row r="144" spans="1:14" s="61" customFormat="1" ht="15.75" customHeight="1">
      <c r="B144" s="244"/>
    </row>
    <row r="145" spans="1:14" ht="15.75" customHeight="1">
      <c r="K145" s="1953"/>
      <c r="L145" s="1953"/>
      <c r="M145" s="1953"/>
      <c r="N145" s="1953"/>
    </row>
    <row r="146" spans="1:14" ht="15.75" customHeight="1">
      <c r="K146" s="1953"/>
      <c r="L146" s="1953"/>
      <c r="M146" s="1953"/>
      <c r="N146" s="1953"/>
    </row>
    <row r="147" spans="1:14" ht="15.75" customHeight="1">
      <c r="K147" s="1953"/>
      <c r="L147" s="1953"/>
      <c r="M147" s="1953"/>
      <c r="N147" s="1953"/>
    </row>
    <row r="150" spans="1:14" s="244" customFormat="1" ht="15.75" customHeight="1">
      <c r="A150" s="1949" t="s">
        <v>2461</v>
      </c>
      <c r="B150" s="1694"/>
      <c r="C150" s="1694"/>
      <c r="D150" s="1694"/>
      <c r="E150" s="1694"/>
      <c r="F150" s="1694"/>
      <c r="G150" s="1694"/>
      <c r="H150" s="1694"/>
      <c r="I150" s="1694"/>
      <c r="J150" s="1694"/>
      <c r="K150" s="1694"/>
      <c r="L150" s="1694"/>
      <c r="M150" s="1694"/>
    </row>
    <row r="151" spans="1:14" s="244" customFormat="1" ht="15.75" customHeight="1"/>
    <row r="152" spans="1:14" s="244" customFormat="1" ht="20.25" customHeight="1">
      <c r="A152" s="32" t="s">
        <v>19</v>
      </c>
      <c r="B152" s="32" t="s">
        <v>608</v>
      </c>
      <c r="C152" s="32" t="s">
        <v>46</v>
      </c>
      <c r="D152" s="32" t="s">
        <v>47</v>
      </c>
      <c r="E152" s="32" t="s">
        <v>48</v>
      </c>
      <c r="F152" s="32" t="s">
        <v>49</v>
      </c>
      <c r="G152" s="32" t="s">
        <v>50</v>
      </c>
      <c r="H152" s="32" t="s">
        <v>51</v>
      </c>
      <c r="I152" s="32" t="s">
        <v>52</v>
      </c>
      <c r="J152" s="32" t="s">
        <v>53</v>
      </c>
      <c r="K152" s="32" t="s">
        <v>54</v>
      </c>
      <c r="L152" s="32" t="s">
        <v>55</v>
      </c>
      <c r="M152" s="32" t="s">
        <v>56</v>
      </c>
      <c r="N152" s="32" t="s">
        <v>10</v>
      </c>
    </row>
    <row r="153" spans="1:14" s="245" customFormat="1" ht="15.75" customHeight="1">
      <c r="A153" s="262">
        <v>1</v>
      </c>
      <c r="B153" s="261" t="s">
        <v>389</v>
      </c>
      <c r="C153" s="262"/>
      <c r="D153" s="262"/>
      <c r="E153" s="262"/>
      <c r="F153" s="262"/>
      <c r="G153" s="262"/>
      <c r="H153" s="262"/>
      <c r="I153" s="262"/>
      <c r="J153" s="262"/>
      <c r="K153" s="262"/>
      <c r="L153" s="262"/>
      <c r="M153" s="262"/>
      <c r="N153" s="239"/>
    </row>
    <row r="154" spans="1:14" s="244" customFormat="1" ht="15.75" customHeight="1">
      <c r="A154" s="236"/>
      <c r="B154" s="260" t="s">
        <v>15</v>
      </c>
      <c r="C154" s="253">
        <f>C116*'Costos Alter.'!$D$87</f>
        <v>0</v>
      </c>
      <c r="D154" s="253">
        <f>D116*'Costos Alter.'!$D$87</f>
        <v>0</v>
      </c>
      <c r="E154" s="253">
        <f>E116*'Costos Alter.'!$D$87</f>
        <v>0</v>
      </c>
      <c r="F154" s="253">
        <f>F116*'Costos Alter.'!$D$87</f>
        <v>0</v>
      </c>
      <c r="G154" s="253">
        <f>G116*'Costos Alter.'!$D$87</f>
        <v>0</v>
      </c>
      <c r="H154" s="253">
        <f>H116*'Costos Alter.'!$D$87</f>
        <v>0</v>
      </c>
      <c r="I154" s="253">
        <f>I116*'Costos Alter.'!$D$87</f>
        <v>0</v>
      </c>
      <c r="J154" s="253">
        <f>J116*'Costos Alter.'!$D$87</f>
        <v>0</v>
      </c>
      <c r="K154" s="253">
        <f>K116*'Costos Alter.'!$D$87</f>
        <v>0</v>
      </c>
      <c r="L154" s="253">
        <f>L116*'Costos Alter.'!$D$87</f>
        <v>0</v>
      </c>
      <c r="M154" s="253">
        <f>M116*'Costos Alter.'!$D$87</f>
        <v>0</v>
      </c>
      <c r="N154" s="263">
        <f>SUM(C154:M154)</f>
        <v>0</v>
      </c>
    </row>
    <row r="155" spans="1:14" s="244" customFormat="1" ht="15.75" customHeight="1">
      <c r="A155" s="236"/>
      <c r="B155" s="260" t="s">
        <v>573</v>
      </c>
      <c r="C155" s="253">
        <f>C117*'Costos Alter.'!$D$87</f>
        <v>0</v>
      </c>
      <c r="D155" s="253">
        <f>D117*'Costos Alter.'!$D$87</f>
        <v>0</v>
      </c>
      <c r="E155" s="253">
        <f>E117*'Costos Alter.'!$D$87</f>
        <v>0</v>
      </c>
      <c r="F155" s="253">
        <f>F117*'Costos Alter.'!$D$87</f>
        <v>0</v>
      </c>
      <c r="G155" s="253">
        <f>G117*'Costos Alter.'!$D$87</f>
        <v>0</v>
      </c>
      <c r="H155" s="253">
        <f>H117*'Costos Alter.'!$D$87</f>
        <v>0</v>
      </c>
      <c r="I155" s="253">
        <f>I117*'Costos Alter.'!$D$87</f>
        <v>0</v>
      </c>
      <c r="J155" s="253">
        <f>J117*'Costos Alter.'!$D$87</f>
        <v>0</v>
      </c>
      <c r="K155" s="253">
        <f>K117*'Costos Alter.'!$D$87</f>
        <v>0</v>
      </c>
      <c r="L155" s="253">
        <f>L117*'Costos Alter.'!$D$87</f>
        <v>0</v>
      </c>
      <c r="M155" s="253">
        <f>M117*'Costos Alter.'!$D$87</f>
        <v>0</v>
      </c>
      <c r="N155" s="263">
        <f>SUM(C155:M155)</f>
        <v>0</v>
      </c>
    </row>
    <row r="156" spans="1:14" s="245" customFormat="1" ht="15.75" customHeight="1">
      <c r="A156" s="262">
        <v>2</v>
      </c>
      <c r="B156" s="261" t="s">
        <v>390</v>
      </c>
      <c r="C156" s="265"/>
      <c r="D156" s="265"/>
      <c r="E156" s="265"/>
      <c r="F156" s="265"/>
      <c r="G156" s="265"/>
      <c r="H156" s="265"/>
      <c r="I156" s="265"/>
      <c r="J156" s="265"/>
      <c r="K156" s="265"/>
      <c r="L156" s="265"/>
      <c r="M156" s="265"/>
      <c r="N156" s="239"/>
    </row>
    <row r="157" spans="1:14" s="244" customFormat="1" ht="15.75" customHeight="1">
      <c r="A157" s="236"/>
      <c r="B157" s="260" t="s">
        <v>15</v>
      </c>
      <c r="C157" s="253">
        <f>C119*'Costos Alter.'!$D$87</f>
        <v>0</v>
      </c>
      <c r="D157" s="253">
        <f>D119*'Costos Alter.'!$D$87</f>
        <v>0</v>
      </c>
      <c r="E157" s="253">
        <f>E119*'Costos Alter.'!$D$87</f>
        <v>0</v>
      </c>
      <c r="F157" s="253">
        <f>F119*'Costos Alter.'!$D$87</f>
        <v>0</v>
      </c>
      <c r="G157" s="253">
        <f>G119*'Costos Alter.'!$D$87</f>
        <v>0</v>
      </c>
      <c r="H157" s="253">
        <f>H119*'Costos Alter.'!$D$87</f>
        <v>0</v>
      </c>
      <c r="I157" s="253">
        <f>I119*'Costos Alter.'!$D$87</f>
        <v>0</v>
      </c>
      <c r="J157" s="253">
        <f>J119*'Costos Alter.'!$D$87</f>
        <v>0</v>
      </c>
      <c r="K157" s="253">
        <f>K119*'Costos Alter.'!$D$87</f>
        <v>0</v>
      </c>
      <c r="L157" s="253">
        <f>L119*'Costos Alter.'!$D$87</f>
        <v>0</v>
      </c>
      <c r="M157" s="253">
        <f>M119*'Costos Alter.'!$D$87</f>
        <v>0</v>
      </c>
      <c r="N157" s="263">
        <f>SUM(C157:M157)</f>
        <v>0</v>
      </c>
    </row>
    <row r="158" spans="1:14" s="244" customFormat="1" ht="15.75" customHeight="1">
      <c r="A158" s="236"/>
      <c r="B158" s="260" t="s">
        <v>573</v>
      </c>
      <c r="C158" s="253">
        <f>C120*'Costos Alter.'!$D$87</f>
        <v>0</v>
      </c>
      <c r="D158" s="253">
        <f>D120*'Costos Alter.'!$D$87</f>
        <v>0</v>
      </c>
      <c r="E158" s="253">
        <f>E120*'Costos Alter.'!$D$87</f>
        <v>0</v>
      </c>
      <c r="F158" s="253">
        <f>F120*'Costos Alter.'!$D$87</f>
        <v>0</v>
      </c>
      <c r="G158" s="253">
        <f>G120*'Costos Alter.'!$D$87</f>
        <v>0</v>
      </c>
      <c r="H158" s="253">
        <f>H120*'Costos Alter.'!$D$87</f>
        <v>0</v>
      </c>
      <c r="I158" s="253">
        <f>I120*'Costos Alter.'!$D$87</f>
        <v>0</v>
      </c>
      <c r="J158" s="253">
        <f>J120*'Costos Alter.'!$D$87</f>
        <v>0</v>
      </c>
      <c r="K158" s="253">
        <f>K120*'Costos Alter.'!$D$87</f>
        <v>0</v>
      </c>
      <c r="L158" s="253">
        <f>L120*'Costos Alter.'!$D$87</f>
        <v>0</v>
      </c>
      <c r="M158" s="253">
        <f>M120*'Costos Alter.'!$D$87</f>
        <v>0</v>
      </c>
      <c r="N158" s="263">
        <f>SUM(C158:M158)</f>
        <v>0</v>
      </c>
    </row>
    <row r="159" spans="1:14" s="245" customFormat="1" ht="15.75" customHeight="1">
      <c r="A159" s="262">
        <v>3</v>
      </c>
      <c r="B159" s="261" t="s">
        <v>3174</v>
      </c>
      <c r="C159" s="265"/>
      <c r="D159" s="265"/>
      <c r="E159" s="265"/>
      <c r="F159" s="265"/>
      <c r="G159" s="265"/>
      <c r="H159" s="265"/>
      <c r="I159" s="265"/>
      <c r="J159" s="265"/>
      <c r="K159" s="265"/>
      <c r="L159" s="265"/>
      <c r="M159" s="265"/>
      <c r="N159" s="239"/>
    </row>
    <row r="160" spans="1:14" s="244" customFormat="1" ht="15.75" customHeight="1">
      <c r="A160" s="236"/>
      <c r="B160" s="260" t="s">
        <v>15</v>
      </c>
      <c r="C160" s="253">
        <f>C122*'Costos Alter.'!$D$88</f>
        <v>0</v>
      </c>
      <c r="D160" s="253">
        <f>D122*'Costos Alter.'!$D$88</f>
        <v>0</v>
      </c>
      <c r="E160" s="253">
        <f>E122*'Costos Alter.'!$D$88</f>
        <v>0</v>
      </c>
      <c r="F160" s="253">
        <f>F122*'Costos Alter.'!$D$88</f>
        <v>0</v>
      </c>
      <c r="G160" s="253">
        <f>G122*'Costos Alter.'!$D$88</f>
        <v>0</v>
      </c>
      <c r="H160" s="253">
        <f>H122*'Costos Alter.'!$D$88</f>
        <v>0</v>
      </c>
      <c r="I160" s="253">
        <f>I122*'Costos Alter.'!$D$88</f>
        <v>0</v>
      </c>
      <c r="J160" s="253">
        <f>J122*'Costos Alter.'!$D$88</f>
        <v>0</v>
      </c>
      <c r="K160" s="253">
        <f>K122*'Costos Alter.'!$D$88</f>
        <v>0</v>
      </c>
      <c r="L160" s="253">
        <f>L122*'Costos Alter.'!$D$88</f>
        <v>0</v>
      </c>
      <c r="M160" s="253">
        <f>M122*'Costos Alter.'!$D$88</f>
        <v>0</v>
      </c>
      <c r="N160" s="263">
        <f>SUM(C160:M160)</f>
        <v>0</v>
      </c>
    </row>
    <row r="161" spans="1:14" s="244" customFormat="1" ht="15.75" customHeight="1">
      <c r="A161" s="236"/>
      <c r="B161" s="260" t="s">
        <v>573</v>
      </c>
      <c r="C161" s="253">
        <f>C123*'Costos Alter.'!$D$88</f>
        <v>0</v>
      </c>
      <c r="D161" s="253">
        <f>D123*'Costos Alter.'!$D$88</f>
        <v>0</v>
      </c>
      <c r="E161" s="253">
        <f>E123*'Costos Alter.'!$D$88</f>
        <v>0</v>
      </c>
      <c r="F161" s="253">
        <f>F123*'Costos Alter.'!$D$88</f>
        <v>0</v>
      </c>
      <c r="G161" s="253">
        <f>G123*'Costos Alter.'!$D$88</f>
        <v>0</v>
      </c>
      <c r="H161" s="253">
        <f>H123*'Costos Alter.'!$D$88</f>
        <v>0</v>
      </c>
      <c r="I161" s="253">
        <f>I123*'Costos Alter.'!$D$88</f>
        <v>0</v>
      </c>
      <c r="J161" s="253">
        <f>J123*'Costos Alter.'!$D$88</f>
        <v>0</v>
      </c>
      <c r="K161" s="253">
        <f>K123*'Costos Alter.'!$D$88</f>
        <v>0</v>
      </c>
      <c r="L161" s="253">
        <f>L123*'Costos Alter.'!$D$88</f>
        <v>0</v>
      </c>
      <c r="M161" s="253">
        <f>M123*'Costos Alter.'!$D$88</f>
        <v>0</v>
      </c>
      <c r="N161" s="263">
        <f>SUM(C161:M161)</f>
        <v>0</v>
      </c>
    </row>
    <row r="162" spans="1:14" s="245" customFormat="1" ht="15.75" customHeight="1">
      <c r="A162" s="262">
        <v>4</v>
      </c>
      <c r="B162" s="261" t="s">
        <v>463</v>
      </c>
      <c r="C162" s="265"/>
      <c r="D162" s="265"/>
      <c r="E162" s="265"/>
      <c r="F162" s="265"/>
      <c r="G162" s="265"/>
      <c r="H162" s="265"/>
      <c r="I162" s="265"/>
      <c r="J162" s="265"/>
      <c r="K162" s="265"/>
      <c r="L162" s="265"/>
      <c r="M162" s="265"/>
      <c r="N162" s="239"/>
    </row>
    <row r="163" spans="1:14" s="244" customFormat="1" ht="15.75" customHeight="1">
      <c r="A163" s="236"/>
      <c r="B163" s="260" t="s">
        <v>15</v>
      </c>
      <c r="C163" s="253">
        <f>C125*'Costos Alter.'!$D$89</f>
        <v>0</v>
      </c>
      <c r="D163" s="253">
        <f>D125*'Costos Alter.'!$D$89</f>
        <v>0</v>
      </c>
      <c r="E163" s="253">
        <f>E125*'Costos Alter.'!$D$89</f>
        <v>0</v>
      </c>
      <c r="F163" s="253">
        <f>F125*'Costos Alter.'!$D$89</f>
        <v>0</v>
      </c>
      <c r="G163" s="253">
        <f>G125*'Costos Alter.'!$D$89</f>
        <v>0</v>
      </c>
      <c r="H163" s="253">
        <f>H125*'Costos Alter.'!$D$89</f>
        <v>0</v>
      </c>
      <c r="I163" s="253">
        <f>I125*'Costos Alter.'!$D$89</f>
        <v>0</v>
      </c>
      <c r="J163" s="253">
        <f>J125*'Costos Alter.'!$D$89</f>
        <v>0</v>
      </c>
      <c r="K163" s="253">
        <f>K125*'Costos Alter.'!$D$89</f>
        <v>0</v>
      </c>
      <c r="L163" s="253">
        <f>L125*'Costos Alter.'!$D$89</f>
        <v>0</v>
      </c>
      <c r="M163" s="253">
        <f>M125*'Costos Alter.'!$D$89</f>
        <v>0</v>
      </c>
      <c r="N163" s="263">
        <f>SUM(C163:M163)</f>
        <v>0</v>
      </c>
    </row>
    <row r="164" spans="1:14" s="244" customFormat="1" ht="15.75" customHeight="1">
      <c r="A164" s="236"/>
      <c r="B164" s="260" t="s">
        <v>573</v>
      </c>
      <c r="C164" s="253">
        <f>C126*'Costos Alter.'!$D$89</f>
        <v>0</v>
      </c>
      <c r="D164" s="253">
        <f>D126*'Costos Alter.'!$D$89</f>
        <v>0</v>
      </c>
      <c r="E164" s="253">
        <f>E126*'Costos Alter.'!$D$89</f>
        <v>0</v>
      </c>
      <c r="F164" s="253">
        <f>F126*'Costos Alter.'!$D$89</f>
        <v>0</v>
      </c>
      <c r="G164" s="253">
        <f>G126*'Costos Alter.'!$D$89</f>
        <v>0</v>
      </c>
      <c r="H164" s="253">
        <f>H126*'Costos Alter.'!$D$89</f>
        <v>0</v>
      </c>
      <c r="I164" s="253">
        <f>I126*'Costos Alter.'!$D$89</f>
        <v>0</v>
      </c>
      <c r="J164" s="253">
        <f>J126*'Costos Alter.'!$D$89</f>
        <v>0</v>
      </c>
      <c r="K164" s="253">
        <f>K126*'Costos Alter.'!$D$89</f>
        <v>0</v>
      </c>
      <c r="L164" s="253">
        <f>L126*'Costos Alter.'!$D$89</f>
        <v>0</v>
      </c>
      <c r="M164" s="253">
        <f>M126*'Costos Alter.'!$D$89</f>
        <v>0</v>
      </c>
      <c r="N164" s="263">
        <f>SUM(C164:M164)</f>
        <v>0</v>
      </c>
    </row>
    <row r="165" spans="1:14" s="245" customFormat="1" ht="15.75" customHeight="1">
      <c r="A165" s="262">
        <v>5</v>
      </c>
      <c r="B165" s="261" t="s">
        <v>764</v>
      </c>
      <c r="C165" s="265"/>
      <c r="D165" s="265"/>
      <c r="E165" s="265"/>
      <c r="F165" s="265"/>
      <c r="G165" s="265"/>
      <c r="H165" s="265"/>
      <c r="I165" s="265"/>
      <c r="J165" s="265"/>
      <c r="K165" s="265"/>
      <c r="L165" s="265"/>
      <c r="M165" s="265"/>
      <c r="N165" s="239"/>
    </row>
    <row r="166" spans="1:14" s="244" customFormat="1" ht="15.75" customHeight="1">
      <c r="A166" s="236"/>
      <c r="B166" s="260" t="s">
        <v>15</v>
      </c>
      <c r="C166" s="253">
        <f>C128*'Costos Alter.'!$D$91</f>
        <v>0</v>
      </c>
      <c r="D166" s="253">
        <f>D128*'Costos Alter.'!$D$91</f>
        <v>0</v>
      </c>
      <c r="E166" s="253">
        <f>E128*'Costos Alter.'!$D$91</f>
        <v>0</v>
      </c>
      <c r="F166" s="253">
        <f>F128*'Costos Alter.'!$D$91</f>
        <v>0</v>
      </c>
      <c r="G166" s="253">
        <f>G128*'Costos Alter.'!$D$91</f>
        <v>0</v>
      </c>
      <c r="H166" s="253">
        <f>H128*'Costos Alter.'!$D$91</f>
        <v>0</v>
      </c>
      <c r="I166" s="253">
        <f>I128*'Costos Alter.'!$D$91</f>
        <v>0</v>
      </c>
      <c r="J166" s="253">
        <f>J128*'Costos Alter.'!$D$91</f>
        <v>0</v>
      </c>
      <c r="K166" s="253">
        <f>K128*'Costos Alter.'!$D$91</f>
        <v>0</v>
      </c>
      <c r="L166" s="253">
        <f>L128*'Costos Alter.'!$D$91</f>
        <v>0</v>
      </c>
      <c r="M166" s="253">
        <f>M128*'Costos Alter.'!$D$91</f>
        <v>0</v>
      </c>
      <c r="N166" s="263">
        <f>SUM(C166:M166)</f>
        <v>0</v>
      </c>
    </row>
    <row r="167" spans="1:14" s="244" customFormat="1" ht="15.75" customHeight="1">
      <c r="A167" s="236"/>
      <c r="B167" s="260" t="s">
        <v>573</v>
      </c>
      <c r="C167" s="253">
        <f>C129*'Costos Alter.'!$D$91</f>
        <v>0</v>
      </c>
      <c r="D167" s="253">
        <f>D129*'Costos Alter.'!$D$91</f>
        <v>0</v>
      </c>
      <c r="E167" s="253">
        <f>E129*'Costos Alter.'!$D$91</f>
        <v>0</v>
      </c>
      <c r="F167" s="253">
        <f>F129*'Costos Alter.'!$D$91</f>
        <v>0</v>
      </c>
      <c r="G167" s="253">
        <f>G129*'Costos Alter.'!$D$91</f>
        <v>0</v>
      </c>
      <c r="H167" s="253">
        <f>H129*'Costos Alter.'!$D$91</f>
        <v>0</v>
      </c>
      <c r="I167" s="253">
        <f>I129*'Costos Alter.'!$D$91</f>
        <v>0</v>
      </c>
      <c r="J167" s="253">
        <f>J129*'Costos Alter.'!$D$91</f>
        <v>0</v>
      </c>
      <c r="K167" s="253">
        <f>K129*'Costos Alter.'!$D$91</f>
        <v>0</v>
      </c>
      <c r="L167" s="253">
        <f>L129*'Costos Alter.'!$D$91</f>
        <v>0</v>
      </c>
      <c r="M167" s="253">
        <f>M129*'Costos Alter.'!$D$91</f>
        <v>0</v>
      </c>
      <c r="N167" s="263">
        <f>SUM(C167:M167)</f>
        <v>0</v>
      </c>
    </row>
    <row r="168" spans="1:14" s="244" customFormat="1" ht="15.75" customHeight="1">
      <c r="A168" s="236"/>
      <c r="B168" s="264" t="s">
        <v>2437</v>
      </c>
      <c r="C168" s="253">
        <f>C130*'Costos Alter.'!$D$91</f>
        <v>0</v>
      </c>
      <c r="D168" s="253">
        <f>D130*'Costos Alter.'!$D$91</f>
        <v>0</v>
      </c>
      <c r="E168" s="253">
        <f>E130*'Costos Alter.'!$D$91</f>
        <v>0</v>
      </c>
      <c r="F168" s="253">
        <f>F130*'Costos Alter.'!$D$91</f>
        <v>0</v>
      </c>
      <c r="G168" s="253">
        <f>G130*'Costos Alter.'!$D$91</f>
        <v>0</v>
      </c>
      <c r="H168" s="253">
        <f>H130*'Costos Alter.'!$D$91</f>
        <v>0</v>
      </c>
      <c r="I168" s="253">
        <f>I130*'Costos Alter.'!$D$91</f>
        <v>0</v>
      </c>
      <c r="J168" s="253">
        <f>J130*'Costos Alter.'!$D$91</f>
        <v>0</v>
      </c>
      <c r="K168" s="253">
        <f>K130*'Costos Alter.'!$D$91</f>
        <v>0</v>
      </c>
      <c r="L168" s="253">
        <f>L130*'Costos Alter.'!$D$91</f>
        <v>0</v>
      </c>
      <c r="M168" s="253">
        <f>M130*'Costos Alter.'!$D$91</f>
        <v>0</v>
      </c>
      <c r="N168" s="263">
        <f>SUM(C168:M168)</f>
        <v>0</v>
      </c>
    </row>
    <row r="169" spans="1:14" s="245" customFormat="1" ht="15.75" customHeight="1">
      <c r="A169" s="262">
        <v>6</v>
      </c>
      <c r="B169" s="261" t="s">
        <v>2457</v>
      </c>
      <c r="C169" s="265"/>
      <c r="D169" s="265"/>
      <c r="E169" s="265"/>
      <c r="F169" s="265"/>
      <c r="G169" s="265"/>
      <c r="H169" s="265"/>
      <c r="I169" s="265"/>
      <c r="J169" s="265"/>
      <c r="K169" s="265"/>
      <c r="L169" s="265"/>
      <c r="M169" s="265"/>
      <c r="N169" s="239"/>
    </row>
    <row r="170" spans="1:14" s="245" customFormat="1" ht="15.75" customHeight="1">
      <c r="A170" s="225"/>
      <c r="B170" s="260" t="s">
        <v>15</v>
      </c>
      <c r="C170" s="243">
        <f>C132*'Costos Alter.'!$D$92</f>
        <v>0</v>
      </c>
      <c r="D170" s="243">
        <f>D132*'Costos Alter.'!$D$92</f>
        <v>0</v>
      </c>
      <c r="E170" s="243">
        <f>E132*'Costos Alter.'!$D$92</f>
        <v>0</v>
      </c>
      <c r="F170" s="243">
        <f>F132*'Costos Alter.'!$D$92</f>
        <v>0</v>
      </c>
      <c r="G170" s="243">
        <f>G132*'Costos Alter.'!$D$92</f>
        <v>0</v>
      </c>
      <c r="H170" s="243">
        <f>H132*'Costos Alter.'!$D$92</f>
        <v>0</v>
      </c>
      <c r="I170" s="243">
        <f>I132*'Costos Alter.'!$D$92</f>
        <v>0</v>
      </c>
      <c r="J170" s="243">
        <f>J132*'Costos Alter.'!$D$92</f>
        <v>0</v>
      </c>
      <c r="K170" s="243">
        <f>K132*'Costos Alter.'!$D$92</f>
        <v>0</v>
      </c>
      <c r="L170" s="243">
        <f>L132*'Costos Alter.'!$D$92</f>
        <v>0</v>
      </c>
      <c r="M170" s="243">
        <f>M132*'Costos Alter.'!$D$92</f>
        <v>0</v>
      </c>
      <c r="N170" s="263">
        <f>SUM(C170:M170)</f>
        <v>0</v>
      </c>
    </row>
    <row r="171" spans="1:14" s="244" customFormat="1" ht="15.75" customHeight="1">
      <c r="A171" s="236"/>
      <c r="B171" s="264" t="s">
        <v>573</v>
      </c>
      <c r="C171" s="243">
        <f>C133*'Costos Alter.'!$D$92</f>
        <v>0</v>
      </c>
      <c r="D171" s="243">
        <f>D133*'Costos Alter.'!$D$92</f>
        <v>0</v>
      </c>
      <c r="E171" s="243">
        <f>E133*'Costos Alter.'!$D$92</f>
        <v>0</v>
      </c>
      <c r="F171" s="243">
        <f>F133*'Costos Alter.'!$D$92</f>
        <v>0</v>
      </c>
      <c r="G171" s="243">
        <f>G133*'Costos Alter.'!$D$92</f>
        <v>0</v>
      </c>
      <c r="H171" s="243">
        <f>H133*'Costos Alter.'!$D$92</f>
        <v>0</v>
      </c>
      <c r="I171" s="243">
        <f>I133*'Costos Alter.'!$D$92</f>
        <v>0</v>
      </c>
      <c r="J171" s="243">
        <f>J133*'Costos Alter.'!$D$92</f>
        <v>0</v>
      </c>
      <c r="K171" s="243">
        <f>K133*'Costos Alter.'!$D$92</f>
        <v>0</v>
      </c>
      <c r="L171" s="243">
        <f>L133*'Costos Alter.'!$D$92</f>
        <v>0</v>
      </c>
      <c r="M171" s="243">
        <f>M133*'Costos Alter.'!$D$92</f>
        <v>0</v>
      </c>
      <c r="N171" s="263">
        <f>SUM(C171:M171)</f>
        <v>0</v>
      </c>
    </row>
    <row r="172" spans="1:14" s="244" customFormat="1" ht="15.75" customHeight="1">
      <c r="A172" s="1923" t="s">
        <v>10</v>
      </c>
      <c r="B172" s="1923"/>
      <c r="C172" s="242">
        <f t="shared" ref="C172:N172" si="7">SUM(C153:C171)</f>
        <v>0</v>
      </c>
      <c r="D172" s="242">
        <f t="shared" si="7"/>
        <v>0</v>
      </c>
      <c r="E172" s="242">
        <f t="shared" si="7"/>
        <v>0</v>
      </c>
      <c r="F172" s="242">
        <f t="shared" si="7"/>
        <v>0</v>
      </c>
      <c r="G172" s="242">
        <f t="shared" si="7"/>
        <v>0</v>
      </c>
      <c r="H172" s="242">
        <f t="shared" si="7"/>
        <v>0</v>
      </c>
      <c r="I172" s="242">
        <f t="shared" si="7"/>
        <v>0</v>
      </c>
      <c r="J172" s="242">
        <f t="shared" si="7"/>
        <v>0</v>
      </c>
      <c r="K172" s="242">
        <f t="shared" si="7"/>
        <v>0</v>
      </c>
      <c r="L172" s="242">
        <f t="shared" si="7"/>
        <v>0</v>
      </c>
      <c r="M172" s="242">
        <f t="shared" si="7"/>
        <v>0</v>
      </c>
      <c r="N172" s="242">
        <f t="shared" si="7"/>
        <v>0</v>
      </c>
    </row>
    <row r="173" spans="1:14" s="61" customFormat="1" ht="15.75" customHeight="1">
      <c r="B173" s="244"/>
    </row>
    <row r="174" spans="1:14" s="61" customFormat="1" ht="15.75" customHeight="1">
      <c r="B174" s="244"/>
    </row>
    <row r="175" spans="1:14" s="61" customFormat="1" ht="15.75" customHeight="1">
      <c r="A175" s="1949" t="s">
        <v>2460</v>
      </c>
      <c r="B175" s="1694"/>
      <c r="C175" s="1694"/>
      <c r="D175" s="1694"/>
      <c r="E175" s="1694"/>
      <c r="F175" s="1694"/>
      <c r="G175" s="1694"/>
      <c r="H175" s="1694"/>
      <c r="I175" s="1694"/>
      <c r="J175" s="1694"/>
      <c r="K175" s="1694"/>
      <c r="L175" s="1694"/>
      <c r="M175" s="1694"/>
    </row>
    <row r="176" spans="1:14" s="61" customFormat="1" ht="15.75" customHeight="1">
      <c r="B176" s="244"/>
    </row>
    <row r="177" spans="1:14" s="244" customFormat="1" ht="15.75" customHeight="1">
      <c r="A177" s="32" t="s">
        <v>19</v>
      </c>
      <c r="B177" s="32" t="s">
        <v>608</v>
      </c>
      <c r="C177" s="32" t="s">
        <v>46</v>
      </c>
      <c r="D177" s="32" t="s">
        <v>47</v>
      </c>
      <c r="E177" s="32" t="s">
        <v>48</v>
      </c>
      <c r="F177" s="32" t="s">
        <v>49</v>
      </c>
      <c r="G177" s="32" t="s">
        <v>50</v>
      </c>
      <c r="H177" s="32" t="s">
        <v>51</v>
      </c>
      <c r="I177" s="32" t="s">
        <v>52</v>
      </c>
      <c r="J177" s="32" t="s">
        <v>53</v>
      </c>
      <c r="K177" s="32" t="s">
        <v>54</v>
      </c>
      <c r="L177" s="32" t="s">
        <v>55</v>
      </c>
      <c r="M177" s="32" t="s">
        <v>56</v>
      </c>
    </row>
    <row r="178" spans="1:14" s="244" customFormat="1" ht="15.75" customHeight="1">
      <c r="A178" s="236">
        <v>1</v>
      </c>
      <c r="B178" s="260" t="s">
        <v>15</v>
      </c>
      <c r="C178" s="241">
        <f>C154+C157+C160+C163+C166+C170</f>
        <v>0</v>
      </c>
      <c r="D178" s="241">
        <f t="shared" ref="D178:M178" si="8">D154+D157+D160+D163+D166+D170</f>
        <v>0</v>
      </c>
      <c r="E178" s="241">
        <f t="shared" si="8"/>
        <v>0</v>
      </c>
      <c r="F178" s="241">
        <f t="shared" si="8"/>
        <v>0</v>
      </c>
      <c r="G178" s="241">
        <f t="shared" si="8"/>
        <v>0</v>
      </c>
      <c r="H178" s="241">
        <f t="shared" si="8"/>
        <v>0</v>
      </c>
      <c r="I178" s="241">
        <f t="shared" si="8"/>
        <v>0</v>
      </c>
      <c r="J178" s="241">
        <f t="shared" si="8"/>
        <v>0</v>
      </c>
      <c r="K178" s="241">
        <f t="shared" si="8"/>
        <v>0</v>
      </c>
      <c r="L178" s="241">
        <f t="shared" si="8"/>
        <v>0</v>
      </c>
      <c r="M178" s="241">
        <f t="shared" si="8"/>
        <v>0</v>
      </c>
    </row>
    <row r="179" spans="1:14" s="244" customFormat="1" ht="15.75" customHeight="1">
      <c r="A179" s="236">
        <v>1</v>
      </c>
      <c r="B179" s="260" t="s">
        <v>573</v>
      </c>
      <c r="C179" s="241">
        <f>C155+C158+C161+C164+C167+C171</f>
        <v>0</v>
      </c>
      <c r="D179" s="241">
        <f t="shared" ref="D179:M179" si="9">D155+D158+D161+D164+D167+D171</f>
        <v>0</v>
      </c>
      <c r="E179" s="241">
        <f t="shared" si="9"/>
        <v>0</v>
      </c>
      <c r="F179" s="241">
        <f t="shared" si="9"/>
        <v>0</v>
      </c>
      <c r="G179" s="241">
        <f t="shared" si="9"/>
        <v>0</v>
      </c>
      <c r="H179" s="241">
        <f t="shared" si="9"/>
        <v>0</v>
      </c>
      <c r="I179" s="241">
        <f t="shared" si="9"/>
        <v>0</v>
      </c>
      <c r="J179" s="241">
        <f t="shared" si="9"/>
        <v>0</v>
      </c>
      <c r="K179" s="241">
        <f t="shared" si="9"/>
        <v>0</v>
      </c>
      <c r="L179" s="241">
        <f t="shared" si="9"/>
        <v>0</v>
      </c>
      <c r="M179" s="241">
        <f t="shared" si="9"/>
        <v>0</v>
      </c>
    </row>
    <row r="180" spans="1:14" s="244" customFormat="1" ht="15.75" customHeight="1">
      <c r="A180" s="236">
        <v>1</v>
      </c>
      <c r="B180" s="260" t="s">
        <v>2437</v>
      </c>
      <c r="C180" s="241">
        <f>C168</f>
        <v>0</v>
      </c>
      <c r="D180" s="241">
        <f t="shared" ref="D180:M180" si="10">D168</f>
        <v>0</v>
      </c>
      <c r="E180" s="241">
        <f t="shared" si="10"/>
        <v>0</v>
      </c>
      <c r="F180" s="241">
        <f t="shared" si="10"/>
        <v>0</v>
      </c>
      <c r="G180" s="241">
        <f t="shared" si="10"/>
        <v>0</v>
      </c>
      <c r="H180" s="241">
        <f t="shared" si="10"/>
        <v>0</v>
      </c>
      <c r="I180" s="241">
        <f t="shared" si="10"/>
        <v>0</v>
      </c>
      <c r="J180" s="241">
        <f t="shared" si="10"/>
        <v>0</v>
      </c>
      <c r="K180" s="241">
        <f t="shared" si="10"/>
        <v>0</v>
      </c>
      <c r="L180" s="241">
        <f t="shared" si="10"/>
        <v>0</v>
      </c>
      <c r="M180" s="241">
        <f t="shared" si="10"/>
        <v>0</v>
      </c>
    </row>
    <row r="181" spans="1:14" s="244" customFormat="1" ht="15.75" customHeight="1">
      <c r="A181" s="1923" t="s">
        <v>10</v>
      </c>
      <c r="B181" s="1923"/>
      <c r="C181" s="242">
        <f t="shared" ref="C181:M181" si="11">SUM(C178:C180)</f>
        <v>0</v>
      </c>
      <c r="D181" s="242">
        <f t="shared" si="11"/>
        <v>0</v>
      </c>
      <c r="E181" s="242">
        <f t="shared" si="11"/>
        <v>0</v>
      </c>
      <c r="F181" s="242">
        <f t="shared" si="11"/>
        <v>0</v>
      </c>
      <c r="G181" s="242">
        <f t="shared" si="11"/>
        <v>0</v>
      </c>
      <c r="H181" s="242">
        <f t="shared" si="11"/>
        <v>0</v>
      </c>
      <c r="I181" s="242">
        <f t="shared" si="11"/>
        <v>0</v>
      </c>
      <c r="J181" s="242">
        <f t="shared" si="11"/>
        <v>0</v>
      </c>
      <c r="K181" s="242">
        <f t="shared" si="11"/>
        <v>0</v>
      </c>
      <c r="L181" s="242">
        <f t="shared" si="11"/>
        <v>0</v>
      </c>
      <c r="M181" s="242">
        <f t="shared" si="11"/>
        <v>0</v>
      </c>
    </row>
    <row r="182" spans="1:14" s="244" customFormat="1" ht="15.75" customHeight="1">
      <c r="A182" s="281"/>
      <c r="B182" s="281"/>
      <c r="C182" s="282"/>
      <c r="D182" s="282"/>
      <c r="E182" s="282"/>
      <c r="F182" s="282"/>
      <c r="G182" s="282"/>
      <c r="H182" s="282"/>
      <c r="I182" s="282"/>
      <c r="J182" s="282"/>
      <c r="K182" s="282"/>
      <c r="L182" s="282"/>
      <c r="M182" s="282"/>
    </row>
    <row r="183" spans="1:14" s="244" customFormat="1" ht="15.75" customHeight="1">
      <c r="A183" s="511"/>
      <c r="B183" s="511"/>
      <c r="C183" s="282"/>
      <c r="D183" s="282"/>
      <c r="E183" s="282"/>
      <c r="F183" s="282"/>
      <c r="G183" s="282"/>
      <c r="H183" s="282"/>
      <c r="I183" s="282"/>
      <c r="J183" s="282"/>
      <c r="K183" s="282"/>
      <c r="L183" s="282"/>
      <c r="M183" s="282"/>
      <c r="N183" s="513"/>
    </row>
    <row r="184" spans="1:14" s="244" customFormat="1" ht="15.75" customHeight="1">
      <c r="A184" s="511"/>
      <c r="B184" s="511"/>
      <c r="C184" s="282"/>
      <c r="D184" s="282"/>
      <c r="E184" s="282"/>
      <c r="F184" s="282"/>
      <c r="G184" s="282"/>
      <c r="H184" s="282"/>
      <c r="I184" s="282"/>
      <c r="J184" s="282"/>
      <c r="K184" s="282"/>
      <c r="L184" s="282"/>
      <c r="M184" s="282"/>
      <c r="N184" s="513"/>
    </row>
    <row r="185" spans="1:14" s="61" customFormat="1" ht="15.75" customHeight="1">
      <c r="A185" s="514"/>
      <c r="B185" s="513"/>
      <c r="C185" s="514"/>
      <c r="D185" s="514"/>
      <c r="E185" s="514"/>
      <c r="F185" s="514"/>
      <c r="G185" s="514"/>
      <c r="H185" s="514"/>
      <c r="I185" s="514"/>
      <c r="J185" s="514"/>
      <c r="K185" s="514"/>
      <c r="L185" s="514"/>
      <c r="M185" s="514"/>
      <c r="N185" s="514"/>
    </row>
  </sheetData>
  <mergeCells count="27">
    <mergeCell ref="A1:M1"/>
    <mergeCell ref="B10:G10"/>
    <mergeCell ref="A13:M13"/>
    <mergeCell ref="B18:G18"/>
    <mergeCell ref="A26:M26"/>
    <mergeCell ref="B4:J4"/>
    <mergeCell ref="A150:M150"/>
    <mergeCell ref="A172:B172"/>
    <mergeCell ref="A175:M175"/>
    <mergeCell ref="A181:B181"/>
    <mergeCell ref="K145:N147"/>
    <mergeCell ref="A134:B134"/>
    <mergeCell ref="A143:B143"/>
    <mergeCell ref="B24:E24"/>
    <mergeCell ref="B58:E58"/>
    <mergeCell ref="B99:E99"/>
    <mergeCell ref="B108:E108"/>
    <mergeCell ref="B81:E81"/>
    <mergeCell ref="B67:E67"/>
    <mergeCell ref="B49:E49"/>
    <mergeCell ref="B110:E110"/>
    <mergeCell ref="A137:M137"/>
    <mergeCell ref="B89:G89"/>
    <mergeCell ref="A91:M91"/>
    <mergeCell ref="A101:M101"/>
    <mergeCell ref="A83:M83"/>
    <mergeCell ref="A112:M112"/>
  </mergeCells>
  <printOptions horizontalCentered="1"/>
  <pageMargins left="0.70866141732283472" right="0.70866141732283472" top="0.74803149606299213" bottom="0.74803149606299213" header="0.31496062992125984" footer="0.31496062992125984"/>
  <pageSetup paperSize="9" scale="55" orientation="landscape" r:id="rId1"/>
  <drawing r:id="rId2"/>
  <legacyDrawing r:id="rId3"/>
  <controls>
    <mc:AlternateContent xmlns:mc="http://schemas.openxmlformats.org/markup-compatibility/2006">
      <mc:Choice Requires="x14">
        <control shapeId="81925" r:id="rId4" name="CommandButton5">
          <controlPr defaultSize="0" autoLine="0" r:id="rId5">
            <anchor moveWithCells="1" sizeWithCells="1">
              <from>
                <xdr:col>1</xdr:col>
                <xdr:colOff>1466850</xdr:colOff>
                <xdr:row>183</xdr:row>
                <xdr:rowOff>76200</xdr:rowOff>
              </from>
              <to>
                <xdr:col>2</xdr:col>
                <xdr:colOff>704850</xdr:colOff>
                <xdr:row>184</xdr:row>
                <xdr:rowOff>190500</xdr:rowOff>
              </to>
            </anchor>
          </controlPr>
        </control>
      </mc:Choice>
      <mc:Fallback>
        <control shapeId="81925" r:id="rId4" name="CommandButton5"/>
      </mc:Fallback>
    </mc:AlternateContent>
    <mc:AlternateContent xmlns:mc="http://schemas.openxmlformats.org/markup-compatibility/2006">
      <mc:Choice Requires="x14">
        <control shapeId="81921" r:id="rId6" name="CommandButton1">
          <controlPr defaultSize="0" autoLine="0" r:id="rId7">
            <anchor moveWithCells="1" sizeWithCells="1">
              <from>
                <xdr:col>0</xdr:col>
                <xdr:colOff>19050</xdr:colOff>
                <xdr:row>1</xdr:row>
                <xdr:rowOff>85725</xdr:rowOff>
              </from>
              <to>
                <xdr:col>1</xdr:col>
                <xdr:colOff>1066800</xdr:colOff>
                <xdr:row>3</xdr:row>
                <xdr:rowOff>0</xdr:rowOff>
              </to>
            </anchor>
          </controlPr>
        </control>
      </mc:Choice>
      <mc:Fallback>
        <control shapeId="81921" r:id="rId6" name="CommandButton1"/>
      </mc:Fallback>
    </mc:AlternateContent>
    <mc:AlternateContent xmlns:mc="http://schemas.openxmlformats.org/markup-compatibility/2006">
      <mc:Choice Requires="x14">
        <control shapeId="81922" r:id="rId8" name="CommandButton2">
          <controlPr defaultSize="0" autoLine="0" r:id="rId9">
            <anchor moveWithCells="1" sizeWithCells="1">
              <from>
                <xdr:col>11</xdr:col>
                <xdr:colOff>180975</xdr:colOff>
                <xdr:row>143</xdr:row>
                <xdr:rowOff>85725</xdr:rowOff>
              </from>
              <to>
                <xdr:col>13</xdr:col>
                <xdr:colOff>657225</xdr:colOff>
                <xdr:row>145</xdr:row>
                <xdr:rowOff>0</xdr:rowOff>
              </to>
            </anchor>
          </controlPr>
        </control>
      </mc:Choice>
      <mc:Fallback>
        <control shapeId="81922" r:id="rId8" name="CommandButton2"/>
      </mc:Fallback>
    </mc:AlternateContent>
    <mc:AlternateContent xmlns:mc="http://schemas.openxmlformats.org/markup-compatibility/2006">
      <mc:Choice Requires="x14">
        <control shapeId="81923" r:id="rId10" name="CommandButton3">
          <controlPr defaultSize="0" autoLine="0" r:id="rId11">
            <anchor moveWithCells="1" sizeWithCells="1">
              <from>
                <xdr:col>0</xdr:col>
                <xdr:colOff>19050</xdr:colOff>
                <xdr:row>183</xdr:row>
                <xdr:rowOff>57150</xdr:rowOff>
              </from>
              <to>
                <xdr:col>1</xdr:col>
                <xdr:colOff>1447800</xdr:colOff>
                <xdr:row>184</xdr:row>
                <xdr:rowOff>190500</xdr:rowOff>
              </to>
            </anchor>
          </controlPr>
        </control>
      </mc:Choice>
      <mc:Fallback>
        <control shapeId="81923" r:id="rId10" name="CommandButton3"/>
      </mc:Fallback>
    </mc:AlternateContent>
    <mc:AlternateContent xmlns:mc="http://schemas.openxmlformats.org/markup-compatibility/2006">
      <mc:Choice Requires="x14">
        <control shapeId="81924" r:id="rId12" name="CommandButton4">
          <controlPr defaultSize="0" autoLine="0" r:id="rId13">
            <anchor moveWithCells="1" sizeWithCells="1">
              <from>
                <xdr:col>1</xdr:col>
                <xdr:colOff>1076325</xdr:colOff>
                <xdr:row>1</xdr:row>
                <xdr:rowOff>85725</xdr:rowOff>
              </from>
              <to>
                <xdr:col>2</xdr:col>
                <xdr:colOff>314325</xdr:colOff>
                <xdr:row>3</xdr:row>
                <xdr:rowOff>0</xdr:rowOff>
              </to>
            </anchor>
          </controlPr>
        </control>
      </mc:Choice>
      <mc:Fallback>
        <control shapeId="81924" r:id="rId12" name="CommandButton4"/>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9">
    <tabColor theme="0"/>
  </sheetPr>
  <dimension ref="A1:HY103"/>
  <sheetViews>
    <sheetView showGridLines="0" showZeros="0" view="pageBreakPreview" topLeftCell="A86" zoomScale="85" zoomScaleNormal="85" zoomScaleSheetLayoutView="85" workbookViewId="0">
      <selection activeCell="B4" sqref="B4"/>
    </sheetView>
  </sheetViews>
  <sheetFormatPr baseColWidth="10" defaultColWidth="11.42578125" defaultRowHeight="15"/>
  <cols>
    <col min="1" max="1" width="8.7109375" style="1129" customWidth="1"/>
    <col min="2" max="2" width="10.140625" style="608" customWidth="1"/>
    <col min="3" max="3" width="51.140625" style="618" customWidth="1"/>
    <col min="4" max="4" width="12" style="897" customWidth="1"/>
    <col min="5" max="5" width="14.7109375" style="897" bestFit="1" customWidth="1"/>
    <col min="6" max="15" width="12.140625" style="897" customWidth="1"/>
    <col min="16" max="16" width="15" style="897" bestFit="1" customWidth="1"/>
    <col min="17" max="113" width="11.42578125" style="1129"/>
    <col min="114" max="114" width="13.140625" style="1129" customWidth="1"/>
    <col min="115" max="115" width="59.28515625" style="1129" customWidth="1"/>
    <col min="116" max="116" width="13.5703125" style="1129" customWidth="1"/>
    <col min="117" max="117" width="17.42578125" style="1129" customWidth="1"/>
    <col min="118" max="118" width="10.5703125" style="1129" customWidth="1"/>
    <col min="119" max="119" width="10.42578125" style="1129" customWidth="1"/>
    <col min="120" max="121" width="10.140625" style="1129" customWidth="1"/>
    <col min="122" max="123" width="10" style="1129" customWidth="1"/>
    <col min="124" max="124" width="10.42578125" style="1129" customWidth="1"/>
    <col min="125" max="125" width="9.85546875" style="1129" customWidth="1"/>
    <col min="126" max="126" width="10.28515625" style="1129" customWidth="1"/>
    <col min="127" max="127" width="11.7109375" style="1129" bestFit="1" customWidth="1"/>
    <col min="128" max="128" width="11.42578125" style="1129"/>
    <col min="129" max="129" width="7.140625" style="1129" customWidth="1"/>
    <col min="130" max="130" width="48.7109375" style="1129" customWidth="1"/>
    <col min="131" max="16384" width="11.42578125" style="1129"/>
  </cols>
  <sheetData>
    <row r="1" spans="1:233">
      <c r="B1" s="1965"/>
      <c r="C1" s="1965"/>
      <c r="D1" s="1965"/>
      <c r="E1" s="1965"/>
      <c r="F1" s="1965"/>
      <c r="G1" s="1965"/>
      <c r="H1" s="1965"/>
      <c r="I1" s="1965"/>
      <c r="J1" s="1965"/>
      <c r="K1" s="1965"/>
      <c r="L1" s="1965"/>
      <c r="M1" s="1965"/>
      <c r="N1" s="1965"/>
      <c r="O1" s="1965"/>
      <c r="P1" s="1965"/>
    </row>
    <row r="2" spans="1:233" ht="20.25" customHeight="1">
      <c r="B2" s="1130"/>
      <c r="H2" s="405"/>
      <c r="I2" s="405"/>
      <c r="J2" s="1131"/>
      <c r="K2" s="405"/>
      <c r="L2" s="1132"/>
      <c r="M2" s="405"/>
      <c r="N2" s="405"/>
      <c r="O2" s="405"/>
      <c r="P2" s="405"/>
    </row>
    <row r="3" spans="1:233" ht="26.25" customHeight="1">
      <c r="B3" s="1966" t="s">
        <v>171</v>
      </c>
      <c r="C3" s="1966"/>
      <c r="D3" s="1966"/>
      <c r="E3" s="1966"/>
      <c r="F3" s="1966"/>
      <c r="G3" s="1966"/>
      <c r="H3" s="1966"/>
      <c r="I3" s="1966"/>
      <c r="J3" s="1966"/>
      <c r="K3" s="1966"/>
      <c r="L3" s="1966"/>
      <c r="M3" s="1966"/>
      <c r="N3" s="1966"/>
      <c r="O3" s="1966"/>
      <c r="P3" s="1966"/>
    </row>
    <row r="4" spans="1:233" ht="5.25" customHeight="1">
      <c r="B4" s="1133"/>
      <c r="C4" s="1133"/>
      <c r="D4" s="1133"/>
      <c r="E4" s="1133"/>
      <c r="F4" s="1133"/>
      <c r="G4" s="1133"/>
      <c r="H4" s="1133"/>
      <c r="I4" s="1133"/>
      <c r="J4" s="1133"/>
      <c r="K4" s="1133"/>
      <c r="L4" s="1133"/>
      <c r="M4" s="1133"/>
      <c r="N4" s="1133"/>
      <c r="O4" s="1133"/>
      <c r="P4" s="1133"/>
    </row>
    <row r="5" spans="1:233" ht="11.25" hidden="1" customHeight="1">
      <c r="B5" s="1133"/>
      <c r="C5" s="1133"/>
      <c r="D5" s="1133"/>
      <c r="E5" s="1133"/>
      <c r="F5" s="1133"/>
      <c r="G5" s="1133"/>
      <c r="H5" s="1133"/>
      <c r="I5" s="1133"/>
      <c r="J5" s="1133"/>
      <c r="K5" s="1133"/>
      <c r="L5" s="1133"/>
      <c r="M5" s="1133"/>
      <c r="N5" s="1133"/>
      <c r="O5" s="1133"/>
      <c r="P5" s="1133"/>
    </row>
    <row r="6" spans="1:233">
      <c r="C6" s="796"/>
      <c r="D6" s="796"/>
      <c r="E6" s="1134">
        <v>0</v>
      </c>
      <c r="F6" s="405"/>
      <c r="G6" s="405"/>
      <c r="H6" s="405"/>
      <c r="I6" s="405"/>
      <c r="J6" s="405"/>
      <c r="K6" s="405"/>
      <c r="L6" s="405"/>
      <c r="M6" s="405"/>
      <c r="N6" s="405"/>
      <c r="O6" s="405"/>
      <c r="P6" s="405"/>
    </row>
    <row r="7" spans="1:233">
      <c r="C7" s="796"/>
      <c r="D7" s="796"/>
      <c r="E7" s="765"/>
      <c r="F7" s="405"/>
      <c r="G7" s="405"/>
      <c r="H7" s="405"/>
      <c r="I7" s="405"/>
      <c r="J7" s="405"/>
      <c r="K7" s="405"/>
      <c r="L7" s="405"/>
      <c r="M7" s="405"/>
      <c r="N7" s="405"/>
      <c r="O7" s="405"/>
      <c r="P7" s="405"/>
    </row>
    <row r="8" spans="1:233" s="618" customFormat="1" ht="20.25" customHeight="1">
      <c r="B8" s="1841" t="s">
        <v>19</v>
      </c>
      <c r="C8" s="1964" t="s">
        <v>87</v>
      </c>
      <c r="D8" s="1964"/>
      <c r="E8" s="1841" t="s">
        <v>46</v>
      </c>
      <c r="F8" s="1833" t="s">
        <v>45</v>
      </c>
      <c r="G8" s="1834"/>
      <c r="H8" s="1834"/>
      <c r="I8" s="1834"/>
      <c r="J8" s="1834"/>
      <c r="K8" s="1834"/>
      <c r="L8" s="1834"/>
      <c r="M8" s="1834"/>
      <c r="N8" s="1834"/>
      <c r="O8" s="1835"/>
      <c r="P8" s="1792" t="s">
        <v>3273</v>
      </c>
      <c r="Q8" s="633"/>
      <c r="R8" s="633"/>
      <c r="S8" s="633"/>
      <c r="T8" s="633"/>
      <c r="U8" s="633"/>
      <c r="V8" s="633"/>
      <c r="W8" s="633"/>
      <c r="X8" s="633"/>
      <c r="Y8" s="633"/>
      <c r="Z8" s="633"/>
      <c r="AA8" s="633"/>
      <c r="AB8" s="633"/>
      <c r="AC8" s="633"/>
      <c r="AD8" s="633"/>
      <c r="AE8" s="633"/>
      <c r="AF8" s="633"/>
      <c r="AG8" s="633"/>
      <c r="AH8" s="633"/>
      <c r="AI8" s="633"/>
      <c r="AJ8" s="633"/>
      <c r="AK8" s="633"/>
      <c r="AL8" s="633"/>
      <c r="AM8" s="633"/>
      <c r="AN8" s="633"/>
      <c r="AO8" s="633"/>
      <c r="AP8" s="633"/>
      <c r="AQ8" s="633"/>
      <c r="AR8" s="633"/>
      <c r="AS8" s="633"/>
      <c r="AT8" s="633"/>
      <c r="AU8" s="633"/>
      <c r="AV8" s="633"/>
      <c r="AW8" s="633"/>
      <c r="AX8" s="633"/>
      <c r="AY8" s="633"/>
      <c r="AZ8" s="633"/>
      <c r="BA8" s="633"/>
      <c r="BB8" s="633"/>
      <c r="BC8" s="633"/>
      <c r="BD8" s="633"/>
      <c r="BE8" s="633"/>
      <c r="BF8" s="633"/>
      <c r="BG8" s="633"/>
      <c r="BH8" s="633"/>
      <c r="BI8" s="633"/>
      <c r="BJ8" s="633"/>
      <c r="BK8" s="633"/>
      <c r="BL8" s="633"/>
      <c r="BM8" s="633"/>
      <c r="BN8" s="633"/>
      <c r="BO8" s="633"/>
      <c r="BP8" s="633"/>
      <c r="BQ8" s="633"/>
      <c r="BR8" s="633"/>
      <c r="BS8" s="633"/>
      <c r="BT8" s="633"/>
      <c r="BU8" s="633"/>
      <c r="BV8" s="633"/>
      <c r="BW8" s="633"/>
      <c r="BX8" s="633"/>
      <c r="BY8" s="633"/>
      <c r="BZ8" s="633"/>
      <c r="CA8" s="633"/>
      <c r="CB8" s="633"/>
      <c r="CC8" s="633"/>
      <c r="CD8" s="633"/>
      <c r="CE8" s="633"/>
      <c r="CF8" s="633"/>
      <c r="CG8" s="633"/>
      <c r="CH8" s="633"/>
      <c r="CI8" s="633"/>
      <c r="CJ8" s="633"/>
      <c r="CK8" s="633"/>
      <c r="CL8" s="633"/>
      <c r="CM8" s="633"/>
      <c r="CN8" s="633"/>
      <c r="CO8" s="633"/>
      <c r="CP8" s="633"/>
      <c r="CQ8" s="633"/>
      <c r="CR8" s="633"/>
      <c r="CS8" s="633"/>
      <c r="CT8" s="633"/>
      <c r="CU8" s="633"/>
      <c r="CV8" s="633"/>
      <c r="CW8" s="633"/>
      <c r="CX8" s="633"/>
      <c r="CY8" s="633"/>
      <c r="CZ8" s="633"/>
      <c r="DA8" s="633"/>
      <c r="DB8" s="633"/>
      <c r="DC8" s="633"/>
      <c r="DD8" s="633"/>
      <c r="DE8" s="633"/>
      <c r="DF8" s="633"/>
      <c r="DG8" s="633"/>
      <c r="DH8" s="633"/>
      <c r="DI8" s="633"/>
      <c r="DJ8" s="633"/>
      <c r="DK8" s="633"/>
      <c r="DL8" s="633"/>
      <c r="DM8" s="633"/>
      <c r="DN8" s="633"/>
      <c r="DO8" s="633"/>
      <c r="DP8" s="633"/>
      <c r="DQ8" s="633"/>
      <c r="DR8" s="633"/>
      <c r="DS8" s="633"/>
      <c r="DT8" s="633"/>
      <c r="DU8" s="633"/>
      <c r="DV8" s="633"/>
      <c r="DW8" s="633"/>
      <c r="DX8" s="633"/>
      <c r="DY8" s="633"/>
      <c r="DZ8" s="633"/>
      <c r="EA8" s="633"/>
      <c r="EB8" s="633"/>
      <c r="EC8" s="633"/>
      <c r="ED8" s="633"/>
      <c r="EE8" s="633"/>
      <c r="EF8" s="633"/>
      <c r="EG8" s="633"/>
      <c r="EH8" s="633"/>
      <c r="EI8" s="633"/>
      <c r="EJ8" s="633"/>
      <c r="EK8" s="633"/>
      <c r="EL8" s="633"/>
      <c r="EM8" s="633"/>
      <c r="EN8" s="633"/>
      <c r="EO8" s="633"/>
      <c r="EP8" s="633"/>
      <c r="EQ8" s="633"/>
      <c r="ER8" s="633"/>
      <c r="ES8" s="633"/>
      <c r="ET8" s="633"/>
      <c r="EU8" s="633"/>
      <c r="EV8" s="633"/>
      <c r="EW8" s="633"/>
      <c r="EX8" s="633"/>
      <c r="EY8" s="633"/>
      <c r="EZ8" s="633"/>
      <c r="FA8" s="633"/>
      <c r="FB8" s="633"/>
      <c r="FC8" s="633"/>
      <c r="FD8" s="633"/>
      <c r="FE8" s="633"/>
      <c r="FF8" s="633"/>
      <c r="FG8" s="633"/>
      <c r="FH8" s="633"/>
      <c r="FI8" s="633"/>
      <c r="FJ8" s="633"/>
      <c r="FK8" s="633"/>
      <c r="FL8" s="633"/>
      <c r="FM8" s="633"/>
      <c r="FN8" s="633"/>
      <c r="FO8" s="633"/>
      <c r="FP8" s="633"/>
      <c r="FQ8" s="633"/>
      <c r="FR8" s="633"/>
      <c r="FS8" s="633"/>
      <c r="FT8" s="633"/>
      <c r="FU8" s="633"/>
      <c r="FV8" s="633"/>
      <c r="FW8" s="633"/>
      <c r="FX8" s="633"/>
      <c r="FY8" s="633"/>
      <c r="FZ8" s="633"/>
      <c r="GA8" s="633"/>
      <c r="GB8" s="633"/>
      <c r="GC8" s="633"/>
      <c r="GD8" s="633"/>
      <c r="GE8" s="633"/>
      <c r="GF8" s="633"/>
      <c r="GG8" s="633"/>
      <c r="GH8" s="633"/>
      <c r="GI8" s="633"/>
      <c r="GJ8" s="633"/>
      <c r="GK8" s="633"/>
      <c r="GL8" s="633"/>
      <c r="GM8" s="633"/>
      <c r="GN8" s="633"/>
      <c r="GO8" s="633"/>
      <c r="GP8" s="633"/>
      <c r="GQ8" s="633"/>
      <c r="GR8" s="633"/>
      <c r="GS8" s="633"/>
      <c r="GT8" s="633"/>
      <c r="GU8" s="633"/>
      <c r="GV8" s="633"/>
      <c r="GW8" s="633"/>
      <c r="GX8" s="633"/>
      <c r="GY8" s="633"/>
      <c r="GZ8" s="633"/>
      <c r="HA8" s="633"/>
      <c r="HB8" s="633"/>
      <c r="HC8" s="633"/>
      <c r="HD8" s="633"/>
      <c r="HE8" s="633"/>
      <c r="HF8" s="633"/>
      <c r="HG8" s="633"/>
      <c r="HH8" s="633"/>
      <c r="HI8" s="633"/>
      <c r="HJ8" s="633"/>
      <c r="HK8" s="633"/>
      <c r="HL8" s="633"/>
      <c r="HM8" s="633"/>
      <c r="HN8" s="633"/>
      <c r="HO8" s="633"/>
      <c r="HP8" s="633"/>
      <c r="HQ8" s="633"/>
      <c r="HR8" s="633"/>
      <c r="HS8" s="633"/>
      <c r="HT8" s="633"/>
      <c r="HU8" s="633"/>
      <c r="HV8" s="633"/>
      <c r="HW8" s="633"/>
      <c r="HX8" s="633"/>
      <c r="HY8" s="633"/>
    </row>
    <row r="9" spans="1:233" s="618" customFormat="1" ht="15.95" customHeight="1">
      <c r="B9" s="1842"/>
      <c r="C9" s="1964"/>
      <c r="D9" s="1964"/>
      <c r="E9" s="1842"/>
      <c r="F9" s="853" t="s">
        <v>47</v>
      </c>
      <c r="G9" s="853" t="s">
        <v>48</v>
      </c>
      <c r="H9" s="853" t="s">
        <v>49</v>
      </c>
      <c r="I9" s="853" t="s">
        <v>50</v>
      </c>
      <c r="J9" s="853" t="s">
        <v>51</v>
      </c>
      <c r="K9" s="853" t="s">
        <v>52</v>
      </c>
      <c r="L9" s="853" t="s">
        <v>53</v>
      </c>
      <c r="M9" s="853" t="s">
        <v>54</v>
      </c>
      <c r="N9" s="853" t="s">
        <v>55</v>
      </c>
      <c r="O9" s="853" t="s">
        <v>56</v>
      </c>
      <c r="P9" s="1791"/>
      <c r="Q9" s="633"/>
      <c r="R9" s="633"/>
      <c r="S9" s="633"/>
      <c r="T9" s="633"/>
      <c r="U9" s="633"/>
      <c r="V9" s="633"/>
      <c r="W9" s="633"/>
      <c r="X9" s="633"/>
      <c r="Y9" s="633"/>
      <c r="Z9" s="633"/>
      <c r="AA9" s="633"/>
      <c r="AB9" s="633"/>
      <c r="AC9" s="633"/>
      <c r="AD9" s="633"/>
      <c r="AE9" s="633"/>
      <c r="AF9" s="633"/>
      <c r="AG9" s="633"/>
      <c r="AH9" s="633"/>
      <c r="AI9" s="633"/>
      <c r="AJ9" s="633"/>
      <c r="AK9" s="633"/>
      <c r="AL9" s="633"/>
      <c r="AM9" s="633"/>
      <c r="AN9" s="633"/>
      <c r="AO9" s="633"/>
      <c r="AP9" s="633"/>
      <c r="AQ9" s="633"/>
      <c r="AR9" s="633"/>
      <c r="AS9" s="633"/>
      <c r="AT9" s="633"/>
      <c r="AU9" s="633"/>
      <c r="AV9" s="633"/>
      <c r="AW9" s="633"/>
      <c r="AX9" s="633"/>
      <c r="AY9" s="633"/>
      <c r="AZ9" s="633"/>
      <c r="BA9" s="633"/>
      <c r="BB9" s="633"/>
      <c r="BC9" s="633"/>
      <c r="BD9" s="633"/>
      <c r="BE9" s="633"/>
      <c r="BF9" s="633"/>
      <c r="BG9" s="633"/>
      <c r="BH9" s="633"/>
      <c r="BI9" s="633"/>
      <c r="BJ9" s="633"/>
      <c r="BK9" s="633"/>
      <c r="BL9" s="633"/>
      <c r="BM9" s="633"/>
      <c r="BN9" s="633"/>
      <c r="BO9" s="633"/>
      <c r="BP9" s="633"/>
      <c r="BQ9" s="633"/>
      <c r="BR9" s="633"/>
      <c r="BS9" s="633"/>
      <c r="BT9" s="633"/>
      <c r="BU9" s="633"/>
      <c r="BV9" s="633"/>
      <c r="BW9" s="633"/>
      <c r="BX9" s="633"/>
      <c r="BY9" s="633"/>
      <c r="BZ9" s="633"/>
      <c r="CA9" s="633"/>
      <c r="CB9" s="633"/>
      <c r="CC9" s="633"/>
      <c r="CD9" s="633"/>
      <c r="CE9" s="633"/>
      <c r="CF9" s="633"/>
      <c r="CG9" s="633"/>
      <c r="CH9" s="633"/>
      <c r="CI9" s="633"/>
      <c r="CJ9" s="633"/>
      <c r="CK9" s="633"/>
      <c r="CL9" s="633"/>
      <c r="CM9" s="633"/>
      <c r="CN9" s="633"/>
      <c r="CO9" s="633"/>
      <c r="CP9" s="633"/>
      <c r="CQ9" s="633"/>
      <c r="CR9" s="633"/>
      <c r="CS9" s="633"/>
      <c r="CT9" s="633"/>
      <c r="CU9" s="633"/>
      <c r="CV9" s="633"/>
      <c r="CW9" s="633"/>
      <c r="CX9" s="633"/>
      <c r="CY9" s="633"/>
      <c r="CZ9" s="633"/>
      <c r="DA9" s="633"/>
      <c r="DB9" s="633"/>
      <c r="DC9" s="633"/>
      <c r="DD9" s="633"/>
      <c r="DE9" s="633"/>
      <c r="DF9" s="633"/>
      <c r="DG9" s="633"/>
      <c r="DH9" s="633"/>
      <c r="DI9" s="633"/>
      <c r="DJ9" s="633"/>
      <c r="DK9" s="633"/>
      <c r="DL9" s="633"/>
      <c r="DM9" s="633"/>
      <c r="DN9" s="633"/>
      <c r="DO9" s="633"/>
      <c r="DP9" s="633"/>
      <c r="DQ9" s="633"/>
      <c r="DR9" s="633"/>
      <c r="DS9" s="633"/>
      <c r="DT9" s="633"/>
      <c r="DU9" s="633"/>
      <c r="DV9" s="633"/>
      <c r="DW9" s="633"/>
      <c r="DX9" s="633"/>
      <c r="DY9" s="633"/>
      <c r="DZ9" s="633"/>
      <c r="EA9" s="633"/>
      <c r="EB9" s="633"/>
      <c r="EC9" s="633"/>
      <c r="ED9" s="633"/>
      <c r="EE9" s="633"/>
      <c r="EF9" s="633"/>
      <c r="EG9" s="633"/>
      <c r="EH9" s="633"/>
      <c r="EI9" s="633"/>
      <c r="EJ9" s="633"/>
      <c r="EK9" s="633"/>
      <c r="EL9" s="633"/>
      <c r="EM9" s="633"/>
      <c r="EN9" s="633"/>
      <c r="EO9" s="633"/>
      <c r="EP9" s="633"/>
      <c r="EQ9" s="633"/>
      <c r="ER9" s="633"/>
      <c r="ES9" s="633"/>
      <c r="ET9" s="633"/>
      <c r="EU9" s="633"/>
      <c r="EV9" s="633"/>
      <c r="EW9" s="633"/>
      <c r="EX9" s="633"/>
      <c r="EY9" s="633"/>
      <c r="EZ9" s="633"/>
      <c r="FA9" s="633"/>
      <c r="FB9" s="633"/>
      <c r="FC9" s="633"/>
      <c r="FD9" s="633"/>
      <c r="FE9" s="633"/>
      <c r="FF9" s="633"/>
      <c r="FG9" s="633"/>
      <c r="FH9" s="633"/>
      <c r="FI9" s="633"/>
      <c r="FJ9" s="633"/>
      <c r="FK9" s="633"/>
      <c r="FL9" s="633"/>
      <c r="FM9" s="633"/>
      <c r="FN9" s="633"/>
      <c r="FO9" s="633"/>
      <c r="FP9" s="633"/>
      <c r="FQ9" s="633"/>
      <c r="FR9" s="633"/>
      <c r="FS9" s="633"/>
      <c r="FT9" s="633"/>
      <c r="FU9" s="633"/>
      <c r="FV9" s="633"/>
      <c r="FW9" s="633"/>
      <c r="FX9" s="633"/>
      <c r="FY9" s="633"/>
      <c r="FZ9" s="633"/>
      <c r="GA9" s="633"/>
      <c r="GB9" s="633"/>
      <c r="GC9" s="633"/>
      <c r="GD9" s="633"/>
      <c r="GE9" s="633"/>
      <c r="GF9" s="633"/>
      <c r="GG9" s="633"/>
      <c r="GH9" s="633"/>
      <c r="GI9" s="633"/>
      <c r="GJ9" s="633"/>
      <c r="GK9" s="633"/>
      <c r="GL9" s="633"/>
      <c r="GM9" s="633"/>
      <c r="GN9" s="633"/>
      <c r="GO9" s="633"/>
      <c r="GP9" s="633"/>
      <c r="GQ9" s="633"/>
      <c r="GR9" s="633"/>
      <c r="GS9" s="633"/>
      <c r="GT9" s="633"/>
      <c r="GU9" s="633"/>
      <c r="GV9" s="633"/>
      <c r="GW9" s="633"/>
      <c r="GX9" s="633"/>
      <c r="GY9" s="633"/>
      <c r="GZ9" s="633"/>
      <c r="HA9" s="633"/>
      <c r="HB9" s="633"/>
      <c r="HC9" s="633"/>
      <c r="HD9" s="633"/>
      <c r="HE9" s="633"/>
      <c r="HF9" s="633"/>
      <c r="HG9" s="633"/>
      <c r="HH9" s="633"/>
      <c r="HI9" s="633"/>
      <c r="HJ9" s="633"/>
      <c r="HK9" s="633"/>
      <c r="HL9" s="633"/>
      <c r="HM9" s="633"/>
      <c r="HN9" s="633"/>
      <c r="HO9" s="633"/>
      <c r="HP9" s="633"/>
      <c r="HQ9" s="633"/>
      <c r="HR9" s="633"/>
      <c r="HS9" s="633"/>
      <c r="HT9" s="633"/>
      <c r="HU9" s="633"/>
      <c r="HV9" s="633"/>
      <c r="HW9" s="633"/>
      <c r="HX9" s="633"/>
      <c r="HY9" s="633"/>
    </row>
    <row r="10" spans="1:233" s="618" customFormat="1" ht="21" customHeight="1">
      <c r="A10" s="617"/>
      <c r="B10" s="849" t="s">
        <v>57</v>
      </c>
      <c r="C10" s="1963" t="s">
        <v>70</v>
      </c>
      <c r="D10" s="1963"/>
      <c r="E10" s="734">
        <f>E24</f>
        <v>0</v>
      </c>
      <c r="F10" s="709"/>
      <c r="G10" s="709"/>
      <c r="H10" s="709"/>
      <c r="I10" s="709"/>
      <c r="J10" s="709"/>
      <c r="K10" s="709"/>
      <c r="L10" s="709"/>
      <c r="M10" s="709"/>
      <c r="N10" s="709"/>
      <c r="O10" s="709"/>
      <c r="P10" s="734"/>
      <c r="Q10" s="633"/>
      <c r="R10" s="633"/>
      <c r="S10" s="633"/>
      <c r="T10" s="633"/>
      <c r="U10" s="633"/>
      <c r="V10" s="633"/>
      <c r="W10" s="633"/>
      <c r="X10" s="633"/>
      <c r="Y10" s="633"/>
      <c r="Z10" s="633"/>
      <c r="AA10" s="633"/>
      <c r="AB10" s="633"/>
      <c r="AC10" s="633"/>
      <c r="AD10" s="633"/>
      <c r="AE10" s="633"/>
      <c r="AF10" s="633"/>
      <c r="AG10" s="633"/>
      <c r="AH10" s="633"/>
      <c r="AI10" s="633"/>
      <c r="AJ10" s="633"/>
      <c r="AK10" s="633"/>
      <c r="AL10" s="633"/>
      <c r="AM10" s="633"/>
      <c r="AN10" s="633"/>
      <c r="AO10" s="633"/>
      <c r="AP10" s="633"/>
      <c r="AQ10" s="633"/>
      <c r="AR10" s="633"/>
      <c r="AS10" s="633"/>
      <c r="AT10" s="633"/>
      <c r="AU10" s="633"/>
      <c r="AV10" s="633"/>
      <c r="AW10" s="633"/>
      <c r="AX10" s="633"/>
      <c r="AY10" s="633"/>
      <c r="AZ10" s="633"/>
      <c r="BA10" s="633"/>
      <c r="BB10" s="633"/>
      <c r="BC10" s="633"/>
      <c r="BD10" s="633"/>
      <c r="BE10" s="633"/>
      <c r="BF10" s="633"/>
      <c r="BG10" s="633"/>
      <c r="BH10" s="633"/>
      <c r="BI10" s="633"/>
      <c r="BJ10" s="633"/>
      <c r="BK10" s="633"/>
      <c r="BL10" s="633"/>
      <c r="BM10" s="633"/>
      <c r="BN10" s="633"/>
      <c r="BO10" s="633"/>
      <c r="BP10" s="633"/>
      <c r="BQ10" s="633"/>
      <c r="BR10" s="633"/>
      <c r="BS10" s="633"/>
      <c r="BT10" s="633"/>
      <c r="BU10" s="633"/>
      <c r="BV10" s="633"/>
      <c r="BW10" s="633"/>
      <c r="BX10" s="633"/>
      <c r="BY10" s="633"/>
      <c r="BZ10" s="633"/>
      <c r="CA10" s="633"/>
      <c r="CB10" s="633"/>
      <c r="CC10" s="633"/>
      <c r="CD10" s="633"/>
      <c r="CE10" s="633"/>
      <c r="CF10" s="633"/>
      <c r="CG10" s="633"/>
      <c r="CH10" s="633"/>
      <c r="CI10" s="633"/>
      <c r="CJ10" s="633"/>
      <c r="CK10" s="633"/>
      <c r="CL10" s="633"/>
      <c r="CM10" s="633"/>
      <c r="CN10" s="633"/>
      <c r="CO10" s="633"/>
      <c r="CP10" s="633"/>
      <c r="CQ10" s="633"/>
      <c r="CR10" s="633"/>
      <c r="CS10" s="633"/>
      <c r="CT10" s="633"/>
      <c r="CU10" s="633"/>
      <c r="CV10" s="633"/>
      <c r="CW10" s="633"/>
      <c r="CX10" s="633"/>
      <c r="CY10" s="633"/>
      <c r="CZ10" s="633"/>
      <c r="DA10" s="633"/>
      <c r="DB10" s="633"/>
      <c r="DC10" s="633"/>
      <c r="DD10" s="633"/>
      <c r="DE10" s="633"/>
      <c r="DF10" s="633"/>
      <c r="DG10" s="633"/>
      <c r="DH10" s="633"/>
      <c r="DI10" s="633"/>
      <c r="DJ10" s="633"/>
      <c r="DK10" s="633"/>
      <c r="DL10" s="633"/>
      <c r="DM10" s="633"/>
      <c r="DN10" s="633"/>
      <c r="DO10" s="633"/>
      <c r="DP10" s="633"/>
      <c r="DQ10" s="633"/>
      <c r="DR10" s="633"/>
      <c r="DS10" s="633"/>
      <c r="DT10" s="633"/>
      <c r="DU10" s="633"/>
      <c r="DV10" s="633"/>
      <c r="DW10" s="633"/>
      <c r="DX10" s="633"/>
      <c r="DY10" s="633"/>
      <c r="DZ10" s="633"/>
      <c r="EA10" s="633"/>
      <c r="EB10" s="633"/>
      <c r="EC10" s="633"/>
      <c r="ED10" s="633"/>
      <c r="EE10" s="633"/>
      <c r="EF10" s="633"/>
      <c r="EG10" s="633"/>
      <c r="EH10" s="633"/>
      <c r="EI10" s="633"/>
      <c r="EJ10" s="633"/>
      <c r="EK10" s="633"/>
      <c r="EL10" s="633"/>
      <c r="EM10" s="633"/>
      <c r="EN10" s="633"/>
      <c r="EO10" s="633"/>
      <c r="EP10" s="633"/>
      <c r="EQ10" s="633"/>
      <c r="ER10" s="633"/>
      <c r="ES10" s="633"/>
      <c r="ET10" s="633"/>
      <c r="EU10" s="633"/>
      <c r="EV10" s="633"/>
      <c r="EW10" s="633"/>
      <c r="EX10" s="633"/>
      <c r="EY10" s="633"/>
      <c r="EZ10" s="633"/>
      <c r="FA10" s="633"/>
      <c r="FB10" s="633"/>
      <c r="FC10" s="633"/>
      <c r="FD10" s="633"/>
      <c r="FE10" s="633"/>
      <c r="FF10" s="633"/>
      <c r="FG10" s="633"/>
      <c r="FH10" s="633"/>
      <c r="FI10" s="633"/>
      <c r="FJ10" s="633"/>
      <c r="FK10" s="633"/>
      <c r="FL10" s="633"/>
      <c r="FM10" s="633"/>
      <c r="FN10" s="633"/>
      <c r="FO10" s="633"/>
      <c r="FP10" s="633"/>
      <c r="FQ10" s="633"/>
      <c r="FR10" s="633"/>
      <c r="FS10" s="633"/>
      <c r="FT10" s="633"/>
      <c r="FU10" s="633"/>
      <c r="FV10" s="633"/>
      <c r="FW10" s="633"/>
      <c r="FX10" s="633"/>
      <c r="FY10" s="633"/>
      <c r="FZ10" s="633"/>
      <c r="GA10" s="633"/>
      <c r="GB10" s="633"/>
      <c r="GC10" s="633"/>
      <c r="GD10" s="633"/>
      <c r="GE10" s="633"/>
      <c r="GF10" s="633"/>
      <c r="GG10" s="633"/>
      <c r="GH10" s="633"/>
      <c r="GI10" s="633"/>
      <c r="GJ10" s="633"/>
      <c r="GK10" s="633"/>
      <c r="GL10" s="633"/>
      <c r="GM10" s="633"/>
      <c r="GN10" s="633"/>
      <c r="GO10" s="633"/>
      <c r="GP10" s="633"/>
      <c r="GQ10" s="633"/>
      <c r="GR10" s="633"/>
      <c r="GS10" s="633"/>
      <c r="GT10" s="633"/>
      <c r="GU10" s="633"/>
      <c r="GV10" s="633"/>
      <c r="GW10" s="633"/>
      <c r="GX10" s="633"/>
      <c r="GY10" s="633"/>
      <c r="GZ10" s="633"/>
      <c r="HA10" s="633"/>
      <c r="HB10" s="633"/>
      <c r="HC10" s="633"/>
      <c r="HD10" s="633"/>
      <c r="HE10" s="633"/>
      <c r="HF10" s="633"/>
      <c r="HG10" s="633"/>
      <c r="HH10" s="633"/>
      <c r="HI10" s="633"/>
      <c r="HJ10" s="633"/>
      <c r="HK10" s="633"/>
      <c r="HL10" s="633"/>
      <c r="HM10" s="633"/>
      <c r="HN10" s="633"/>
      <c r="HO10" s="633"/>
      <c r="HP10" s="633"/>
      <c r="HQ10" s="633"/>
      <c r="HR10" s="633"/>
      <c r="HS10" s="633"/>
      <c r="HT10" s="633"/>
      <c r="HU10" s="633"/>
      <c r="HV10" s="633"/>
      <c r="HW10" s="633"/>
      <c r="HX10" s="633"/>
      <c r="HY10" s="633"/>
    </row>
    <row r="11" spans="1:233" s="618" customFormat="1" ht="21" customHeight="1">
      <c r="A11" s="617"/>
      <c r="B11" s="849"/>
      <c r="C11" s="1963" t="s">
        <v>21</v>
      </c>
      <c r="D11" s="1963"/>
      <c r="E11" s="734">
        <f>SUM(E12:E18)</f>
        <v>0</v>
      </c>
      <c r="F11" s="709"/>
      <c r="G11" s="709"/>
      <c r="H11" s="709"/>
      <c r="I11" s="709"/>
      <c r="J11" s="709"/>
      <c r="K11" s="709"/>
      <c r="L11" s="709"/>
      <c r="M11" s="709"/>
      <c r="N11" s="709"/>
      <c r="O11" s="709"/>
      <c r="P11" s="734"/>
      <c r="Q11" s="633"/>
      <c r="R11" s="633"/>
      <c r="S11" s="633"/>
      <c r="T11" s="633"/>
      <c r="U11" s="633"/>
      <c r="V11" s="633"/>
      <c r="W11" s="633"/>
      <c r="X11" s="633"/>
      <c r="Y11" s="633"/>
      <c r="Z11" s="633"/>
      <c r="AA11" s="633"/>
      <c r="AB11" s="633"/>
      <c r="AC11" s="633"/>
      <c r="AD11" s="633"/>
      <c r="AE11" s="633"/>
      <c r="AF11" s="633"/>
      <c r="AG11" s="633"/>
      <c r="AH11" s="633"/>
      <c r="AI11" s="633"/>
      <c r="AJ11" s="633"/>
      <c r="AK11" s="633"/>
      <c r="AL11" s="633"/>
      <c r="AM11" s="633"/>
      <c r="AN11" s="633"/>
      <c r="AO11" s="633"/>
      <c r="AP11" s="633"/>
      <c r="AQ11" s="633"/>
      <c r="AR11" s="633"/>
      <c r="AS11" s="633"/>
      <c r="AT11" s="633"/>
      <c r="AU11" s="633"/>
      <c r="AV11" s="633"/>
      <c r="AW11" s="633"/>
      <c r="AX11" s="633"/>
      <c r="AY11" s="633"/>
      <c r="AZ11" s="633"/>
      <c r="BA11" s="633"/>
      <c r="BB11" s="633"/>
      <c r="BC11" s="633"/>
      <c r="BD11" s="633"/>
      <c r="BE11" s="633"/>
      <c r="BF11" s="633"/>
      <c r="BG11" s="633"/>
      <c r="BH11" s="633"/>
      <c r="BI11" s="633"/>
      <c r="BJ11" s="633"/>
      <c r="BK11" s="633"/>
      <c r="BL11" s="633"/>
      <c r="BM11" s="633"/>
      <c r="BN11" s="633"/>
      <c r="BO11" s="633"/>
      <c r="BP11" s="633"/>
      <c r="BQ11" s="633"/>
      <c r="BR11" s="633"/>
      <c r="BS11" s="633"/>
      <c r="BT11" s="633"/>
      <c r="BU11" s="633"/>
      <c r="BV11" s="633"/>
      <c r="BW11" s="633"/>
      <c r="BX11" s="633"/>
      <c r="BY11" s="633"/>
      <c r="BZ11" s="633"/>
      <c r="CA11" s="633"/>
      <c r="CB11" s="633"/>
      <c r="CC11" s="633"/>
      <c r="CD11" s="633"/>
      <c r="CE11" s="633"/>
      <c r="CF11" s="633"/>
      <c r="CG11" s="633"/>
      <c r="CH11" s="633"/>
      <c r="CI11" s="633"/>
      <c r="CJ11" s="633"/>
      <c r="CK11" s="633"/>
      <c r="CL11" s="633"/>
      <c r="CM11" s="633"/>
      <c r="CN11" s="633"/>
      <c r="CO11" s="633"/>
      <c r="CP11" s="633"/>
      <c r="CQ11" s="633"/>
      <c r="CR11" s="633"/>
      <c r="CS11" s="633"/>
      <c r="CT11" s="633"/>
      <c r="CU11" s="633"/>
      <c r="CV11" s="633"/>
      <c r="CW11" s="633"/>
      <c r="CX11" s="633"/>
      <c r="CY11" s="633"/>
      <c r="CZ11" s="633"/>
      <c r="DA11" s="633"/>
      <c r="DB11" s="633"/>
      <c r="DC11" s="633"/>
      <c r="DD11" s="633"/>
      <c r="DE11" s="633"/>
      <c r="DF11" s="633"/>
      <c r="DG11" s="633"/>
      <c r="DH11" s="633"/>
      <c r="DI11" s="633"/>
      <c r="DJ11" s="633"/>
      <c r="DK11" s="633"/>
      <c r="DL11" s="633"/>
      <c r="DM11" s="633"/>
      <c r="DN11" s="633"/>
      <c r="DO11" s="633"/>
      <c r="DP11" s="633"/>
      <c r="DQ11" s="633"/>
      <c r="DR11" s="633"/>
      <c r="DS11" s="633"/>
      <c r="DT11" s="633"/>
      <c r="DU11" s="633"/>
      <c r="DV11" s="633"/>
      <c r="DW11" s="633"/>
      <c r="DX11" s="633"/>
      <c r="DY11" s="633"/>
      <c r="DZ11" s="633"/>
      <c r="EA11" s="633"/>
      <c r="EB11" s="633"/>
      <c r="EC11" s="633"/>
      <c r="ED11" s="633"/>
      <c r="EE11" s="633"/>
      <c r="EF11" s="633"/>
      <c r="EG11" s="633"/>
      <c r="EH11" s="633"/>
      <c r="EI11" s="633"/>
      <c r="EJ11" s="633"/>
      <c r="EK11" s="633"/>
      <c r="EL11" s="633"/>
      <c r="EM11" s="633"/>
      <c r="EN11" s="633"/>
      <c r="EO11" s="633"/>
      <c r="EP11" s="633"/>
      <c r="EQ11" s="633"/>
      <c r="ER11" s="633"/>
      <c r="ES11" s="633"/>
      <c r="ET11" s="633"/>
      <c r="EU11" s="633"/>
      <c r="EV11" s="633"/>
      <c r="EW11" s="633"/>
      <c r="EX11" s="633"/>
      <c r="EY11" s="633"/>
      <c r="EZ11" s="633"/>
      <c r="FA11" s="633"/>
      <c r="FB11" s="633"/>
      <c r="FC11" s="633"/>
      <c r="FD11" s="633"/>
      <c r="FE11" s="633"/>
      <c r="FF11" s="633"/>
      <c r="FG11" s="633"/>
      <c r="FH11" s="633"/>
      <c r="FI11" s="633"/>
      <c r="FJ11" s="633"/>
      <c r="FK11" s="633"/>
      <c r="FL11" s="633"/>
      <c r="FM11" s="633"/>
      <c r="FN11" s="633"/>
      <c r="FO11" s="633"/>
      <c r="FP11" s="633"/>
      <c r="FQ11" s="633"/>
      <c r="FR11" s="633"/>
      <c r="FS11" s="633"/>
      <c r="FT11" s="633"/>
      <c r="FU11" s="633"/>
      <c r="FV11" s="633"/>
      <c r="FW11" s="633"/>
      <c r="FX11" s="633"/>
      <c r="FY11" s="633"/>
      <c r="FZ11" s="633"/>
      <c r="GA11" s="633"/>
      <c r="GB11" s="633"/>
      <c r="GC11" s="633"/>
      <c r="GD11" s="633"/>
      <c r="GE11" s="633"/>
      <c r="GF11" s="633"/>
      <c r="GG11" s="633"/>
      <c r="GH11" s="633"/>
      <c r="GI11" s="633"/>
      <c r="GJ11" s="633"/>
      <c r="GK11" s="633"/>
      <c r="GL11" s="633"/>
      <c r="GM11" s="633"/>
      <c r="GN11" s="633"/>
      <c r="GO11" s="633"/>
      <c r="GP11" s="633"/>
      <c r="GQ11" s="633"/>
      <c r="GR11" s="633"/>
      <c r="GS11" s="633"/>
      <c r="GT11" s="633"/>
      <c r="GU11" s="633"/>
      <c r="GV11" s="633"/>
      <c r="GW11" s="633"/>
      <c r="GX11" s="633"/>
      <c r="GY11" s="633"/>
      <c r="GZ11" s="633"/>
      <c r="HA11" s="633"/>
      <c r="HB11" s="633"/>
      <c r="HC11" s="633"/>
      <c r="HD11" s="633"/>
      <c r="HE11" s="633"/>
      <c r="HF11" s="633"/>
      <c r="HG11" s="633"/>
      <c r="HH11" s="633"/>
      <c r="HI11" s="633"/>
      <c r="HJ11" s="633"/>
      <c r="HK11" s="633"/>
      <c r="HL11" s="633"/>
      <c r="HM11" s="633"/>
      <c r="HN11" s="633"/>
      <c r="HO11" s="633"/>
      <c r="HP11" s="633"/>
      <c r="HQ11" s="633"/>
      <c r="HR11" s="633"/>
      <c r="HS11" s="633"/>
      <c r="HT11" s="633"/>
      <c r="HU11" s="633"/>
      <c r="HV11" s="633"/>
      <c r="HW11" s="633"/>
      <c r="HX11" s="633"/>
      <c r="HY11" s="633"/>
    </row>
    <row r="12" spans="1:233" ht="21" customHeight="1">
      <c r="A12" s="618"/>
      <c r="B12" s="849">
        <v>1</v>
      </c>
      <c r="C12" s="1962" t="str">
        <f>FICHA!B496</f>
        <v>Adecuado almacenamiento en vías urbanas y áreas públicas</v>
      </c>
      <c r="D12" s="1962"/>
      <c r="E12" s="709">
        <f>'Costos Equip y Consul'!I13</f>
        <v>0</v>
      </c>
      <c r="F12" s="709"/>
      <c r="G12" s="1135"/>
      <c r="H12" s="709"/>
      <c r="I12" s="709"/>
      <c r="J12" s="709"/>
      <c r="K12" s="709"/>
      <c r="L12" s="709"/>
      <c r="M12" s="709"/>
      <c r="N12" s="709"/>
      <c r="O12" s="709"/>
      <c r="P12" s="709"/>
    </row>
    <row r="13" spans="1:233" ht="21" customHeight="1">
      <c r="A13" s="618"/>
      <c r="B13" s="849">
        <v>2</v>
      </c>
      <c r="C13" s="1962" t="str">
        <f>FICHA!B497</f>
        <v>Adecuado barrido de vías urbanas y áreas públicas</v>
      </c>
      <c r="D13" s="1962"/>
      <c r="E13" s="709">
        <f>'Costos Equip y Consul'!I52</f>
        <v>0</v>
      </c>
      <c r="F13" s="709"/>
      <c r="G13" s="1135"/>
      <c r="H13" s="709"/>
      <c r="I13" s="709"/>
      <c r="J13" s="709"/>
      <c r="K13" s="709"/>
      <c r="L13" s="709"/>
      <c r="M13" s="709"/>
      <c r="N13" s="709"/>
      <c r="O13" s="709"/>
      <c r="P13" s="709"/>
    </row>
    <row r="14" spans="1:233" ht="21" customHeight="1">
      <c r="A14" s="618"/>
      <c r="B14" s="849">
        <v>3</v>
      </c>
      <c r="C14" s="1962" t="str">
        <f>FICHA!B498</f>
        <v>Adecuada capacidad para la recolección y transporte</v>
      </c>
      <c r="D14" s="1962"/>
      <c r="E14" s="709">
        <f>'Costos Equip y Consul'!I131</f>
        <v>0</v>
      </c>
      <c r="F14" s="709"/>
      <c r="G14" s="1135"/>
      <c r="H14" s="709"/>
      <c r="I14" s="709"/>
      <c r="J14" s="709"/>
      <c r="K14" s="709"/>
      <c r="L14" s="709"/>
      <c r="M14" s="709"/>
      <c r="N14" s="709"/>
      <c r="O14" s="709"/>
      <c r="P14" s="709"/>
    </row>
    <row r="15" spans="1:233" ht="21" customHeight="1">
      <c r="A15" s="618"/>
      <c r="B15" s="849">
        <v>4</v>
      </c>
      <c r="C15" s="1962" t="str">
        <f>FICHA!B500</f>
        <v>Adecuada valorización de los residuos sólidos</v>
      </c>
      <c r="D15" s="1962"/>
      <c r="E15" s="709">
        <f>'Costos Equip y Consul'!$I$215+'Costos Equip y Consul'!$C$356+'Costos Equip y Consul'!$C$357</f>
        <v>0</v>
      </c>
      <c r="F15" s="709"/>
      <c r="G15" s="1135"/>
      <c r="H15" s="709"/>
      <c r="I15" s="709"/>
      <c r="J15" s="709"/>
      <c r="K15" s="709"/>
      <c r="L15" s="709"/>
      <c r="M15" s="709"/>
      <c r="N15" s="709"/>
      <c r="O15" s="709"/>
      <c r="P15" s="709"/>
    </row>
    <row r="16" spans="1:233" ht="21" customHeight="1">
      <c r="A16" s="1136"/>
      <c r="B16" s="849">
        <v>5</v>
      </c>
      <c r="C16" s="1962" t="str">
        <f>FICHA!B503</f>
        <v>Adecuada disposición final de los residuos sólidos</v>
      </c>
      <c r="D16" s="1962"/>
      <c r="E16" s="709">
        <f>'Costos Equip y Consul'!I321+'Costos Equip y Consul'!C358</f>
        <v>0</v>
      </c>
      <c r="F16" s="709"/>
      <c r="G16" s="1135"/>
      <c r="H16" s="709"/>
      <c r="I16" s="709"/>
      <c r="J16" s="709"/>
      <c r="K16" s="709"/>
      <c r="L16" s="709"/>
      <c r="M16" s="709"/>
      <c r="N16" s="709"/>
      <c r="O16" s="709"/>
      <c r="P16" s="709"/>
    </row>
    <row r="17" spans="1:233" ht="27" customHeight="1">
      <c r="A17" s="618"/>
      <c r="B17" s="849">
        <v>6</v>
      </c>
      <c r="C17" s="1962" t="str">
        <f>FICHA!B507</f>
        <v>Eficiente gestión técnica, administrativa, económica y financiera del servicio de limpieza pública</v>
      </c>
      <c r="D17" s="1962"/>
      <c r="E17" s="709">
        <f>'Costos Equip y Consul'!I340</f>
        <v>0</v>
      </c>
      <c r="F17" s="709"/>
      <c r="G17" s="1135"/>
      <c r="H17" s="709"/>
      <c r="I17" s="709"/>
      <c r="J17" s="709"/>
      <c r="K17" s="709"/>
      <c r="L17" s="709"/>
      <c r="M17" s="709"/>
      <c r="N17" s="709"/>
      <c r="O17" s="709"/>
      <c r="P17" s="709"/>
    </row>
    <row r="18" spans="1:233" ht="27" customHeight="1">
      <c r="A18" s="618"/>
      <c r="B18" s="849">
        <v>7</v>
      </c>
      <c r="C18" s="1962" t="str">
        <f>FICHA!B510</f>
        <v>Adecuada educación y cultura ambiental de la población</v>
      </c>
      <c r="D18" s="1962"/>
      <c r="E18" s="709">
        <f>'Costos Equip y Consul'!I351</f>
        <v>0</v>
      </c>
      <c r="F18" s="709"/>
      <c r="G18" s="1135"/>
      <c r="H18" s="709"/>
      <c r="I18" s="709"/>
      <c r="J18" s="709"/>
      <c r="K18" s="709"/>
      <c r="L18" s="709"/>
      <c r="M18" s="709"/>
      <c r="N18" s="709"/>
      <c r="O18" s="709"/>
      <c r="P18" s="709"/>
    </row>
    <row r="19" spans="1:233" ht="21" customHeight="1">
      <c r="A19" s="618"/>
      <c r="B19" s="850">
        <v>2</v>
      </c>
      <c r="C19" s="1798" t="str">
        <f>FICHA!B511</f>
        <v>Gestión del Proyecto</v>
      </c>
      <c r="D19" s="1798"/>
      <c r="E19" s="666">
        <f>'Exp Técnico y otros'!G20</f>
        <v>0</v>
      </c>
      <c r="F19" s="896"/>
      <c r="G19" s="1135"/>
      <c r="H19" s="709"/>
      <c r="I19" s="896"/>
      <c r="J19" s="896"/>
      <c r="K19" s="896"/>
      <c r="L19" s="896"/>
      <c r="M19" s="896"/>
      <c r="N19" s="896"/>
      <c r="O19" s="896"/>
      <c r="P19" s="734"/>
    </row>
    <row r="20" spans="1:233" ht="21" customHeight="1">
      <c r="A20" s="1137"/>
      <c r="B20" s="850">
        <v>3</v>
      </c>
      <c r="C20" s="1798" t="str">
        <f>FICHA!B512</f>
        <v>Estudio Definitivo (*)</v>
      </c>
      <c r="D20" s="1798"/>
      <c r="E20" s="666">
        <f>'Exp Técnico y otros'!G55</f>
        <v>0</v>
      </c>
      <c r="F20" s="896"/>
      <c r="G20" s="1135"/>
      <c r="H20" s="709"/>
      <c r="I20" s="896"/>
      <c r="J20" s="896"/>
      <c r="K20" s="896"/>
      <c r="L20" s="896"/>
      <c r="M20" s="896"/>
      <c r="N20" s="896"/>
      <c r="O20" s="896"/>
      <c r="P20" s="734"/>
    </row>
    <row r="21" spans="1:233" ht="21" customHeight="1">
      <c r="A21" s="618"/>
      <c r="B21" s="850">
        <v>4</v>
      </c>
      <c r="C21" s="1798" t="str">
        <f>FICHA!B513</f>
        <v xml:space="preserve">Supervisión del Estudio Definitivo </v>
      </c>
      <c r="D21" s="1798"/>
      <c r="E21" s="666">
        <f>'Exp Técnico y otros'!G66</f>
        <v>0</v>
      </c>
      <c r="F21" s="896"/>
      <c r="G21" s="1135"/>
      <c r="H21" s="709"/>
      <c r="I21" s="896"/>
      <c r="J21" s="896"/>
      <c r="K21" s="896"/>
      <c r="L21" s="896"/>
      <c r="M21" s="896"/>
      <c r="N21" s="896"/>
      <c r="O21" s="896"/>
      <c r="P21" s="734"/>
    </row>
    <row r="22" spans="1:233" ht="21" customHeight="1">
      <c r="A22" s="1137"/>
      <c r="B22" s="850">
        <v>5</v>
      </c>
      <c r="C22" s="1798" t="str">
        <f>FICHA!B514</f>
        <v>Supervisión de ejecución de Proyecto</v>
      </c>
      <c r="D22" s="1798"/>
      <c r="E22" s="666">
        <f>'Exp Técnico y otros'!G86</f>
        <v>0</v>
      </c>
      <c r="F22" s="896"/>
      <c r="G22" s="1135"/>
      <c r="H22" s="709"/>
      <c r="I22" s="896"/>
      <c r="J22" s="896"/>
      <c r="K22" s="896"/>
      <c r="L22" s="896"/>
      <c r="M22" s="896"/>
      <c r="N22" s="896"/>
      <c r="O22" s="896"/>
      <c r="P22" s="734"/>
    </row>
    <row r="23" spans="1:233" ht="21" customHeight="1">
      <c r="A23" s="1137"/>
      <c r="B23" s="850">
        <v>6</v>
      </c>
      <c r="C23" s="1798" t="str">
        <f>FICHA!B515</f>
        <v>Liquidación del proyecto (**)</v>
      </c>
      <c r="D23" s="1798"/>
      <c r="E23" s="666">
        <f>'Exp Técnico y otros'!G100</f>
        <v>0</v>
      </c>
      <c r="F23" s="896"/>
      <c r="G23" s="1135"/>
      <c r="H23" s="709"/>
      <c r="I23" s="896"/>
      <c r="J23" s="896"/>
      <c r="K23" s="896"/>
      <c r="L23" s="896"/>
      <c r="M23" s="896"/>
      <c r="N23" s="896"/>
      <c r="O23" s="896"/>
      <c r="P23" s="734"/>
    </row>
    <row r="24" spans="1:233" s="897" customFormat="1" ht="15.95" customHeight="1">
      <c r="A24" s="617"/>
      <c r="B24" s="850" t="s">
        <v>58</v>
      </c>
      <c r="C24" s="1961" t="s">
        <v>59</v>
      </c>
      <c r="D24" s="1961"/>
      <c r="E24" s="734">
        <f>E22+E21+E20+E19+E11+E23</f>
        <v>0</v>
      </c>
      <c r="F24" s="709"/>
      <c r="G24" s="709"/>
      <c r="H24" s="709"/>
      <c r="I24" s="709"/>
      <c r="J24" s="709"/>
      <c r="K24" s="709"/>
      <c r="L24" s="709"/>
      <c r="M24" s="709"/>
      <c r="N24" s="709"/>
      <c r="O24" s="709"/>
      <c r="P24" s="734"/>
      <c r="Q24" s="1129"/>
      <c r="R24" s="1129"/>
      <c r="S24" s="1129"/>
      <c r="T24" s="1129"/>
      <c r="U24" s="1129"/>
      <c r="V24" s="1129"/>
      <c r="W24" s="1129"/>
      <c r="X24" s="1129"/>
      <c r="Y24" s="1129"/>
      <c r="Z24" s="1129"/>
      <c r="AA24" s="1129"/>
      <c r="AB24" s="1129"/>
      <c r="AC24" s="1129"/>
      <c r="AD24" s="1129"/>
      <c r="AE24" s="1129"/>
      <c r="AF24" s="1129"/>
      <c r="AG24" s="1129"/>
      <c r="AH24" s="1129"/>
      <c r="AI24" s="1129"/>
      <c r="AJ24" s="1129"/>
      <c r="AK24" s="1129"/>
      <c r="AL24" s="1129"/>
      <c r="AM24" s="1129"/>
      <c r="AN24" s="1129"/>
      <c r="AO24" s="1129"/>
      <c r="AP24" s="1129"/>
      <c r="AQ24" s="1129"/>
      <c r="AR24" s="1129"/>
      <c r="AS24" s="1129"/>
      <c r="AT24" s="1129"/>
      <c r="AU24" s="1129"/>
      <c r="AV24" s="1129"/>
      <c r="AW24" s="1129"/>
      <c r="AX24" s="1129"/>
      <c r="AY24" s="1129"/>
      <c r="AZ24" s="1129"/>
      <c r="BA24" s="1129"/>
      <c r="BB24" s="1129"/>
      <c r="BC24" s="1129"/>
      <c r="BD24" s="1129"/>
      <c r="BE24" s="1129"/>
      <c r="BF24" s="1129"/>
      <c r="BG24" s="1129"/>
      <c r="BH24" s="1129"/>
      <c r="BI24" s="1129"/>
      <c r="BJ24" s="1129"/>
      <c r="BK24" s="1129"/>
      <c r="BL24" s="1129"/>
      <c r="BM24" s="1129"/>
      <c r="BN24" s="1129"/>
      <c r="BO24" s="1129"/>
      <c r="BP24" s="1129"/>
      <c r="BQ24" s="1129"/>
      <c r="BR24" s="1129"/>
      <c r="BS24" s="1129"/>
      <c r="BT24" s="1129"/>
      <c r="BU24" s="1129"/>
      <c r="BV24" s="1129"/>
      <c r="BW24" s="1129"/>
      <c r="BX24" s="1129"/>
      <c r="BY24" s="1129"/>
      <c r="BZ24" s="1129"/>
      <c r="CA24" s="1129"/>
      <c r="CB24" s="1129"/>
      <c r="CC24" s="1129"/>
      <c r="CD24" s="1129"/>
      <c r="CE24" s="1129"/>
      <c r="CF24" s="1129"/>
      <c r="CG24" s="1129"/>
      <c r="CH24" s="1129"/>
      <c r="CI24" s="1129"/>
      <c r="CJ24" s="1129"/>
      <c r="CK24" s="1129"/>
      <c r="CL24" s="1129"/>
      <c r="CM24" s="1129"/>
      <c r="CN24" s="1129"/>
      <c r="CO24" s="1129"/>
      <c r="CP24" s="1129"/>
      <c r="CQ24" s="1129"/>
      <c r="CR24" s="1129"/>
      <c r="CS24" s="1129"/>
      <c r="CT24" s="1129"/>
      <c r="CU24" s="1129"/>
      <c r="CV24" s="1129"/>
      <c r="CW24" s="1129"/>
      <c r="CX24" s="1129"/>
      <c r="CY24" s="1129"/>
      <c r="CZ24" s="1129"/>
      <c r="DA24" s="1129"/>
      <c r="DB24" s="1129"/>
      <c r="DC24" s="1129"/>
      <c r="DD24" s="1129"/>
      <c r="DE24" s="1129"/>
      <c r="DF24" s="1129"/>
      <c r="DG24" s="1129"/>
      <c r="DH24" s="1129"/>
      <c r="DI24" s="1129"/>
      <c r="DJ24" s="1129"/>
      <c r="DK24" s="1129"/>
      <c r="DL24" s="1129"/>
      <c r="DM24" s="1129"/>
      <c r="DN24" s="1129"/>
      <c r="DO24" s="1129"/>
      <c r="DP24" s="1129"/>
      <c r="DQ24" s="1129"/>
      <c r="DR24" s="1129"/>
      <c r="DS24" s="1129"/>
      <c r="DT24" s="1129"/>
      <c r="DU24" s="1129"/>
      <c r="DV24" s="1129"/>
      <c r="DW24" s="1129"/>
      <c r="DX24" s="1129"/>
      <c r="DY24" s="1129"/>
      <c r="DZ24" s="1129"/>
      <c r="EA24" s="1129"/>
      <c r="EB24" s="1129"/>
      <c r="EC24" s="1129"/>
      <c r="ED24" s="1129"/>
      <c r="EE24" s="1129"/>
      <c r="EF24" s="1129"/>
      <c r="EG24" s="1129"/>
      <c r="EH24" s="1129"/>
      <c r="EI24" s="1129"/>
      <c r="EJ24" s="1129"/>
      <c r="EK24" s="1129"/>
      <c r="EL24" s="1129"/>
      <c r="EM24" s="1129"/>
      <c r="EN24" s="1129"/>
      <c r="EO24" s="1129"/>
      <c r="EP24" s="1129"/>
      <c r="EQ24" s="1129"/>
      <c r="ER24" s="1129"/>
      <c r="ES24" s="1129"/>
      <c r="ET24" s="1129"/>
      <c r="EU24" s="1129"/>
      <c r="EV24" s="1129"/>
      <c r="EW24" s="1129"/>
      <c r="EX24" s="1129"/>
      <c r="EY24" s="1129"/>
      <c r="EZ24" s="1129"/>
      <c r="FA24" s="1129"/>
      <c r="FB24" s="1129"/>
      <c r="FC24" s="1129"/>
      <c r="FD24" s="1129"/>
      <c r="FE24" s="1129"/>
      <c r="FF24" s="1129"/>
      <c r="FG24" s="1129"/>
      <c r="FH24" s="1129"/>
      <c r="FI24" s="1129"/>
      <c r="FJ24" s="1129"/>
      <c r="FK24" s="1129"/>
      <c r="FL24" s="1129"/>
      <c r="FM24" s="1129"/>
      <c r="FN24" s="1129"/>
      <c r="FO24" s="1129"/>
      <c r="FP24" s="1129"/>
      <c r="FQ24" s="1129"/>
      <c r="FR24" s="1129"/>
      <c r="FS24" s="1129"/>
      <c r="FT24" s="1129"/>
      <c r="FU24" s="1129"/>
      <c r="FV24" s="1129"/>
      <c r="FW24" s="1129"/>
      <c r="FX24" s="1129"/>
      <c r="FY24" s="1129"/>
      <c r="FZ24" s="1129"/>
      <c r="GA24" s="1129"/>
      <c r="GB24" s="1129"/>
      <c r="GC24" s="1129"/>
      <c r="GD24" s="1129"/>
      <c r="GE24" s="1129"/>
      <c r="GF24" s="1129"/>
      <c r="GG24" s="1129"/>
      <c r="GH24" s="1129"/>
      <c r="GI24" s="1129"/>
      <c r="GJ24" s="1129"/>
      <c r="GK24" s="1129"/>
      <c r="GL24" s="1129"/>
      <c r="GM24" s="1129"/>
      <c r="GN24" s="1129"/>
      <c r="GO24" s="1129"/>
      <c r="GP24" s="1129"/>
      <c r="GQ24" s="1129"/>
      <c r="GR24" s="1129"/>
      <c r="GS24" s="1129"/>
      <c r="GT24" s="1129"/>
      <c r="GU24" s="1129"/>
      <c r="GV24" s="1129"/>
      <c r="GW24" s="1129"/>
      <c r="GX24" s="1129"/>
      <c r="GY24" s="1129"/>
      <c r="GZ24" s="1129"/>
      <c r="HA24" s="1129"/>
      <c r="HB24" s="1129"/>
      <c r="HC24" s="1129"/>
      <c r="HD24" s="1129"/>
      <c r="HE24" s="1129"/>
      <c r="HF24" s="1129"/>
      <c r="HG24" s="1129"/>
      <c r="HH24" s="1129"/>
      <c r="HI24" s="1129"/>
      <c r="HJ24" s="1129"/>
      <c r="HK24" s="1129"/>
      <c r="HL24" s="1129"/>
      <c r="HM24" s="1129"/>
      <c r="HN24" s="1129"/>
      <c r="HO24" s="1129"/>
      <c r="HP24" s="1129"/>
      <c r="HQ24" s="1129"/>
      <c r="HR24" s="1129"/>
      <c r="HS24" s="1129"/>
      <c r="HT24" s="1129"/>
      <c r="HU24" s="1129"/>
      <c r="HV24" s="1129"/>
      <c r="HW24" s="1129"/>
      <c r="HX24" s="1129"/>
      <c r="HY24" s="1129"/>
    </row>
    <row r="25" spans="1:233" s="1139" customFormat="1" ht="15.95" customHeight="1">
      <c r="A25" s="617"/>
      <c r="B25" s="850" t="s">
        <v>60</v>
      </c>
      <c r="C25" s="1961" t="s">
        <v>90</v>
      </c>
      <c r="D25" s="1961"/>
      <c r="E25" s="709"/>
      <c r="F25" s="734">
        <f>REINV!D143</f>
        <v>0</v>
      </c>
      <c r="G25" s="734">
        <f>REINV!E143</f>
        <v>0</v>
      </c>
      <c r="H25" s="734">
        <f>REINV!F143</f>
        <v>0</v>
      </c>
      <c r="I25" s="734">
        <f>REINV!G143</f>
        <v>0</v>
      </c>
      <c r="J25" s="734">
        <f>REINV!H143</f>
        <v>0</v>
      </c>
      <c r="K25" s="734">
        <f>REINV!I143</f>
        <v>0</v>
      </c>
      <c r="L25" s="734">
        <f>REINV!J143</f>
        <v>0</v>
      </c>
      <c r="M25" s="734">
        <f>REINV!K143</f>
        <v>0</v>
      </c>
      <c r="N25" s="734">
        <f>REINV!L143</f>
        <v>0</v>
      </c>
      <c r="O25" s="734">
        <f>REINV!M143</f>
        <v>0</v>
      </c>
      <c r="P25" s="734">
        <f>REINV!N143</f>
        <v>0</v>
      </c>
      <c r="Q25" s="1138"/>
      <c r="R25" s="1138"/>
      <c r="S25" s="1138"/>
      <c r="T25" s="1138"/>
      <c r="U25" s="1138"/>
      <c r="V25" s="1138"/>
      <c r="W25" s="1138"/>
      <c r="X25" s="1138"/>
      <c r="Y25" s="1138"/>
      <c r="Z25" s="1138"/>
      <c r="AA25" s="1138"/>
      <c r="AB25" s="1138"/>
      <c r="AC25" s="1138"/>
      <c r="AD25" s="1138"/>
      <c r="AE25" s="1138"/>
      <c r="AF25" s="1138"/>
      <c r="AG25" s="1138"/>
      <c r="AH25" s="1138"/>
      <c r="AI25" s="1138"/>
      <c r="AJ25" s="1138"/>
      <c r="AK25" s="1138"/>
      <c r="AL25" s="1138"/>
      <c r="AM25" s="1138"/>
      <c r="AN25" s="1138"/>
      <c r="AO25" s="1138"/>
      <c r="AP25" s="1138"/>
      <c r="AQ25" s="1138"/>
      <c r="AR25" s="1138"/>
      <c r="AS25" s="1138"/>
      <c r="AT25" s="1138"/>
      <c r="AU25" s="1138"/>
      <c r="AV25" s="1138"/>
      <c r="AW25" s="1138"/>
      <c r="AX25" s="1138"/>
      <c r="AY25" s="1138"/>
      <c r="AZ25" s="1138"/>
      <c r="BA25" s="1138"/>
      <c r="BB25" s="1138"/>
      <c r="BC25" s="1138"/>
      <c r="BD25" s="1138"/>
      <c r="BE25" s="1138"/>
      <c r="BF25" s="1138"/>
      <c r="BG25" s="1138"/>
      <c r="BH25" s="1138"/>
      <c r="BI25" s="1138"/>
      <c r="BJ25" s="1138"/>
      <c r="BK25" s="1138"/>
      <c r="BL25" s="1138"/>
      <c r="BM25" s="1138"/>
      <c r="BN25" s="1138"/>
      <c r="BO25" s="1138"/>
      <c r="BP25" s="1138"/>
      <c r="BQ25" s="1138"/>
      <c r="BR25" s="1138"/>
      <c r="BS25" s="1138"/>
      <c r="BT25" s="1138"/>
      <c r="BU25" s="1138"/>
      <c r="BV25" s="1138"/>
      <c r="BW25" s="1138"/>
      <c r="BX25" s="1138"/>
      <c r="BY25" s="1138"/>
      <c r="BZ25" s="1138"/>
      <c r="CA25" s="1138"/>
      <c r="CB25" s="1138"/>
      <c r="CC25" s="1138"/>
      <c r="CD25" s="1138"/>
      <c r="CE25" s="1138"/>
      <c r="CF25" s="1138"/>
      <c r="CG25" s="1138"/>
      <c r="CH25" s="1138"/>
      <c r="CI25" s="1138"/>
      <c r="CJ25" s="1138"/>
      <c r="CK25" s="1138"/>
      <c r="CL25" s="1138"/>
      <c r="CM25" s="1138"/>
      <c r="CN25" s="1138"/>
      <c r="CO25" s="1138"/>
      <c r="CP25" s="1138"/>
      <c r="CQ25" s="1138"/>
      <c r="CR25" s="1138"/>
      <c r="CS25" s="1138"/>
      <c r="CT25" s="1138"/>
      <c r="CU25" s="1138"/>
      <c r="CV25" s="1138"/>
      <c r="CW25" s="1138"/>
      <c r="CX25" s="1138"/>
      <c r="CY25" s="1138"/>
      <c r="CZ25" s="1138"/>
      <c r="DA25" s="1138"/>
      <c r="DB25" s="1138"/>
      <c r="DC25" s="1138"/>
      <c r="DD25" s="1138"/>
      <c r="DE25" s="1138"/>
      <c r="DF25" s="1138"/>
      <c r="DG25" s="1138"/>
      <c r="DH25" s="1138"/>
      <c r="DI25" s="1138"/>
      <c r="DJ25" s="1138"/>
      <c r="DK25" s="1138"/>
      <c r="DL25" s="1138"/>
      <c r="DM25" s="1138"/>
      <c r="DN25" s="1138"/>
      <c r="DO25" s="1138"/>
      <c r="DP25" s="1138"/>
      <c r="DQ25" s="1138"/>
      <c r="DR25" s="1138"/>
      <c r="DS25" s="1138"/>
      <c r="DT25" s="1138"/>
      <c r="DU25" s="1138"/>
      <c r="DV25" s="1138"/>
      <c r="DW25" s="1138"/>
      <c r="DX25" s="1138"/>
      <c r="DY25" s="1138"/>
      <c r="DZ25" s="1138"/>
      <c r="EA25" s="1138"/>
      <c r="EB25" s="1138"/>
      <c r="EC25" s="1138"/>
      <c r="ED25" s="1138"/>
      <c r="EE25" s="1138"/>
      <c r="EF25" s="1138"/>
      <c r="EG25" s="1138"/>
      <c r="EH25" s="1138"/>
      <c r="EI25" s="1138"/>
      <c r="EJ25" s="1138"/>
      <c r="EK25" s="1138"/>
      <c r="EL25" s="1138"/>
      <c r="EM25" s="1138"/>
      <c r="EN25" s="1138"/>
      <c r="EO25" s="1138"/>
      <c r="EP25" s="1138"/>
      <c r="EQ25" s="1138"/>
      <c r="ER25" s="1138"/>
      <c r="ES25" s="1138"/>
      <c r="ET25" s="1138"/>
      <c r="EU25" s="1138"/>
      <c r="EV25" s="1138"/>
      <c r="EW25" s="1138"/>
      <c r="EX25" s="1138"/>
      <c r="EY25" s="1138"/>
      <c r="EZ25" s="1138"/>
      <c r="FA25" s="1138"/>
      <c r="FB25" s="1138"/>
      <c r="FC25" s="1138"/>
      <c r="FD25" s="1138"/>
      <c r="FE25" s="1138"/>
      <c r="FF25" s="1138"/>
      <c r="FG25" s="1138"/>
      <c r="FH25" s="1138"/>
      <c r="FI25" s="1138"/>
      <c r="FJ25" s="1138"/>
      <c r="FK25" s="1138"/>
      <c r="FL25" s="1138"/>
      <c r="FM25" s="1138"/>
      <c r="FN25" s="1138"/>
      <c r="FO25" s="1138"/>
      <c r="FP25" s="1138"/>
      <c r="FQ25" s="1138"/>
      <c r="FR25" s="1138"/>
      <c r="FS25" s="1138"/>
      <c r="FT25" s="1138"/>
      <c r="FU25" s="1138"/>
      <c r="FV25" s="1138"/>
      <c r="FW25" s="1138"/>
      <c r="FX25" s="1138"/>
      <c r="FY25" s="1138"/>
      <c r="FZ25" s="1138"/>
      <c r="GA25" s="1138"/>
      <c r="GB25" s="1138"/>
      <c r="GC25" s="1138"/>
      <c r="GD25" s="1138"/>
      <c r="GE25" s="1138"/>
      <c r="GF25" s="1138"/>
      <c r="GG25" s="1138"/>
      <c r="GH25" s="1138"/>
      <c r="GI25" s="1138"/>
      <c r="GJ25" s="1138"/>
      <c r="GK25" s="1138"/>
      <c r="GL25" s="1138"/>
      <c r="GM25" s="1138"/>
      <c r="GN25" s="1138"/>
      <c r="GO25" s="1138"/>
      <c r="GP25" s="1138"/>
      <c r="GQ25" s="1138"/>
      <c r="GR25" s="1138"/>
      <c r="GS25" s="1138"/>
      <c r="GT25" s="1138"/>
      <c r="GU25" s="1138"/>
      <c r="GV25" s="1138"/>
      <c r="GW25" s="1138"/>
      <c r="GX25" s="1138"/>
      <c r="GY25" s="1138"/>
      <c r="GZ25" s="1138"/>
      <c r="HA25" s="1138"/>
      <c r="HB25" s="1138"/>
      <c r="HC25" s="1138"/>
      <c r="HD25" s="1138"/>
      <c r="HE25" s="1138"/>
      <c r="HF25" s="1138"/>
      <c r="HG25" s="1138"/>
      <c r="HH25" s="1138"/>
      <c r="HI25" s="1138"/>
      <c r="HJ25" s="1138"/>
      <c r="HK25" s="1138"/>
      <c r="HL25" s="1138"/>
      <c r="HM25" s="1138"/>
      <c r="HN25" s="1138"/>
      <c r="HO25" s="1138"/>
      <c r="HP25" s="1138"/>
      <c r="HQ25" s="1138"/>
      <c r="HR25" s="1138"/>
      <c r="HS25" s="1138"/>
      <c r="HT25" s="1138"/>
      <c r="HU25" s="1138"/>
      <c r="HV25" s="1138"/>
      <c r="HW25" s="1138"/>
      <c r="HX25" s="1138"/>
      <c r="HY25" s="1138"/>
    </row>
    <row r="26" spans="1:233" s="1140" customFormat="1" ht="15.95" customHeight="1">
      <c r="A26" s="617"/>
      <c r="B26" s="850" t="s">
        <v>62</v>
      </c>
      <c r="C26" s="1961" t="s">
        <v>61</v>
      </c>
      <c r="D26" s="1961"/>
      <c r="E26" s="709"/>
      <c r="F26" s="734">
        <f>SUM(F27:F28)</f>
        <v>0</v>
      </c>
      <c r="G26" s="734">
        <f t="shared" ref="G26:K26" si="0">SUM(G27:G28)</f>
        <v>0</v>
      </c>
      <c r="H26" s="734">
        <f t="shared" si="0"/>
        <v>0</v>
      </c>
      <c r="I26" s="734">
        <f t="shared" si="0"/>
        <v>0</v>
      </c>
      <c r="J26" s="734">
        <f t="shared" si="0"/>
        <v>0</v>
      </c>
      <c r="K26" s="734">
        <f t="shared" si="0"/>
        <v>0</v>
      </c>
      <c r="L26" s="734">
        <f>SUM(L27:L28)</f>
        <v>0</v>
      </c>
      <c r="M26" s="734">
        <f>SUM(M27:M28)</f>
        <v>0</v>
      </c>
      <c r="N26" s="734">
        <f>SUM(N27:N28)</f>
        <v>0</v>
      </c>
      <c r="O26" s="734">
        <f>SUM(O27:O28)</f>
        <v>0</v>
      </c>
      <c r="P26" s="734">
        <f>SUM(P27:P28)</f>
        <v>0</v>
      </c>
      <c r="Q26" s="1129"/>
      <c r="R26" s="1129"/>
      <c r="S26" s="1129"/>
      <c r="T26" s="1129"/>
      <c r="U26" s="1129"/>
      <c r="V26" s="1129"/>
      <c r="W26" s="1129"/>
      <c r="X26" s="1129"/>
      <c r="Y26" s="1129"/>
      <c r="Z26" s="1129"/>
      <c r="AA26" s="1129"/>
      <c r="AB26" s="1129"/>
      <c r="AC26" s="1129"/>
      <c r="AD26" s="1129"/>
      <c r="AE26" s="1129"/>
      <c r="AF26" s="1129"/>
      <c r="AG26" s="1129"/>
      <c r="AH26" s="1129"/>
      <c r="AI26" s="1129"/>
      <c r="AJ26" s="1129"/>
      <c r="AK26" s="1129"/>
      <c r="AL26" s="1129"/>
      <c r="AM26" s="1129"/>
      <c r="AN26" s="1129"/>
      <c r="AO26" s="1129"/>
      <c r="AP26" s="1129"/>
      <c r="AQ26" s="1129"/>
      <c r="AR26" s="1129"/>
      <c r="AS26" s="1129"/>
      <c r="AT26" s="1129"/>
      <c r="AU26" s="1129"/>
      <c r="AV26" s="1129"/>
      <c r="AW26" s="1129"/>
      <c r="AX26" s="1129"/>
      <c r="AY26" s="1129"/>
      <c r="AZ26" s="1129"/>
      <c r="BA26" s="1129"/>
      <c r="BB26" s="1129"/>
      <c r="BC26" s="1129"/>
      <c r="BD26" s="1129"/>
      <c r="BE26" s="1129"/>
      <c r="BF26" s="1129"/>
      <c r="BG26" s="1129"/>
      <c r="BH26" s="1129"/>
      <c r="BI26" s="1129"/>
      <c r="BJ26" s="1129"/>
      <c r="BK26" s="1129"/>
      <c r="BL26" s="1129"/>
      <c r="BM26" s="1129"/>
      <c r="BN26" s="1129"/>
      <c r="BO26" s="1129"/>
      <c r="BP26" s="1129"/>
      <c r="BQ26" s="1129"/>
      <c r="BR26" s="1129"/>
      <c r="BS26" s="1129"/>
      <c r="BT26" s="1129"/>
      <c r="BU26" s="1129"/>
      <c r="BV26" s="1129"/>
      <c r="BW26" s="1129"/>
      <c r="BX26" s="1129"/>
      <c r="BY26" s="1129"/>
      <c r="BZ26" s="1129"/>
      <c r="CA26" s="1129"/>
      <c r="CB26" s="1129"/>
      <c r="CC26" s="1129"/>
      <c r="CD26" s="1129"/>
      <c r="CE26" s="1129"/>
      <c r="CF26" s="1129"/>
      <c r="CG26" s="1129"/>
      <c r="CH26" s="1129"/>
      <c r="CI26" s="1129"/>
      <c r="CJ26" s="1129"/>
      <c r="CK26" s="1129"/>
      <c r="CL26" s="1129"/>
      <c r="CM26" s="1129"/>
      <c r="CN26" s="1129"/>
      <c r="CO26" s="1129"/>
      <c r="CP26" s="1129"/>
      <c r="CQ26" s="1129"/>
      <c r="CR26" s="1129"/>
      <c r="CS26" s="1129"/>
      <c r="CT26" s="1129"/>
      <c r="CU26" s="1129"/>
      <c r="CV26" s="1129"/>
      <c r="CW26" s="1129"/>
      <c r="CX26" s="1129"/>
      <c r="CY26" s="1129"/>
      <c r="CZ26" s="1129"/>
      <c r="DA26" s="1129"/>
      <c r="DB26" s="1129"/>
      <c r="DC26" s="1129"/>
      <c r="DD26" s="1129"/>
      <c r="DE26" s="1129"/>
      <c r="DF26" s="1129"/>
      <c r="DG26" s="1129"/>
      <c r="DH26" s="1129"/>
      <c r="DI26" s="1129"/>
      <c r="DJ26" s="1129"/>
      <c r="DK26" s="1129"/>
      <c r="DL26" s="1129"/>
      <c r="DM26" s="1129"/>
      <c r="DN26" s="1129"/>
      <c r="DO26" s="1129"/>
      <c r="DP26" s="1129"/>
      <c r="DQ26" s="1129"/>
      <c r="DR26" s="1129"/>
      <c r="DS26" s="1129"/>
      <c r="DT26" s="1129"/>
      <c r="DU26" s="1129"/>
      <c r="DV26" s="1129"/>
      <c r="DW26" s="1129"/>
      <c r="DX26" s="1129"/>
      <c r="DY26" s="1129"/>
      <c r="DZ26" s="1129"/>
      <c r="EA26" s="1129"/>
      <c r="EB26" s="1129"/>
      <c r="EC26" s="1129"/>
      <c r="ED26" s="1129"/>
      <c r="EE26" s="1129"/>
      <c r="EF26" s="1129"/>
      <c r="EG26" s="1129"/>
      <c r="EH26" s="1129"/>
      <c r="EI26" s="1129"/>
      <c r="EJ26" s="1129"/>
      <c r="EK26" s="1129"/>
      <c r="EL26" s="1129"/>
      <c r="EM26" s="1129"/>
      <c r="EN26" s="1129"/>
      <c r="EO26" s="1129"/>
      <c r="EP26" s="1129"/>
      <c r="EQ26" s="1129"/>
      <c r="ER26" s="1129"/>
      <c r="ES26" s="1129"/>
      <c r="ET26" s="1129"/>
      <c r="EU26" s="1129"/>
      <c r="EV26" s="1129"/>
      <c r="EW26" s="1129"/>
      <c r="EX26" s="1129"/>
      <c r="EY26" s="1129"/>
      <c r="EZ26" s="1129"/>
      <c r="FA26" s="1129"/>
      <c r="FB26" s="1129"/>
      <c r="FC26" s="1129"/>
      <c r="FD26" s="1129"/>
      <c r="FE26" s="1129"/>
      <c r="FF26" s="1129"/>
      <c r="FG26" s="1129"/>
      <c r="FH26" s="1129"/>
      <c r="FI26" s="1129"/>
      <c r="FJ26" s="1129"/>
      <c r="FK26" s="1129"/>
      <c r="FL26" s="1129"/>
      <c r="FM26" s="1129"/>
      <c r="FN26" s="1129"/>
      <c r="FO26" s="1129"/>
      <c r="FP26" s="1129"/>
      <c r="FQ26" s="1129"/>
      <c r="FR26" s="1129"/>
      <c r="FS26" s="1129"/>
      <c r="FT26" s="1129"/>
      <c r="FU26" s="1129"/>
      <c r="FV26" s="1129"/>
      <c r="FW26" s="1129"/>
      <c r="FX26" s="1129"/>
      <c r="FY26" s="1129"/>
      <c r="FZ26" s="1129"/>
      <c r="GA26" s="1129"/>
      <c r="GB26" s="1129"/>
      <c r="GC26" s="1129"/>
      <c r="GD26" s="1129"/>
      <c r="GE26" s="1129"/>
      <c r="GF26" s="1129"/>
      <c r="GG26" s="1129"/>
      <c r="GH26" s="1129"/>
      <c r="GI26" s="1129"/>
      <c r="GJ26" s="1129"/>
      <c r="GK26" s="1129"/>
      <c r="GL26" s="1129"/>
      <c r="GM26" s="1129"/>
      <c r="GN26" s="1129"/>
      <c r="GO26" s="1129"/>
      <c r="GP26" s="1129"/>
      <c r="GQ26" s="1129"/>
      <c r="GR26" s="1129"/>
      <c r="GS26" s="1129"/>
      <c r="GT26" s="1129"/>
      <c r="GU26" s="1129"/>
      <c r="GV26" s="1129"/>
      <c r="GW26" s="1129"/>
      <c r="GX26" s="1129"/>
      <c r="GY26" s="1129"/>
      <c r="GZ26" s="1129"/>
      <c r="HA26" s="1129"/>
      <c r="HB26" s="1129"/>
      <c r="HC26" s="1129"/>
      <c r="HD26" s="1129"/>
      <c r="HE26" s="1129"/>
      <c r="HF26" s="1129"/>
      <c r="HG26" s="1129"/>
      <c r="HH26" s="1129"/>
      <c r="HI26" s="1129"/>
      <c r="HJ26" s="1129"/>
      <c r="HK26" s="1129"/>
      <c r="HL26" s="1129"/>
      <c r="HM26" s="1129"/>
      <c r="HN26" s="1129"/>
      <c r="HO26" s="1129"/>
      <c r="HP26" s="1129"/>
      <c r="HQ26" s="1129"/>
      <c r="HR26" s="1129"/>
      <c r="HS26" s="1129"/>
      <c r="HT26" s="1129"/>
      <c r="HU26" s="1129"/>
      <c r="HV26" s="1129"/>
      <c r="HW26" s="1129"/>
      <c r="HX26" s="1129"/>
      <c r="HY26" s="1129"/>
    </row>
    <row r="27" spans="1:233" s="617" customFormat="1" ht="15.95" customHeight="1">
      <c r="B27" s="849"/>
      <c r="C27" s="1798" t="s">
        <v>13</v>
      </c>
      <c r="D27" s="1798"/>
      <c r="E27" s="709"/>
      <c r="F27" s="709">
        <f>'O&amp;M'!C482</f>
        <v>0</v>
      </c>
      <c r="G27" s="709">
        <f>'O&amp;M'!D482</f>
        <v>0</v>
      </c>
      <c r="H27" s="709">
        <f>'O&amp;M'!E482</f>
        <v>0</v>
      </c>
      <c r="I27" s="709">
        <f>'O&amp;M'!F482</f>
        <v>0</v>
      </c>
      <c r="J27" s="709">
        <f>'O&amp;M'!G482</f>
        <v>0</v>
      </c>
      <c r="K27" s="709">
        <f>'O&amp;M'!H482</f>
        <v>0</v>
      </c>
      <c r="L27" s="709">
        <f>'O&amp;M'!I482</f>
        <v>0</v>
      </c>
      <c r="M27" s="709">
        <f>'O&amp;M'!J482</f>
        <v>0</v>
      </c>
      <c r="N27" s="709">
        <f>'O&amp;M'!K482</f>
        <v>0</v>
      </c>
      <c r="O27" s="709">
        <f>'O&amp;M'!L482</f>
        <v>0</v>
      </c>
      <c r="P27" s="734">
        <f>SUM(E27:O27)</f>
        <v>0</v>
      </c>
      <c r="Q27" s="773"/>
      <c r="R27" s="773"/>
      <c r="S27" s="773"/>
      <c r="T27" s="773"/>
      <c r="U27" s="773"/>
      <c r="V27" s="773"/>
      <c r="W27" s="773"/>
      <c r="X27" s="773"/>
      <c r="Y27" s="773"/>
      <c r="Z27" s="773"/>
      <c r="AA27" s="773"/>
      <c r="AB27" s="773"/>
      <c r="AC27" s="773"/>
      <c r="AD27" s="773"/>
      <c r="AE27" s="773"/>
      <c r="AF27" s="773"/>
      <c r="AG27" s="773"/>
      <c r="AH27" s="773"/>
      <c r="AI27" s="773"/>
      <c r="AJ27" s="773"/>
      <c r="AK27" s="773"/>
      <c r="AL27" s="773"/>
      <c r="AM27" s="773"/>
      <c r="AN27" s="773"/>
      <c r="AO27" s="773"/>
      <c r="AP27" s="773"/>
      <c r="AQ27" s="773"/>
      <c r="AR27" s="773"/>
      <c r="AS27" s="773"/>
      <c r="AT27" s="773"/>
      <c r="AU27" s="773"/>
      <c r="AV27" s="773"/>
      <c r="AW27" s="773"/>
      <c r="AX27" s="773"/>
      <c r="AY27" s="773"/>
      <c r="AZ27" s="773"/>
      <c r="BA27" s="773"/>
      <c r="BB27" s="773"/>
      <c r="BC27" s="773"/>
      <c r="BD27" s="773"/>
      <c r="BE27" s="773"/>
      <c r="BF27" s="773"/>
      <c r="BG27" s="773"/>
      <c r="BH27" s="773"/>
      <c r="BI27" s="773"/>
      <c r="BJ27" s="773"/>
      <c r="BK27" s="773"/>
      <c r="BL27" s="773"/>
      <c r="BM27" s="773"/>
      <c r="BN27" s="773"/>
      <c r="BO27" s="773"/>
      <c r="BP27" s="773"/>
      <c r="BQ27" s="773"/>
      <c r="BR27" s="773"/>
      <c r="BS27" s="773"/>
      <c r="BT27" s="773"/>
      <c r="BU27" s="773"/>
      <c r="BV27" s="773"/>
      <c r="BW27" s="773"/>
      <c r="BX27" s="773"/>
      <c r="BY27" s="773"/>
      <c r="BZ27" s="773"/>
      <c r="CA27" s="773"/>
      <c r="CB27" s="773"/>
      <c r="CC27" s="773"/>
      <c r="CD27" s="773"/>
      <c r="CE27" s="773"/>
      <c r="CF27" s="773"/>
      <c r="CG27" s="773"/>
      <c r="CH27" s="773"/>
      <c r="CI27" s="773"/>
      <c r="CJ27" s="773"/>
      <c r="CK27" s="773"/>
      <c r="CL27" s="773"/>
      <c r="CM27" s="773"/>
      <c r="CN27" s="773"/>
      <c r="CO27" s="773"/>
      <c r="CP27" s="773"/>
      <c r="CQ27" s="773"/>
      <c r="CR27" s="773"/>
      <c r="CS27" s="773"/>
      <c r="CT27" s="773"/>
      <c r="CU27" s="773"/>
      <c r="CV27" s="773"/>
      <c r="CW27" s="773"/>
      <c r="CX27" s="773"/>
      <c r="CY27" s="773"/>
      <c r="CZ27" s="773"/>
      <c r="DA27" s="773"/>
      <c r="DB27" s="773"/>
      <c r="DC27" s="773"/>
      <c r="DD27" s="773"/>
      <c r="DE27" s="773"/>
      <c r="DF27" s="773"/>
      <c r="DG27" s="773"/>
      <c r="DH27" s="773"/>
      <c r="DI27" s="773"/>
      <c r="DJ27" s="773"/>
      <c r="DK27" s="773"/>
      <c r="DL27" s="773"/>
      <c r="DM27" s="773"/>
      <c r="DN27" s="773"/>
      <c r="DO27" s="773"/>
      <c r="DP27" s="773"/>
      <c r="DQ27" s="773"/>
      <c r="DR27" s="773"/>
      <c r="DS27" s="773"/>
      <c r="DT27" s="773"/>
      <c r="DU27" s="773"/>
      <c r="DV27" s="773"/>
      <c r="DW27" s="773"/>
      <c r="DX27" s="773"/>
      <c r="DY27" s="773"/>
      <c r="DZ27" s="773"/>
      <c r="EA27" s="773"/>
      <c r="EB27" s="773"/>
      <c r="EC27" s="773"/>
      <c r="ED27" s="773"/>
      <c r="EE27" s="773"/>
      <c r="EF27" s="773"/>
      <c r="EG27" s="773"/>
      <c r="EH27" s="773"/>
      <c r="EI27" s="773"/>
      <c r="EJ27" s="773"/>
      <c r="EK27" s="773"/>
      <c r="EL27" s="773"/>
      <c r="EM27" s="773"/>
      <c r="EN27" s="773"/>
      <c r="EO27" s="773"/>
      <c r="EP27" s="773"/>
      <c r="EQ27" s="773"/>
      <c r="ER27" s="773"/>
      <c r="ES27" s="773"/>
      <c r="ET27" s="773"/>
      <c r="EU27" s="773"/>
      <c r="EV27" s="773"/>
      <c r="EW27" s="773"/>
      <c r="EX27" s="773"/>
      <c r="EY27" s="773"/>
      <c r="EZ27" s="773"/>
      <c r="FA27" s="773"/>
      <c r="FB27" s="773"/>
      <c r="FC27" s="773"/>
      <c r="FD27" s="773"/>
      <c r="FE27" s="773"/>
      <c r="FF27" s="773"/>
      <c r="FG27" s="773"/>
      <c r="FH27" s="773"/>
      <c r="FI27" s="773"/>
      <c r="FJ27" s="773"/>
      <c r="FK27" s="773"/>
      <c r="FL27" s="773"/>
      <c r="FM27" s="773"/>
      <c r="FN27" s="773"/>
      <c r="FO27" s="773"/>
      <c r="FP27" s="773"/>
      <c r="FQ27" s="773"/>
      <c r="FR27" s="773"/>
      <c r="FS27" s="773"/>
      <c r="FT27" s="773"/>
      <c r="FU27" s="773"/>
      <c r="FV27" s="773"/>
      <c r="FW27" s="773"/>
      <c r="FX27" s="773"/>
      <c r="FY27" s="773"/>
      <c r="FZ27" s="773"/>
      <c r="GA27" s="773"/>
      <c r="GB27" s="773"/>
      <c r="GC27" s="773"/>
      <c r="GD27" s="773"/>
      <c r="GE27" s="773"/>
      <c r="GF27" s="773"/>
      <c r="GG27" s="773"/>
      <c r="GH27" s="773"/>
      <c r="GI27" s="773"/>
      <c r="GJ27" s="773"/>
      <c r="GK27" s="773"/>
      <c r="GL27" s="773"/>
      <c r="GM27" s="773"/>
      <c r="GN27" s="773"/>
      <c r="GO27" s="773"/>
      <c r="GP27" s="773"/>
      <c r="GQ27" s="773"/>
      <c r="GR27" s="773"/>
      <c r="GS27" s="773"/>
      <c r="GT27" s="773"/>
      <c r="GU27" s="773"/>
      <c r="GV27" s="773"/>
      <c r="GW27" s="773"/>
      <c r="GX27" s="773"/>
      <c r="GY27" s="773"/>
      <c r="GZ27" s="773"/>
      <c r="HA27" s="773"/>
      <c r="HB27" s="773"/>
      <c r="HC27" s="773"/>
      <c r="HD27" s="773"/>
      <c r="HE27" s="773"/>
      <c r="HF27" s="773"/>
      <c r="HG27" s="773"/>
      <c r="HH27" s="773"/>
      <c r="HI27" s="773"/>
      <c r="HJ27" s="773"/>
      <c r="HK27" s="773"/>
      <c r="HL27" s="773"/>
      <c r="HM27" s="773"/>
      <c r="HN27" s="773"/>
      <c r="HO27" s="773"/>
      <c r="HP27" s="773"/>
      <c r="HQ27" s="773"/>
      <c r="HR27" s="773"/>
      <c r="HS27" s="773"/>
      <c r="HT27" s="773"/>
      <c r="HU27" s="773"/>
      <c r="HV27" s="773"/>
      <c r="HW27" s="773"/>
      <c r="HX27" s="773"/>
      <c r="HY27" s="773"/>
    </row>
    <row r="28" spans="1:233" s="617" customFormat="1" ht="15.95" customHeight="1">
      <c r="B28" s="849"/>
      <c r="C28" s="1798" t="s">
        <v>24</v>
      </c>
      <c r="D28" s="1798"/>
      <c r="E28" s="709"/>
      <c r="F28" s="709">
        <f>'O&amp;M'!C488</f>
        <v>0</v>
      </c>
      <c r="G28" s="709">
        <f>'O&amp;M'!D488</f>
        <v>0</v>
      </c>
      <c r="H28" s="709">
        <f>'O&amp;M'!E488</f>
        <v>0</v>
      </c>
      <c r="I28" s="709">
        <f>'O&amp;M'!F488</f>
        <v>0</v>
      </c>
      <c r="J28" s="709">
        <f>'O&amp;M'!G488</f>
        <v>0</v>
      </c>
      <c r="K28" s="709">
        <f>'O&amp;M'!H488</f>
        <v>0</v>
      </c>
      <c r="L28" s="709">
        <f>'O&amp;M'!I488</f>
        <v>0</v>
      </c>
      <c r="M28" s="709">
        <f>'O&amp;M'!J488</f>
        <v>0</v>
      </c>
      <c r="N28" s="709">
        <f>'O&amp;M'!K488</f>
        <v>0</v>
      </c>
      <c r="O28" s="709">
        <f>'O&amp;M'!L488</f>
        <v>0</v>
      </c>
      <c r="P28" s="734">
        <f>SUM(E28:O28)</f>
        <v>0</v>
      </c>
      <c r="Q28" s="773"/>
      <c r="R28" s="773"/>
      <c r="S28" s="773"/>
      <c r="T28" s="773"/>
      <c r="U28" s="773"/>
      <c r="V28" s="773"/>
      <c r="W28" s="773"/>
      <c r="X28" s="773"/>
      <c r="Y28" s="773"/>
      <c r="Z28" s="773"/>
      <c r="AA28" s="773"/>
      <c r="AB28" s="773"/>
      <c r="AC28" s="773"/>
      <c r="AD28" s="773"/>
      <c r="AE28" s="773"/>
      <c r="AF28" s="773"/>
      <c r="AG28" s="773"/>
      <c r="AH28" s="773"/>
      <c r="AI28" s="773"/>
      <c r="AJ28" s="773"/>
      <c r="AK28" s="773"/>
      <c r="AL28" s="773"/>
      <c r="AM28" s="773"/>
      <c r="AN28" s="773"/>
      <c r="AO28" s="773"/>
      <c r="AP28" s="773"/>
      <c r="AQ28" s="773"/>
      <c r="AR28" s="773"/>
      <c r="AS28" s="773"/>
      <c r="AT28" s="773"/>
      <c r="AU28" s="773"/>
      <c r="AV28" s="773"/>
      <c r="AW28" s="773"/>
      <c r="AX28" s="773"/>
      <c r="AY28" s="773"/>
      <c r="AZ28" s="773"/>
      <c r="BA28" s="773"/>
      <c r="BB28" s="773"/>
      <c r="BC28" s="773"/>
      <c r="BD28" s="773"/>
      <c r="BE28" s="773"/>
      <c r="BF28" s="773"/>
      <c r="BG28" s="773"/>
      <c r="BH28" s="773"/>
      <c r="BI28" s="773"/>
      <c r="BJ28" s="773"/>
      <c r="BK28" s="773"/>
      <c r="BL28" s="773"/>
      <c r="BM28" s="773"/>
      <c r="BN28" s="773"/>
      <c r="BO28" s="773"/>
      <c r="BP28" s="773"/>
      <c r="BQ28" s="773"/>
      <c r="BR28" s="773"/>
      <c r="BS28" s="773"/>
      <c r="BT28" s="773"/>
      <c r="BU28" s="773"/>
      <c r="BV28" s="773"/>
      <c r="BW28" s="773"/>
      <c r="BX28" s="773"/>
      <c r="BY28" s="773"/>
      <c r="BZ28" s="773"/>
      <c r="CA28" s="773"/>
      <c r="CB28" s="773"/>
      <c r="CC28" s="773"/>
      <c r="CD28" s="773"/>
      <c r="CE28" s="773"/>
      <c r="CF28" s="773"/>
      <c r="CG28" s="773"/>
      <c r="CH28" s="773"/>
      <c r="CI28" s="773"/>
      <c r="CJ28" s="773"/>
      <c r="CK28" s="773"/>
      <c r="CL28" s="773"/>
      <c r="CM28" s="773"/>
      <c r="CN28" s="773"/>
      <c r="CO28" s="773"/>
      <c r="CP28" s="773"/>
      <c r="CQ28" s="773"/>
      <c r="CR28" s="773"/>
      <c r="CS28" s="773"/>
      <c r="CT28" s="773"/>
      <c r="CU28" s="773"/>
      <c r="CV28" s="773"/>
      <c r="CW28" s="773"/>
      <c r="CX28" s="773"/>
      <c r="CY28" s="773"/>
      <c r="CZ28" s="773"/>
      <c r="DA28" s="773"/>
      <c r="DB28" s="773"/>
      <c r="DC28" s="773"/>
      <c r="DD28" s="773"/>
      <c r="DE28" s="773"/>
      <c r="DF28" s="773"/>
      <c r="DG28" s="773"/>
      <c r="DH28" s="773"/>
      <c r="DI28" s="773"/>
      <c r="DJ28" s="773"/>
      <c r="DK28" s="773"/>
      <c r="DL28" s="773"/>
      <c r="DM28" s="773"/>
      <c r="DN28" s="773"/>
      <c r="DO28" s="773"/>
      <c r="DP28" s="773"/>
      <c r="DQ28" s="773"/>
      <c r="DR28" s="773"/>
      <c r="DS28" s="773"/>
      <c r="DT28" s="773"/>
      <c r="DU28" s="773"/>
      <c r="DV28" s="773"/>
      <c r="DW28" s="773"/>
      <c r="DX28" s="773"/>
      <c r="DY28" s="773"/>
      <c r="DZ28" s="773"/>
      <c r="EA28" s="773"/>
      <c r="EB28" s="773"/>
      <c r="EC28" s="773"/>
      <c r="ED28" s="773"/>
      <c r="EE28" s="773"/>
      <c r="EF28" s="773"/>
      <c r="EG28" s="773"/>
      <c r="EH28" s="773"/>
      <c r="EI28" s="773"/>
      <c r="EJ28" s="773"/>
      <c r="EK28" s="773"/>
      <c r="EL28" s="773"/>
      <c r="EM28" s="773"/>
      <c r="EN28" s="773"/>
      <c r="EO28" s="773"/>
      <c r="EP28" s="773"/>
      <c r="EQ28" s="773"/>
      <c r="ER28" s="773"/>
      <c r="ES28" s="773"/>
      <c r="ET28" s="773"/>
      <c r="EU28" s="773"/>
      <c r="EV28" s="773"/>
      <c r="EW28" s="773"/>
      <c r="EX28" s="773"/>
      <c r="EY28" s="773"/>
      <c r="EZ28" s="773"/>
      <c r="FA28" s="773"/>
      <c r="FB28" s="773"/>
      <c r="FC28" s="773"/>
      <c r="FD28" s="773"/>
      <c r="FE28" s="773"/>
      <c r="FF28" s="773"/>
      <c r="FG28" s="773"/>
      <c r="FH28" s="773"/>
      <c r="FI28" s="773"/>
      <c r="FJ28" s="773"/>
      <c r="FK28" s="773"/>
      <c r="FL28" s="773"/>
      <c r="FM28" s="773"/>
      <c r="FN28" s="773"/>
      <c r="FO28" s="773"/>
      <c r="FP28" s="773"/>
      <c r="FQ28" s="773"/>
      <c r="FR28" s="773"/>
      <c r="FS28" s="773"/>
      <c r="FT28" s="773"/>
      <c r="FU28" s="773"/>
      <c r="FV28" s="773"/>
      <c r="FW28" s="773"/>
      <c r="FX28" s="773"/>
      <c r="FY28" s="773"/>
      <c r="FZ28" s="773"/>
      <c r="GA28" s="773"/>
      <c r="GB28" s="773"/>
      <c r="GC28" s="773"/>
      <c r="GD28" s="773"/>
      <c r="GE28" s="773"/>
      <c r="GF28" s="773"/>
      <c r="GG28" s="773"/>
      <c r="GH28" s="773"/>
      <c r="GI28" s="773"/>
      <c r="GJ28" s="773"/>
      <c r="GK28" s="773"/>
      <c r="GL28" s="773"/>
      <c r="GM28" s="773"/>
      <c r="GN28" s="773"/>
      <c r="GO28" s="773"/>
      <c r="GP28" s="773"/>
      <c r="GQ28" s="773"/>
      <c r="GR28" s="773"/>
      <c r="GS28" s="773"/>
      <c r="GT28" s="773"/>
      <c r="GU28" s="773"/>
      <c r="GV28" s="773"/>
      <c r="GW28" s="773"/>
      <c r="GX28" s="773"/>
      <c r="GY28" s="773"/>
      <c r="GZ28" s="773"/>
      <c r="HA28" s="773"/>
      <c r="HB28" s="773"/>
      <c r="HC28" s="773"/>
      <c r="HD28" s="773"/>
      <c r="HE28" s="773"/>
      <c r="HF28" s="773"/>
      <c r="HG28" s="773"/>
      <c r="HH28" s="773"/>
      <c r="HI28" s="773"/>
      <c r="HJ28" s="773"/>
      <c r="HK28" s="773"/>
      <c r="HL28" s="773"/>
      <c r="HM28" s="773"/>
      <c r="HN28" s="773"/>
      <c r="HO28" s="773"/>
      <c r="HP28" s="773"/>
      <c r="HQ28" s="773"/>
      <c r="HR28" s="773"/>
      <c r="HS28" s="773"/>
      <c r="HT28" s="773"/>
      <c r="HU28" s="773"/>
      <c r="HV28" s="773"/>
      <c r="HW28" s="773"/>
      <c r="HX28" s="773"/>
      <c r="HY28" s="773"/>
    </row>
    <row r="29" spans="1:233" s="617" customFormat="1" ht="15.95" customHeight="1">
      <c r="B29" s="850" t="s">
        <v>64</v>
      </c>
      <c r="C29" s="1961" t="s">
        <v>63</v>
      </c>
      <c r="D29" s="1961"/>
      <c r="E29" s="734">
        <f>+E24</f>
        <v>0</v>
      </c>
      <c r="F29" s="734">
        <f t="shared" ref="F29:P29" si="1">+F24+F25+F26</f>
        <v>0</v>
      </c>
      <c r="G29" s="734">
        <f t="shared" si="1"/>
        <v>0</v>
      </c>
      <c r="H29" s="734">
        <f t="shared" si="1"/>
        <v>0</v>
      </c>
      <c r="I29" s="734">
        <f t="shared" si="1"/>
        <v>0</v>
      </c>
      <c r="J29" s="734">
        <f t="shared" si="1"/>
        <v>0</v>
      </c>
      <c r="K29" s="734">
        <f t="shared" si="1"/>
        <v>0</v>
      </c>
      <c r="L29" s="734">
        <f t="shared" si="1"/>
        <v>0</v>
      </c>
      <c r="M29" s="734">
        <f t="shared" si="1"/>
        <v>0</v>
      </c>
      <c r="N29" s="734">
        <f t="shared" si="1"/>
        <v>0</v>
      </c>
      <c r="O29" s="734">
        <f t="shared" si="1"/>
        <v>0</v>
      </c>
      <c r="P29" s="734">
        <f t="shared" si="1"/>
        <v>0</v>
      </c>
      <c r="Q29" s="773"/>
      <c r="R29" s="773"/>
      <c r="S29" s="773"/>
      <c r="T29" s="773"/>
      <c r="U29" s="773"/>
      <c r="V29" s="773"/>
      <c r="W29" s="773"/>
      <c r="X29" s="773"/>
      <c r="Y29" s="773"/>
      <c r="Z29" s="773"/>
      <c r="AA29" s="773"/>
      <c r="AB29" s="773"/>
      <c r="AC29" s="773"/>
      <c r="AD29" s="773"/>
      <c r="AE29" s="773"/>
      <c r="AF29" s="773"/>
      <c r="AG29" s="773"/>
      <c r="AH29" s="773"/>
      <c r="AI29" s="773"/>
      <c r="AJ29" s="773"/>
      <c r="AK29" s="773"/>
      <c r="AL29" s="773"/>
      <c r="AM29" s="773"/>
      <c r="AN29" s="773"/>
      <c r="AO29" s="773"/>
      <c r="AP29" s="773"/>
      <c r="AQ29" s="773"/>
      <c r="AR29" s="773"/>
      <c r="AS29" s="773"/>
      <c r="AT29" s="773"/>
      <c r="AU29" s="773"/>
      <c r="AV29" s="773"/>
      <c r="AW29" s="773"/>
      <c r="AX29" s="773"/>
      <c r="AY29" s="773"/>
      <c r="AZ29" s="773"/>
      <c r="BA29" s="773"/>
      <c r="BB29" s="773"/>
      <c r="BC29" s="773"/>
      <c r="BD29" s="773"/>
      <c r="BE29" s="773"/>
      <c r="BF29" s="773"/>
      <c r="BG29" s="773"/>
      <c r="BH29" s="773"/>
      <c r="BI29" s="773"/>
      <c r="BJ29" s="773"/>
      <c r="BK29" s="773"/>
      <c r="BL29" s="773"/>
      <c r="BM29" s="773"/>
      <c r="BN29" s="773"/>
      <c r="BO29" s="773"/>
      <c r="BP29" s="773"/>
      <c r="BQ29" s="773"/>
      <c r="BR29" s="773"/>
      <c r="BS29" s="773"/>
      <c r="BT29" s="773"/>
      <c r="BU29" s="773"/>
      <c r="BV29" s="773"/>
      <c r="BW29" s="773"/>
      <c r="BX29" s="773"/>
      <c r="BY29" s="773"/>
      <c r="BZ29" s="773"/>
      <c r="CA29" s="773"/>
      <c r="CB29" s="773"/>
      <c r="CC29" s="773"/>
      <c r="CD29" s="773"/>
      <c r="CE29" s="773"/>
      <c r="CF29" s="773"/>
      <c r="CG29" s="773"/>
      <c r="CH29" s="773"/>
      <c r="CI29" s="773"/>
      <c r="CJ29" s="773"/>
      <c r="CK29" s="773"/>
      <c r="CL29" s="773"/>
      <c r="CM29" s="773"/>
      <c r="CN29" s="773"/>
      <c r="CO29" s="773"/>
      <c r="CP29" s="773"/>
      <c r="CQ29" s="773"/>
      <c r="CR29" s="773"/>
      <c r="CS29" s="773"/>
      <c r="CT29" s="773"/>
      <c r="CU29" s="773"/>
      <c r="CV29" s="773"/>
      <c r="CW29" s="773"/>
      <c r="CX29" s="773"/>
      <c r="CY29" s="773"/>
      <c r="CZ29" s="773"/>
      <c r="DA29" s="773"/>
      <c r="DB29" s="773"/>
      <c r="DC29" s="773"/>
      <c r="DD29" s="773"/>
      <c r="DE29" s="773"/>
      <c r="DF29" s="773"/>
      <c r="DG29" s="773"/>
      <c r="DH29" s="773"/>
      <c r="DI29" s="773"/>
      <c r="DJ29" s="773"/>
      <c r="DK29" s="773"/>
      <c r="DL29" s="773"/>
      <c r="DM29" s="773"/>
      <c r="DN29" s="773"/>
      <c r="DO29" s="773"/>
      <c r="DP29" s="773"/>
      <c r="DQ29" s="773"/>
      <c r="DR29" s="773"/>
      <c r="DS29" s="773"/>
      <c r="DT29" s="773"/>
      <c r="DU29" s="773"/>
      <c r="DV29" s="773"/>
      <c r="DW29" s="773"/>
      <c r="DX29" s="773"/>
      <c r="DY29" s="773"/>
      <c r="DZ29" s="773"/>
      <c r="EA29" s="773"/>
      <c r="EB29" s="773"/>
      <c r="EC29" s="773"/>
      <c r="ED29" s="773"/>
      <c r="EE29" s="773"/>
      <c r="EF29" s="773"/>
      <c r="EG29" s="773"/>
      <c r="EH29" s="773"/>
      <c r="EI29" s="773"/>
      <c r="EJ29" s="773"/>
      <c r="EK29" s="773"/>
      <c r="EL29" s="773"/>
      <c r="EM29" s="773"/>
      <c r="EN29" s="773"/>
      <c r="EO29" s="773"/>
      <c r="EP29" s="773"/>
      <c r="EQ29" s="773"/>
      <c r="ER29" s="773"/>
      <c r="ES29" s="773"/>
      <c r="ET29" s="773"/>
      <c r="EU29" s="773"/>
      <c r="EV29" s="773"/>
      <c r="EW29" s="773"/>
      <c r="EX29" s="773"/>
      <c r="EY29" s="773"/>
      <c r="EZ29" s="773"/>
      <c r="FA29" s="773"/>
      <c r="FB29" s="773"/>
      <c r="FC29" s="773"/>
      <c r="FD29" s="773"/>
      <c r="FE29" s="773"/>
      <c r="FF29" s="773"/>
      <c r="FG29" s="773"/>
      <c r="FH29" s="773"/>
      <c r="FI29" s="773"/>
      <c r="FJ29" s="773"/>
      <c r="FK29" s="773"/>
      <c r="FL29" s="773"/>
      <c r="FM29" s="773"/>
      <c r="FN29" s="773"/>
      <c r="FO29" s="773"/>
      <c r="FP29" s="773"/>
      <c r="FQ29" s="773"/>
      <c r="FR29" s="773"/>
      <c r="FS29" s="773"/>
      <c r="FT29" s="773"/>
      <c r="FU29" s="773"/>
      <c r="FV29" s="773"/>
      <c r="FW29" s="773"/>
      <c r="FX29" s="773"/>
      <c r="FY29" s="773"/>
      <c r="FZ29" s="773"/>
      <c r="GA29" s="773"/>
      <c r="GB29" s="773"/>
      <c r="GC29" s="773"/>
      <c r="GD29" s="773"/>
      <c r="GE29" s="773"/>
      <c r="GF29" s="773"/>
      <c r="GG29" s="773"/>
      <c r="GH29" s="773"/>
      <c r="GI29" s="773"/>
      <c r="GJ29" s="773"/>
      <c r="GK29" s="773"/>
      <c r="GL29" s="773"/>
      <c r="GM29" s="773"/>
      <c r="GN29" s="773"/>
      <c r="GO29" s="773"/>
      <c r="GP29" s="773"/>
      <c r="GQ29" s="773"/>
      <c r="GR29" s="773"/>
      <c r="GS29" s="773"/>
      <c r="GT29" s="773"/>
      <c r="GU29" s="773"/>
      <c r="GV29" s="773"/>
      <c r="GW29" s="773"/>
      <c r="GX29" s="773"/>
      <c r="GY29" s="773"/>
      <c r="GZ29" s="773"/>
      <c r="HA29" s="773"/>
      <c r="HB29" s="773"/>
      <c r="HC29" s="773"/>
      <c r="HD29" s="773"/>
      <c r="HE29" s="773"/>
      <c r="HF29" s="773"/>
      <c r="HG29" s="773"/>
      <c r="HH29" s="773"/>
      <c r="HI29" s="773"/>
      <c r="HJ29" s="773"/>
      <c r="HK29" s="773"/>
      <c r="HL29" s="773"/>
      <c r="HM29" s="773"/>
      <c r="HN29" s="773"/>
      <c r="HO29" s="773"/>
      <c r="HP29" s="773"/>
      <c r="HQ29" s="773"/>
      <c r="HR29" s="773"/>
      <c r="HS29" s="773"/>
      <c r="HT29" s="773"/>
      <c r="HU29" s="773"/>
      <c r="HV29" s="773"/>
      <c r="HW29" s="773"/>
      <c r="HX29" s="773"/>
      <c r="HY29" s="773"/>
    </row>
    <row r="30" spans="1:233" s="617" customFormat="1" ht="15.95" customHeight="1">
      <c r="B30" s="850" t="s">
        <v>66</v>
      </c>
      <c r="C30" s="1961" t="s">
        <v>65</v>
      </c>
      <c r="D30" s="1961"/>
      <c r="E30" s="709"/>
      <c r="F30" s="709">
        <f>DATOS!$W$192+DATOS!$W$264</f>
        <v>0</v>
      </c>
      <c r="G30" s="709">
        <f>F30</f>
        <v>0</v>
      </c>
      <c r="H30" s="709">
        <f t="shared" ref="H30:O30" si="2">G30</f>
        <v>0</v>
      </c>
      <c r="I30" s="709">
        <f t="shared" si="2"/>
        <v>0</v>
      </c>
      <c r="J30" s="709">
        <f t="shared" si="2"/>
        <v>0</v>
      </c>
      <c r="K30" s="709">
        <f t="shared" si="2"/>
        <v>0</v>
      </c>
      <c r="L30" s="709">
        <f t="shared" si="2"/>
        <v>0</v>
      </c>
      <c r="M30" s="709">
        <f t="shared" si="2"/>
        <v>0</v>
      </c>
      <c r="N30" s="709">
        <f t="shared" si="2"/>
        <v>0</v>
      </c>
      <c r="O30" s="709">
        <f t="shared" si="2"/>
        <v>0</v>
      </c>
      <c r="P30" s="709">
        <f>SUM(F30:O30)</f>
        <v>0</v>
      </c>
      <c r="Q30" s="773"/>
      <c r="R30" s="773"/>
      <c r="S30" s="773"/>
      <c r="T30" s="773"/>
      <c r="U30" s="773"/>
      <c r="V30" s="773"/>
      <c r="W30" s="773"/>
      <c r="X30" s="773"/>
      <c r="Y30" s="773"/>
      <c r="Z30" s="773"/>
      <c r="AA30" s="773"/>
      <c r="AB30" s="773"/>
      <c r="AC30" s="773"/>
      <c r="AD30" s="773"/>
      <c r="AE30" s="773"/>
      <c r="AF30" s="773"/>
      <c r="AG30" s="773"/>
      <c r="AH30" s="773"/>
      <c r="AI30" s="773"/>
      <c r="AJ30" s="773"/>
      <c r="AK30" s="773"/>
      <c r="AL30" s="773"/>
      <c r="AM30" s="773"/>
      <c r="AN30" s="773"/>
      <c r="AO30" s="773"/>
      <c r="AP30" s="773"/>
      <c r="AQ30" s="773"/>
      <c r="AR30" s="773"/>
      <c r="AS30" s="773"/>
      <c r="AT30" s="773"/>
      <c r="AU30" s="773"/>
      <c r="AV30" s="773"/>
      <c r="AW30" s="773"/>
      <c r="AX30" s="773"/>
      <c r="AY30" s="773"/>
      <c r="AZ30" s="773"/>
      <c r="BA30" s="773"/>
      <c r="BB30" s="773"/>
      <c r="BC30" s="773"/>
      <c r="BD30" s="773"/>
      <c r="BE30" s="773"/>
      <c r="BF30" s="773"/>
      <c r="BG30" s="773"/>
      <c r="BH30" s="773"/>
      <c r="BI30" s="773"/>
      <c r="BJ30" s="773"/>
      <c r="BK30" s="773"/>
      <c r="BL30" s="773"/>
      <c r="BM30" s="773"/>
      <c r="BN30" s="773"/>
      <c r="BO30" s="773"/>
      <c r="BP30" s="773"/>
      <c r="BQ30" s="773"/>
      <c r="BR30" s="773"/>
      <c r="BS30" s="773"/>
      <c r="BT30" s="773"/>
      <c r="BU30" s="773"/>
      <c r="BV30" s="773"/>
      <c r="BW30" s="773"/>
      <c r="BX30" s="773"/>
      <c r="BY30" s="773"/>
      <c r="BZ30" s="773"/>
      <c r="CA30" s="773"/>
      <c r="CB30" s="773"/>
      <c r="CC30" s="773"/>
      <c r="CD30" s="773"/>
      <c r="CE30" s="773"/>
      <c r="CF30" s="773"/>
      <c r="CG30" s="773"/>
      <c r="CH30" s="773"/>
      <c r="CI30" s="773"/>
      <c r="CJ30" s="773"/>
      <c r="CK30" s="773"/>
      <c r="CL30" s="773"/>
      <c r="CM30" s="773"/>
      <c r="CN30" s="773"/>
      <c r="CO30" s="773"/>
      <c r="CP30" s="773"/>
      <c r="CQ30" s="773"/>
      <c r="CR30" s="773"/>
      <c r="CS30" s="773"/>
      <c r="CT30" s="773"/>
      <c r="CU30" s="773"/>
      <c r="CV30" s="773"/>
      <c r="CW30" s="773"/>
      <c r="CX30" s="773"/>
      <c r="CY30" s="773"/>
      <c r="CZ30" s="773"/>
      <c r="DA30" s="773"/>
      <c r="DB30" s="773"/>
      <c r="DC30" s="773"/>
      <c r="DD30" s="773"/>
      <c r="DE30" s="773"/>
      <c r="DF30" s="773"/>
      <c r="DG30" s="773"/>
      <c r="DH30" s="773"/>
      <c r="DI30" s="773"/>
      <c r="DJ30" s="773"/>
      <c r="DK30" s="773"/>
      <c r="DL30" s="773"/>
      <c r="DM30" s="773"/>
      <c r="DN30" s="773"/>
      <c r="DO30" s="773"/>
      <c r="DP30" s="773"/>
      <c r="DQ30" s="773"/>
      <c r="DR30" s="773"/>
      <c r="DS30" s="773"/>
      <c r="DT30" s="773"/>
      <c r="DU30" s="773"/>
      <c r="DV30" s="773"/>
      <c r="DW30" s="773"/>
      <c r="DX30" s="773"/>
      <c r="DY30" s="773"/>
      <c r="DZ30" s="773"/>
      <c r="EA30" s="773"/>
      <c r="EB30" s="773"/>
      <c r="EC30" s="773"/>
      <c r="ED30" s="773"/>
      <c r="EE30" s="773"/>
      <c r="EF30" s="773"/>
      <c r="EG30" s="773"/>
      <c r="EH30" s="773"/>
      <c r="EI30" s="773"/>
      <c r="EJ30" s="773"/>
      <c r="EK30" s="773"/>
      <c r="EL30" s="773"/>
      <c r="EM30" s="773"/>
      <c r="EN30" s="773"/>
      <c r="EO30" s="773"/>
      <c r="EP30" s="773"/>
      <c r="EQ30" s="773"/>
      <c r="ER30" s="773"/>
      <c r="ES30" s="773"/>
      <c r="ET30" s="773"/>
      <c r="EU30" s="773"/>
      <c r="EV30" s="773"/>
      <c r="EW30" s="773"/>
      <c r="EX30" s="773"/>
      <c r="EY30" s="773"/>
      <c r="EZ30" s="773"/>
      <c r="FA30" s="773"/>
      <c r="FB30" s="773"/>
      <c r="FC30" s="773"/>
      <c r="FD30" s="773"/>
      <c r="FE30" s="773"/>
      <c r="FF30" s="773"/>
      <c r="FG30" s="773"/>
      <c r="FH30" s="773"/>
      <c r="FI30" s="773"/>
      <c r="FJ30" s="773"/>
      <c r="FK30" s="773"/>
      <c r="FL30" s="773"/>
      <c r="FM30" s="773"/>
      <c r="FN30" s="773"/>
      <c r="FO30" s="773"/>
      <c r="FP30" s="773"/>
      <c r="FQ30" s="773"/>
      <c r="FR30" s="773"/>
      <c r="FS30" s="773"/>
      <c r="FT30" s="773"/>
      <c r="FU30" s="773"/>
      <c r="FV30" s="773"/>
      <c r="FW30" s="773"/>
      <c r="FX30" s="773"/>
      <c r="FY30" s="773"/>
      <c r="FZ30" s="773"/>
      <c r="GA30" s="773"/>
      <c r="GB30" s="773"/>
      <c r="GC30" s="773"/>
      <c r="GD30" s="773"/>
      <c r="GE30" s="773"/>
      <c r="GF30" s="773"/>
      <c r="GG30" s="773"/>
      <c r="GH30" s="773"/>
      <c r="GI30" s="773"/>
      <c r="GJ30" s="773"/>
      <c r="GK30" s="773"/>
      <c r="GL30" s="773"/>
      <c r="GM30" s="773"/>
      <c r="GN30" s="773"/>
      <c r="GO30" s="773"/>
      <c r="GP30" s="773"/>
      <c r="GQ30" s="773"/>
      <c r="GR30" s="773"/>
      <c r="GS30" s="773"/>
      <c r="GT30" s="773"/>
      <c r="GU30" s="773"/>
      <c r="GV30" s="773"/>
      <c r="GW30" s="773"/>
      <c r="GX30" s="773"/>
      <c r="GY30" s="773"/>
      <c r="GZ30" s="773"/>
      <c r="HA30" s="773"/>
      <c r="HB30" s="773"/>
      <c r="HC30" s="773"/>
      <c r="HD30" s="773"/>
      <c r="HE30" s="773"/>
      <c r="HF30" s="773"/>
      <c r="HG30" s="773"/>
      <c r="HH30" s="773"/>
      <c r="HI30" s="773"/>
      <c r="HJ30" s="773"/>
      <c r="HK30" s="773"/>
      <c r="HL30" s="773"/>
      <c r="HM30" s="773"/>
      <c r="HN30" s="773"/>
      <c r="HO30" s="773"/>
      <c r="HP30" s="773"/>
      <c r="HQ30" s="773"/>
      <c r="HR30" s="773"/>
      <c r="HS30" s="773"/>
      <c r="HT30" s="773"/>
      <c r="HU30" s="773"/>
      <c r="HV30" s="773"/>
      <c r="HW30" s="773"/>
      <c r="HX30" s="773"/>
      <c r="HY30" s="773"/>
    </row>
    <row r="31" spans="1:233" s="617" customFormat="1" ht="15.95" customHeight="1">
      <c r="B31" s="850" t="s">
        <v>71</v>
      </c>
      <c r="C31" s="1961" t="s">
        <v>88</v>
      </c>
      <c r="D31" s="1961"/>
      <c r="E31" s="734">
        <f>+E29-E30</f>
        <v>0</v>
      </c>
      <c r="F31" s="734">
        <f>+F29-F30</f>
        <v>0</v>
      </c>
      <c r="G31" s="734">
        <f t="shared" ref="G31:O31" si="3">+G29-G30</f>
        <v>0</v>
      </c>
      <c r="H31" s="734">
        <f t="shared" si="3"/>
        <v>0</v>
      </c>
      <c r="I31" s="734">
        <f t="shared" si="3"/>
        <v>0</v>
      </c>
      <c r="J31" s="734">
        <f t="shared" si="3"/>
        <v>0</v>
      </c>
      <c r="K31" s="734">
        <f t="shared" si="3"/>
        <v>0</v>
      </c>
      <c r="L31" s="734">
        <f t="shared" si="3"/>
        <v>0</v>
      </c>
      <c r="M31" s="734">
        <f t="shared" si="3"/>
        <v>0</v>
      </c>
      <c r="N31" s="734">
        <f t="shared" si="3"/>
        <v>0</v>
      </c>
      <c r="O31" s="734">
        <f t="shared" si="3"/>
        <v>0</v>
      </c>
      <c r="P31" s="734">
        <f>+P29-P30</f>
        <v>0</v>
      </c>
      <c r="Q31" s="773"/>
      <c r="R31" s="773"/>
      <c r="S31" s="773"/>
      <c r="T31" s="773"/>
      <c r="U31" s="773"/>
      <c r="V31" s="773"/>
      <c r="W31" s="773"/>
      <c r="X31" s="773"/>
      <c r="Y31" s="773"/>
      <c r="Z31" s="773"/>
      <c r="AA31" s="773"/>
      <c r="AB31" s="773"/>
      <c r="AC31" s="773"/>
      <c r="AD31" s="773"/>
      <c r="AE31" s="773"/>
      <c r="AF31" s="773"/>
      <c r="AG31" s="773"/>
      <c r="AH31" s="773"/>
      <c r="AI31" s="773"/>
      <c r="AJ31" s="773"/>
      <c r="AK31" s="773"/>
      <c r="AL31" s="773"/>
      <c r="AM31" s="773"/>
      <c r="AN31" s="773"/>
      <c r="AO31" s="773"/>
      <c r="AP31" s="773"/>
      <c r="AQ31" s="773"/>
      <c r="AR31" s="773"/>
      <c r="AS31" s="773"/>
      <c r="AT31" s="773"/>
      <c r="AU31" s="773"/>
      <c r="AV31" s="773"/>
      <c r="AW31" s="773"/>
      <c r="AX31" s="773"/>
      <c r="AY31" s="773"/>
      <c r="AZ31" s="773"/>
      <c r="BA31" s="773"/>
      <c r="BB31" s="773"/>
      <c r="BC31" s="773"/>
      <c r="BD31" s="773"/>
      <c r="BE31" s="773"/>
      <c r="BF31" s="773"/>
      <c r="BG31" s="773"/>
      <c r="BH31" s="773"/>
      <c r="BI31" s="773"/>
      <c r="BJ31" s="773"/>
      <c r="BK31" s="773"/>
      <c r="BL31" s="773"/>
      <c r="BM31" s="773"/>
      <c r="BN31" s="773"/>
      <c r="BO31" s="773"/>
      <c r="BP31" s="773"/>
      <c r="BQ31" s="773"/>
      <c r="BR31" s="773"/>
      <c r="BS31" s="773"/>
      <c r="BT31" s="773"/>
      <c r="BU31" s="773"/>
      <c r="BV31" s="773"/>
      <c r="BW31" s="773"/>
      <c r="BX31" s="773"/>
      <c r="BY31" s="773"/>
      <c r="BZ31" s="773"/>
      <c r="CA31" s="773"/>
      <c r="CB31" s="773"/>
      <c r="CC31" s="773"/>
      <c r="CD31" s="773"/>
      <c r="CE31" s="773"/>
      <c r="CF31" s="773"/>
      <c r="CG31" s="773"/>
      <c r="CH31" s="773"/>
      <c r="CI31" s="773"/>
      <c r="CJ31" s="773"/>
      <c r="CK31" s="773"/>
      <c r="CL31" s="773"/>
      <c r="CM31" s="773"/>
      <c r="CN31" s="773"/>
      <c r="CO31" s="773"/>
      <c r="CP31" s="773"/>
      <c r="CQ31" s="773"/>
      <c r="CR31" s="773"/>
      <c r="CS31" s="773"/>
      <c r="CT31" s="773"/>
      <c r="CU31" s="773"/>
      <c r="CV31" s="773"/>
      <c r="CW31" s="773"/>
      <c r="CX31" s="773"/>
      <c r="CY31" s="773"/>
      <c r="CZ31" s="773"/>
      <c r="DA31" s="773"/>
      <c r="DB31" s="773"/>
      <c r="DC31" s="773"/>
      <c r="DD31" s="773"/>
      <c r="DE31" s="773"/>
      <c r="DF31" s="773"/>
      <c r="DG31" s="773"/>
      <c r="DH31" s="773"/>
      <c r="DI31" s="773"/>
      <c r="DJ31" s="773"/>
      <c r="DK31" s="773"/>
      <c r="DL31" s="773"/>
      <c r="DM31" s="773"/>
      <c r="DN31" s="773"/>
      <c r="DO31" s="773"/>
      <c r="DP31" s="773"/>
      <c r="DQ31" s="773"/>
      <c r="DR31" s="773"/>
      <c r="DS31" s="773"/>
      <c r="DT31" s="773"/>
      <c r="DU31" s="773"/>
      <c r="DV31" s="773"/>
      <c r="DW31" s="773"/>
      <c r="DX31" s="773"/>
      <c r="DY31" s="773"/>
      <c r="DZ31" s="773"/>
      <c r="EA31" s="773"/>
      <c r="EB31" s="773"/>
      <c r="EC31" s="773"/>
      <c r="ED31" s="773"/>
      <c r="EE31" s="773"/>
      <c r="EF31" s="773"/>
      <c r="EG31" s="773"/>
      <c r="EH31" s="773"/>
      <c r="EI31" s="773"/>
      <c r="EJ31" s="773"/>
      <c r="EK31" s="773"/>
      <c r="EL31" s="773"/>
      <c r="EM31" s="773"/>
      <c r="EN31" s="773"/>
      <c r="EO31" s="773"/>
      <c r="EP31" s="773"/>
      <c r="EQ31" s="773"/>
      <c r="ER31" s="773"/>
      <c r="ES31" s="773"/>
      <c r="ET31" s="773"/>
      <c r="EU31" s="773"/>
      <c r="EV31" s="773"/>
      <c r="EW31" s="773"/>
      <c r="EX31" s="773"/>
      <c r="EY31" s="773"/>
      <c r="EZ31" s="773"/>
      <c r="FA31" s="773"/>
      <c r="FB31" s="773"/>
      <c r="FC31" s="773"/>
      <c r="FD31" s="773"/>
      <c r="FE31" s="773"/>
      <c r="FF31" s="773"/>
      <c r="FG31" s="773"/>
      <c r="FH31" s="773"/>
      <c r="FI31" s="773"/>
      <c r="FJ31" s="773"/>
      <c r="FK31" s="773"/>
      <c r="FL31" s="773"/>
      <c r="FM31" s="773"/>
      <c r="FN31" s="773"/>
      <c r="FO31" s="773"/>
      <c r="FP31" s="773"/>
      <c r="FQ31" s="773"/>
      <c r="FR31" s="773"/>
      <c r="FS31" s="773"/>
      <c r="FT31" s="773"/>
      <c r="FU31" s="773"/>
      <c r="FV31" s="773"/>
      <c r="FW31" s="773"/>
      <c r="FX31" s="773"/>
      <c r="FY31" s="773"/>
      <c r="FZ31" s="773"/>
      <c r="GA31" s="773"/>
      <c r="GB31" s="773"/>
      <c r="GC31" s="773"/>
      <c r="GD31" s="773"/>
      <c r="GE31" s="773"/>
      <c r="GF31" s="773"/>
      <c r="GG31" s="773"/>
      <c r="GH31" s="773"/>
      <c r="GI31" s="773"/>
      <c r="GJ31" s="773"/>
      <c r="GK31" s="773"/>
      <c r="GL31" s="773"/>
      <c r="GM31" s="773"/>
      <c r="GN31" s="773"/>
      <c r="GO31" s="773"/>
      <c r="GP31" s="773"/>
      <c r="GQ31" s="773"/>
      <c r="GR31" s="773"/>
      <c r="GS31" s="773"/>
      <c r="GT31" s="773"/>
      <c r="GU31" s="773"/>
      <c r="GV31" s="773"/>
      <c r="GW31" s="773"/>
      <c r="GX31" s="773"/>
      <c r="GY31" s="773"/>
      <c r="GZ31" s="773"/>
      <c r="HA31" s="773"/>
      <c r="HB31" s="773"/>
      <c r="HC31" s="773"/>
      <c r="HD31" s="773"/>
      <c r="HE31" s="773"/>
      <c r="HF31" s="773"/>
      <c r="HG31" s="773"/>
      <c r="HH31" s="773"/>
      <c r="HI31" s="773"/>
      <c r="HJ31" s="773"/>
      <c r="HK31" s="773"/>
      <c r="HL31" s="773"/>
      <c r="HM31" s="773"/>
      <c r="HN31" s="773"/>
      <c r="HO31" s="773"/>
      <c r="HP31" s="773"/>
      <c r="HQ31" s="773"/>
      <c r="HR31" s="773"/>
      <c r="HS31" s="773"/>
      <c r="HT31" s="773"/>
      <c r="HU31" s="773"/>
      <c r="HV31" s="773"/>
      <c r="HW31" s="773"/>
      <c r="HX31" s="773"/>
      <c r="HY31" s="773"/>
    </row>
    <row r="32" spans="1:233">
      <c r="A32" s="897"/>
      <c r="C32" s="617"/>
      <c r="D32" s="617"/>
      <c r="E32" s="1141"/>
      <c r="H32" s="405"/>
      <c r="I32" s="405"/>
      <c r="J32" s="405"/>
      <c r="K32" s="405"/>
      <c r="L32" s="405"/>
    </row>
    <row r="33" spans="1:16" ht="7.5" customHeight="1">
      <c r="F33" s="1141"/>
      <c r="G33" s="1141"/>
      <c r="H33" s="1141"/>
      <c r="I33" s="1141"/>
      <c r="J33" s="1141"/>
      <c r="K33" s="1141"/>
      <c r="L33" s="1141"/>
      <c r="M33" s="1141"/>
      <c r="N33" s="1141"/>
      <c r="O33" s="1141"/>
    </row>
    <row r="34" spans="1:16" ht="7.5" customHeight="1"/>
    <row r="35" spans="1:16" ht="30" customHeight="1">
      <c r="B35" s="1960" t="s">
        <v>161</v>
      </c>
      <c r="C35" s="1960"/>
      <c r="D35" s="1960"/>
      <c r="E35" s="1960"/>
      <c r="F35" s="1960"/>
      <c r="G35" s="1960"/>
      <c r="H35" s="1960"/>
      <c r="I35" s="1960"/>
      <c r="J35" s="1960"/>
      <c r="K35" s="1960"/>
      <c r="L35" s="1960"/>
      <c r="M35" s="1960"/>
      <c r="N35" s="1960"/>
      <c r="O35" s="1960"/>
      <c r="P35" s="1960"/>
    </row>
    <row r="36" spans="1:16" ht="15.95" customHeight="1"/>
    <row r="37" spans="1:16" ht="15.95" customHeight="1">
      <c r="B37" s="1794" t="s">
        <v>44</v>
      </c>
      <c r="C37" s="1794"/>
      <c r="D37" s="1142">
        <v>0</v>
      </c>
    </row>
    <row r="38" spans="1:16" ht="15.95" customHeight="1">
      <c r="B38" s="699"/>
      <c r="C38" s="608"/>
      <c r="D38" s="608"/>
    </row>
    <row r="39" spans="1:16" s="618" customFormat="1" ht="15.95" customHeight="1">
      <c r="A39" s="617"/>
      <c r="B39" s="608"/>
      <c r="C39" s="1143" t="s">
        <v>67</v>
      </c>
      <c r="D39" s="853" t="s">
        <v>28</v>
      </c>
      <c r="E39" s="853" t="s">
        <v>32</v>
      </c>
      <c r="F39" s="853" t="s">
        <v>33</v>
      </c>
      <c r="G39" s="852" t="s">
        <v>34</v>
      </c>
      <c r="H39" s="852" t="s">
        <v>35</v>
      </c>
      <c r="I39" s="852" t="s">
        <v>36</v>
      </c>
      <c r="J39" s="852" t="s">
        <v>37</v>
      </c>
      <c r="K39" s="852" t="s">
        <v>38</v>
      </c>
      <c r="L39" s="852" t="s">
        <v>39</v>
      </c>
      <c r="M39" s="852" t="s">
        <v>40</v>
      </c>
      <c r="N39" s="852" t="s">
        <v>25</v>
      </c>
      <c r="O39" s="852" t="s">
        <v>3273</v>
      </c>
    </row>
    <row r="40" spans="1:16" s="618" customFormat="1" ht="15.95" customHeight="1">
      <c r="B40" s="608"/>
      <c r="C40" s="542" t="s">
        <v>167</v>
      </c>
      <c r="D40" s="709">
        <f>E24</f>
        <v>0</v>
      </c>
      <c r="E40" s="709">
        <f>'Costos Alter.'!F29</f>
        <v>0</v>
      </c>
      <c r="F40" s="709">
        <f>'Costos Alter.'!G29</f>
        <v>0</v>
      </c>
      <c r="G40" s="709">
        <f>'Costos Alter.'!H29</f>
        <v>0</v>
      </c>
      <c r="H40" s="709">
        <f>'Costos Alter.'!I29</f>
        <v>0</v>
      </c>
      <c r="I40" s="709">
        <f>'Costos Alter.'!J29</f>
        <v>0</v>
      </c>
      <c r="J40" s="709">
        <f>'Costos Alter.'!K29</f>
        <v>0</v>
      </c>
      <c r="K40" s="709">
        <f>'Costos Alter.'!L29</f>
        <v>0</v>
      </c>
      <c r="L40" s="709">
        <f>'Costos Alter.'!M29</f>
        <v>0</v>
      </c>
      <c r="M40" s="709">
        <f>'Costos Alter.'!N29</f>
        <v>0</v>
      </c>
      <c r="N40" s="709">
        <f>'Costos Alter.'!O29</f>
        <v>0</v>
      </c>
      <c r="O40" s="709">
        <f>SUM(D40:N40)</f>
        <v>0</v>
      </c>
    </row>
    <row r="41" spans="1:16" s="405" customFormat="1" ht="15.95" customHeight="1">
      <c r="A41" s="618"/>
      <c r="B41" s="699"/>
      <c r="C41" s="895" t="s">
        <v>68</v>
      </c>
      <c r="D41" s="734"/>
      <c r="E41" s="734">
        <f>F30</f>
        <v>0</v>
      </c>
      <c r="F41" s="734">
        <f>E41*(1+$D$37)</f>
        <v>0</v>
      </c>
      <c r="G41" s="734">
        <f>F41*(1+$D$37)</f>
        <v>0</v>
      </c>
      <c r="H41" s="734">
        <f>G41*(1+$D$37)</f>
        <v>0</v>
      </c>
      <c r="I41" s="734">
        <f t="shared" ref="I41:N41" si="4">H41*(1+$D$37)</f>
        <v>0</v>
      </c>
      <c r="J41" s="734">
        <f t="shared" si="4"/>
        <v>0</v>
      </c>
      <c r="K41" s="734">
        <f t="shared" si="4"/>
        <v>0</v>
      </c>
      <c r="L41" s="734">
        <f t="shared" si="4"/>
        <v>0</v>
      </c>
      <c r="M41" s="734">
        <f t="shared" si="4"/>
        <v>0</v>
      </c>
      <c r="N41" s="734">
        <f t="shared" si="4"/>
        <v>0</v>
      </c>
      <c r="O41" s="734">
        <f>SUM(D41:N41)</f>
        <v>0</v>
      </c>
    </row>
    <row r="42" spans="1:16" s="618" customFormat="1" ht="15.95" customHeight="1">
      <c r="A42" s="405"/>
      <c r="B42" s="608"/>
      <c r="C42" s="542" t="s">
        <v>168</v>
      </c>
      <c r="D42" s="709">
        <f t="shared" ref="D42:N42" si="5">D40-D41</f>
        <v>0</v>
      </c>
      <c r="E42" s="709">
        <f t="shared" si="5"/>
        <v>0</v>
      </c>
      <c r="F42" s="709">
        <f t="shared" si="5"/>
        <v>0</v>
      </c>
      <c r="G42" s="709">
        <f t="shared" si="5"/>
        <v>0</v>
      </c>
      <c r="H42" s="709">
        <f t="shared" si="5"/>
        <v>0</v>
      </c>
      <c r="I42" s="709">
        <f t="shared" si="5"/>
        <v>0</v>
      </c>
      <c r="J42" s="709">
        <f t="shared" si="5"/>
        <v>0</v>
      </c>
      <c r="K42" s="709">
        <f t="shared" si="5"/>
        <v>0</v>
      </c>
      <c r="L42" s="709">
        <f t="shared" si="5"/>
        <v>0</v>
      </c>
      <c r="M42" s="709">
        <f t="shared" si="5"/>
        <v>0</v>
      </c>
      <c r="N42" s="709">
        <f t="shared" si="5"/>
        <v>0</v>
      </c>
      <c r="O42" s="709">
        <f>SUM(D42:N42)</f>
        <v>0</v>
      </c>
    </row>
    <row r="43" spans="1:16" s="405" customFormat="1" ht="12" customHeight="1">
      <c r="B43" s="699"/>
      <c r="C43" s="608"/>
      <c r="D43" s="608"/>
      <c r="E43" s="608"/>
      <c r="F43" s="608"/>
      <c r="G43" s="608"/>
      <c r="H43" s="608"/>
      <c r="I43" s="608"/>
      <c r="J43" s="608"/>
      <c r="K43" s="608"/>
      <c r="L43" s="608"/>
      <c r="M43" s="608"/>
      <c r="N43" s="608"/>
    </row>
    <row r="44" spans="1:16" hidden="1">
      <c r="F44" s="1144"/>
    </row>
    <row r="45" spans="1:16">
      <c r="F45" s="1144"/>
    </row>
    <row r="46" spans="1:16" ht="24.75" customHeight="1">
      <c r="B46" s="1960" t="s">
        <v>172</v>
      </c>
      <c r="C46" s="1960"/>
      <c r="D46" s="1960"/>
      <c r="E46" s="1960"/>
      <c r="F46" s="1960"/>
      <c r="G46" s="1960"/>
      <c r="H46" s="1960"/>
      <c r="I46" s="1960"/>
      <c r="J46" s="1960"/>
      <c r="K46" s="1960"/>
      <c r="L46" s="1960"/>
      <c r="M46" s="1960"/>
      <c r="N46" s="1960"/>
      <c r="O46" s="1960"/>
      <c r="P46" s="1960"/>
    </row>
    <row r="47" spans="1:16">
      <c r="C47" s="796"/>
      <c r="D47" s="796"/>
      <c r="E47" s="1134">
        <v>0</v>
      </c>
      <c r="F47" s="405"/>
      <c r="G47" s="405"/>
      <c r="H47" s="405"/>
      <c r="I47" s="405"/>
      <c r="J47" s="405"/>
      <c r="K47" s="405"/>
      <c r="L47" s="405"/>
      <c r="M47" s="405"/>
      <c r="N47" s="405"/>
      <c r="O47" s="405"/>
      <c r="P47" s="405"/>
    </row>
    <row r="48" spans="1:16">
      <c r="C48" s="796"/>
      <c r="D48" s="796"/>
      <c r="E48" s="765"/>
      <c r="F48" s="405"/>
      <c r="G48" s="405"/>
      <c r="H48" s="405"/>
      <c r="I48" s="405"/>
      <c r="J48" s="405"/>
      <c r="K48" s="405"/>
      <c r="L48" s="405"/>
      <c r="M48" s="405"/>
      <c r="N48" s="405"/>
      <c r="O48" s="405"/>
      <c r="P48" s="405"/>
    </row>
    <row r="49" spans="1:233" s="618" customFormat="1" ht="20.25" customHeight="1">
      <c r="B49" s="1841" t="s">
        <v>19</v>
      </c>
      <c r="C49" s="1964" t="s">
        <v>87</v>
      </c>
      <c r="D49" s="1964"/>
      <c r="E49" s="1841" t="s">
        <v>46</v>
      </c>
      <c r="F49" s="1833" t="s">
        <v>45</v>
      </c>
      <c r="G49" s="1834"/>
      <c r="H49" s="1834"/>
      <c r="I49" s="1834"/>
      <c r="J49" s="1834"/>
      <c r="K49" s="1834"/>
      <c r="L49" s="1834"/>
      <c r="M49" s="1834"/>
      <c r="N49" s="1834"/>
      <c r="O49" s="1835"/>
      <c r="P49" s="1792" t="s">
        <v>3273</v>
      </c>
      <c r="Q49" s="633"/>
      <c r="R49" s="633"/>
      <c r="S49" s="633"/>
      <c r="T49" s="633"/>
      <c r="U49" s="633"/>
      <c r="V49" s="633"/>
      <c r="W49" s="633"/>
      <c r="X49" s="633"/>
      <c r="Y49" s="633"/>
      <c r="Z49" s="633"/>
      <c r="AA49" s="633"/>
      <c r="AB49" s="633"/>
      <c r="AC49" s="633"/>
      <c r="AD49" s="633"/>
      <c r="AE49" s="633"/>
      <c r="AF49" s="633"/>
      <c r="AG49" s="633"/>
      <c r="AH49" s="633"/>
      <c r="AI49" s="633"/>
      <c r="AJ49" s="633"/>
      <c r="AK49" s="633"/>
      <c r="AL49" s="633"/>
      <c r="AM49" s="633"/>
      <c r="AN49" s="633"/>
      <c r="AO49" s="633"/>
      <c r="AP49" s="633"/>
      <c r="AQ49" s="633"/>
      <c r="AR49" s="633"/>
      <c r="AS49" s="633"/>
      <c r="AT49" s="633"/>
      <c r="AU49" s="633"/>
      <c r="AV49" s="633"/>
      <c r="AW49" s="633"/>
      <c r="AX49" s="633"/>
      <c r="AY49" s="633"/>
      <c r="AZ49" s="633"/>
      <c r="BA49" s="633"/>
      <c r="BB49" s="633"/>
      <c r="BC49" s="633"/>
      <c r="BD49" s="633"/>
      <c r="BE49" s="633"/>
      <c r="BF49" s="633"/>
      <c r="BG49" s="633"/>
      <c r="BH49" s="633"/>
      <c r="BI49" s="633"/>
      <c r="BJ49" s="633"/>
      <c r="BK49" s="633"/>
      <c r="BL49" s="633"/>
      <c r="BM49" s="633"/>
      <c r="BN49" s="633"/>
      <c r="BO49" s="633"/>
      <c r="BP49" s="633"/>
      <c r="BQ49" s="633"/>
      <c r="BR49" s="633"/>
      <c r="BS49" s="633"/>
      <c r="BT49" s="633"/>
      <c r="BU49" s="633"/>
      <c r="BV49" s="633"/>
      <c r="BW49" s="633"/>
      <c r="BX49" s="633"/>
      <c r="BY49" s="633"/>
      <c r="BZ49" s="633"/>
      <c r="CA49" s="633"/>
      <c r="CB49" s="633"/>
      <c r="CC49" s="633"/>
      <c r="CD49" s="633"/>
      <c r="CE49" s="633"/>
      <c r="CF49" s="633"/>
      <c r="CG49" s="633"/>
      <c r="CH49" s="633"/>
      <c r="CI49" s="633"/>
      <c r="CJ49" s="633"/>
      <c r="CK49" s="633"/>
      <c r="CL49" s="633"/>
      <c r="CM49" s="633"/>
      <c r="CN49" s="633"/>
      <c r="CO49" s="633"/>
      <c r="CP49" s="633"/>
      <c r="CQ49" s="633"/>
      <c r="CR49" s="633"/>
      <c r="CS49" s="633"/>
      <c r="CT49" s="633"/>
      <c r="CU49" s="633"/>
      <c r="CV49" s="633"/>
      <c r="CW49" s="633"/>
      <c r="CX49" s="633"/>
      <c r="CY49" s="633"/>
      <c r="CZ49" s="633"/>
      <c r="DA49" s="633"/>
      <c r="DB49" s="633"/>
      <c r="DC49" s="633"/>
      <c r="DD49" s="633"/>
      <c r="DE49" s="633"/>
      <c r="DF49" s="633"/>
      <c r="DG49" s="633"/>
      <c r="DH49" s="633"/>
      <c r="DI49" s="633"/>
      <c r="DJ49" s="633"/>
      <c r="DK49" s="633"/>
      <c r="DL49" s="633"/>
      <c r="DM49" s="633"/>
      <c r="DN49" s="633"/>
      <c r="DO49" s="633"/>
      <c r="DP49" s="633"/>
      <c r="DQ49" s="633"/>
      <c r="DR49" s="633"/>
      <c r="DS49" s="633"/>
      <c r="DT49" s="633"/>
      <c r="DU49" s="633"/>
      <c r="DV49" s="633"/>
      <c r="DW49" s="633"/>
      <c r="DX49" s="633"/>
      <c r="DY49" s="633"/>
      <c r="DZ49" s="633"/>
      <c r="EA49" s="633"/>
      <c r="EB49" s="633"/>
      <c r="EC49" s="633"/>
      <c r="ED49" s="633"/>
      <c r="EE49" s="633"/>
      <c r="EF49" s="633"/>
      <c r="EG49" s="633"/>
      <c r="EH49" s="633"/>
      <c r="EI49" s="633"/>
      <c r="EJ49" s="633"/>
      <c r="EK49" s="633"/>
      <c r="EL49" s="633"/>
      <c r="EM49" s="633"/>
      <c r="EN49" s="633"/>
      <c r="EO49" s="633"/>
      <c r="EP49" s="633"/>
      <c r="EQ49" s="633"/>
      <c r="ER49" s="633"/>
      <c r="ES49" s="633"/>
      <c r="ET49" s="633"/>
      <c r="EU49" s="633"/>
      <c r="EV49" s="633"/>
      <c r="EW49" s="633"/>
      <c r="EX49" s="633"/>
      <c r="EY49" s="633"/>
      <c r="EZ49" s="633"/>
      <c r="FA49" s="633"/>
      <c r="FB49" s="633"/>
      <c r="FC49" s="633"/>
      <c r="FD49" s="633"/>
      <c r="FE49" s="633"/>
      <c r="FF49" s="633"/>
      <c r="FG49" s="633"/>
      <c r="FH49" s="633"/>
      <c r="FI49" s="633"/>
      <c r="FJ49" s="633"/>
      <c r="FK49" s="633"/>
      <c r="FL49" s="633"/>
      <c r="FM49" s="633"/>
      <c r="FN49" s="633"/>
      <c r="FO49" s="633"/>
      <c r="FP49" s="633"/>
      <c r="FQ49" s="633"/>
      <c r="FR49" s="633"/>
      <c r="FS49" s="633"/>
      <c r="FT49" s="633"/>
      <c r="FU49" s="633"/>
      <c r="FV49" s="633"/>
      <c r="FW49" s="633"/>
      <c r="FX49" s="633"/>
      <c r="FY49" s="633"/>
      <c r="FZ49" s="633"/>
      <c r="GA49" s="633"/>
      <c r="GB49" s="633"/>
      <c r="GC49" s="633"/>
      <c r="GD49" s="633"/>
      <c r="GE49" s="633"/>
      <c r="GF49" s="633"/>
      <c r="GG49" s="633"/>
      <c r="GH49" s="633"/>
      <c r="GI49" s="633"/>
      <c r="GJ49" s="633"/>
      <c r="GK49" s="633"/>
      <c r="GL49" s="633"/>
      <c r="GM49" s="633"/>
      <c r="GN49" s="633"/>
      <c r="GO49" s="633"/>
      <c r="GP49" s="633"/>
      <c r="GQ49" s="633"/>
      <c r="GR49" s="633"/>
      <c r="GS49" s="633"/>
      <c r="GT49" s="633"/>
      <c r="GU49" s="633"/>
      <c r="GV49" s="633"/>
      <c r="GW49" s="633"/>
      <c r="GX49" s="633"/>
      <c r="GY49" s="633"/>
      <c r="GZ49" s="633"/>
      <c r="HA49" s="633"/>
      <c r="HB49" s="633"/>
      <c r="HC49" s="633"/>
      <c r="HD49" s="633"/>
      <c r="HE49" s="633"/>
      <c r="HF49" s="633"/>
      <c r="HG49" s="633"/>
      <c r="HH49" s="633"/>
      <c r="HI49" s="633"/>
      <c r="HJ49" s="633"/>
      <c r="HK49" s="633"/>
      <c r="HL49" s="633"/>
      <c r="HM49" s="633"/>
      <c r="HN49" s="633"/>
      <c r="HO49" s="633"/>
      <c r="HP49" s="633"/>
      <c r="HQ49" s="633"/>
      <c r="HR49" s="633"/>
      <c r="HS49" s="633"/>
      <c r="HT49" s="633"/>
      <c r="HU49" s="633"/>
      <c r="HV49" s="633"/>
      <c r="HW49" s="633"/>
      <c r="HX49" s="633"/>
      <c r="HY49" s="633"/>
    </row>
    <row r="50" spans="1:233" s="618" customFormat="1" ht="15.95" customHeight="1">
      <c r="B50" s="1842"/>
      <c r="C50" s="1964"/>
      <c r="D50" s="1964"/>
      <c r="E50" s="1842"/>
      <c r="F50" s="853" t="s">
        <v>47</v>
      </c>
      <c r="G50" s="853" t="s">
        <v>48</v>
      </c>
      <c r="H50" s="853" t="s">
        <v>49</v>
      </c>
      <c r="I50" s="853" t="s">
        <v>50</v>
      </c>
      <c r="J50" s="853" t="s">
        <v>51</v>
      </c>
      <c r="K50" s="853" t="s">
        <v>52</v>
      </c>
      <c r="L50" s="853" t="s">
        <v>53</v>
      </c>
      <c r="M50" s="853" t="s">
        <v>54</v>
      </c>
      <c r="N50" s="853" t="s">
        <v>55</v>
      </c>
      <c r="O50" s="853" t="s">
        <v>56</v>
      </c>
      <c r="P50" s="1791"/>
      <c r="Q50" s="633"/>
      <c r="R50" s="633"/>
      <c r="S50" s="633"/>
      <c r="T50" s="633"/>
      <c r="U50" s="633"/>
      <c r="V50" s="633"/>
      <c r="W50" s="633"/>
      <c r="X50" s="633"/>
      <c r="Y50" s="633"/>
      <c r="Z50" s="633"/>
      <c r="AA50" s="633"/>
      <c r="AB50" s="633"/>
      <c r="AC50" s="633"/>
      <c r="AD50" s="633"/>
      <c r="AE50" s="633"/>
      <c r="AF50" s="633"/>
      <c r="AG50" s="633"/>
      <c r="AH50" s="633"/>
      <c r="AI50" s="633"/>
      <c r="AJ50" s="633"/>
      <c r="AK50" s="633"/>
      <c r="AL50" s="633"/>
      <c r="AM50" s="633"/>
      <c r="AN50" s="633"/>
      <c r="AO50" s="633"/>
      <c r="AP50" s="633"/>
      <c r="AQ50" s="633"/>
      <c r="AR50" s="633"/>
      <c r="AS50" s="633"/>
      <c r="AT50" s="633"/>
      <c r="AU50" s="633"/>
      <c r="AV50" s="633"/>
      <c r="AW50" s="633"/>
      <c r="AX50" s="633"/>
      <c r="AY50" s="633"/>
      <c r="AZ50" s="633"/>
      <c r="BA50" s="633"/>
      <c r="BB50" s="633"/>
      <c r="BC50" s="633"/>
      <c r="BD50" s="633"/>
      <c r="BE50" s="633"/>
      <c r="BF50" s="633"/>
      <c r="BG50" s="633"/>
      <c r="BH50" s="633"/>
      <c r="BI50" s="633"/>
      <c r="BJ50" s="633"/>
      <c r="BK50" s="633"/>
      <c r="BL50" s="633"/>
      <c r="BM50" s="633"/>
      <c r="BN50" s="633"/>
      <c r="BO50" s="633"/>
      <c r="BP50" s="633"/>
      <c r="BQ50" s="633"/>
      <c r="BR50" s="633"/>
      <c r="BS50" s="633"/>
      <c r="BT50" s="633"/>
      <c r="BU50" s="633"/>
      <c r="BV50" s="633"/>
      <c r="BW50" s="633"/>
      <c r="BX50" s="633"/>
      <c r="BY50" s="633"/>
      <c r="BZ50" s="633"/>
      <c r="CA50" s="633"/>
      <c r="CB50" s="633"/>
      <c r="CC50" s="633"/>
      <c r="CD50" s="633"/>
      <c r="CE50" s="633"/>
      <c r="CF50" s="633"/>
      <c r="CG50" s="633"/>
      <c r="CH50" s="633"/>
      <c r="CI50" s="633"/>
      <c r="CJ50" s="633"/>
      <c r="CK50" s="633"/>
      <c r="CL50" s="633"/>
      <c r="CM50" s="633"/>
      <c r="CN50" s="633"/>
      <c r="CO50" s="633"/>
      <c r="CP50" s="633"/>
      <c r="CQ50" s="633"/>
      <c r="CR50" s="633"/>
      <c r="CS50" s="633"/>
      <c r="CT50" s="633"/>
      <c r="CU50" s="633"/>
      <c r="CV50" s="633"/>
      <c r="CW50" s="633"/>
      <c r="CX50" s="633"/>
      <c r="CY50" s="633"/>
      <c r="CZ50" s="633"/>
      <c r="DA50" s="633"/>
      <c r="DB50" s="633"/>
      <c r="DC50" s="633"/>
      <c r="DD50" s="633"/>
      <c r="DE50" s="633"/>
      <c r="DF50" s="633"/>
      <c r="DG50" s="633"/>
      <c r="DH50" s="633"/>
      <c r="DI50" s="633"/>
      <c r="DJ50" s="633"/>
      <c r="DK50" s="633"/>
      <c r="DL50" s="633"/>
      <c r="DM50" s="633"/>
      <c r="DN50" s="633"/>
      <c r="DO50" s="633"/>
      <c r="DP50" s="633"/>
      <c r="DQ50" s="633"/>
      <c r="DR50" s="633"/>
      <c r="DS50" s="633"/>
      <c r="DT50" s="633"/>
      <c r="DU50" s="633"/>
      <c r="DV50" s="633"/>
      <c r="DW50" s="633"/>
      <c r="DX50" s="633"/>
      <c r="DY50" s="633"/>
      <c r="DZ50" s="633"/>
      <c r="EA50" s="633"/>
      <c r="EB50" s="633"/>
      <c r="EC50" s="633"/>
      <c r="ED50" s="633"/>
      <c r="EE50" s="633"/>
      <c r="EF50" s="633"/>
      <c r="EG50" s="633"/>
      <c r="EH50" s="633"/>
      <c r="EI50" s="633"/>
      <c r="EJ50" s="633"/>
      <c r="EK50" s="633"/>
      <c r="EL50" s="633"/>
      <c r="EM50" s="633"/>
      <c r="EN50" s="633"/>
      <c r="EO50" s="633"/>
      <c r="EP50" s="633"/>
      <c r="EQ50" s="633"/>
      <c r="ER50" s="633"/>
      <c r="ES50" s="633"/>
      <c r="ET50" s="633"/>
      <c r="EU50" s="633"/>
      <c r="EV50" s="633"/>
      <c r="EW50" s="633"/>
      <c r="EX50" s="633"/>
      <c r="EY50" s="633"/>
      <c r="EZ50" s="633"/>
      <c r="FA50" s="633"/>
      <c r="FB50" s="633"/>
      <c r="FC50" s="633"/>
      <c r="FD50" s="633"/>
      <c r="FE50" s="633"/>
      <c r="FF50" s="633"/>
      <c r="FG50" s="633"/>
      <c r="FH50" s="633"/>
      <c r="FI50" s="633"/>
      <c r="FJ50" s="633"/>
      <c r="FK50" s="633"/>
      <c r="FL50" s="633"/>
      <c r="FM50" s="633"/>
      <c r="FN50" s="633"/>
      <c r="FO50" s="633"/>
      <c r="FP50" s="633"/>
      <c r="FQ50" s="633"/>
      <c r="FR50" s="633"/>
      <c r="FS50" s="633"/>
      <c r="FT50" s="633"/>
      <c r="FU50" s="633"/>
      <c r="FV50" s="633"/>
      <c r="FW50" s="633"/>
      <c r="FX50" s="633"/>
      <c r="FY50" s="633"/>
      <c r="FZ50" s="633"/>
      <c r="GA50" s="633"/>
      <c r="GB50" s="633"/>
      <c r="GC50" s="633"/>
      <c r="GD50" s="633"/>
      <c r="GE50" s="633"/>
      <c r="GF50" s="633"/>
      <c r="GG50" s="633"/>
      <c r="GH50" s="633"/>
      <c r="GI50" s="633"/>
      <c r="GJ50" s="633"/>
      <c r="GK50" s="633"/>
      <c r="GL50" s="633"/>
      <c r="GM50" s="633"/>
      <c r="GN50" s="633"/>
      <c r="GO50" s="633"/>
      <c r="GP50" s="633"/>
      <c r="GQ50" s="633"/>
      <c r="GR50" s="633"/>
      <c r="GS50" s="633"/>
      <c r="GT50" s="633"/>
      <c r="GU50" s="633"/>
      <c r="GV50" s="633"/>
      <c r="GW50" s="633"/>
      <c r="GX50" s="633"/>
      <c r="GY50" s="633"/>
      <c r="GZ50" s="633"/>
      <c r="HA50" s="633"/>
      <c r="HB50" s="633"/>
      <c r="HC50" s="633"/>
      <c r="HD50" s="633"/>
      <c r="HE50" s="633"/>
      <c r="HF50" s="633"/>
      <c r="HG50" s="633"/>
      <c r="HH50" s="633"/>
      <c r="HI50" s="633"/>
      <c r="HJ50" s="633"/>
      <c r="HK50" s="633"/>
      <c r="HL50" s="633"/>
      <c r="HM50" s="633"/>
      <c r="HN50" s="633"/>
      <c r="HO50" s="633"/>
      <c r="HP50" s="633"/>
      <c r="HQ50" s="633"/>
      <c r="HR50" s="633"/>
      <c r="HS50" s="633"/>
      <c r="HT50" s="633"/>
      <c r="HU50" s="633"/>
      <c r="HV50" s="633"/>
      <c r="HW50" s="633"/>
      <c r="HX50" s="633"/>
      <c r="HY50" s="633"/>
    </row>
    <row r="51" spans="1:233" s="618" customFormat="1" ht="24" customHeight="1">
      <c r="A51" s="617"/>
      <c r="B51" s="849" t="s">
        <v>57</v>
      </c>
      <c r="C51" s="1963" t="s">
        <v>70</v>
      </c>
      <c r="D51" s="1963"/>
      <c r="E51" s="734"/>
      <c r="F51" s="709"/>
      <c r="G51" s="709"/>
      <c r="H51" s="709"/>
      <c r="I51" s="709"/>
      <c r="J51" s="709"/>
      <c r="K51" s="709"/>
      <c r="L51" s="709"/>
      <c r="M51" s="709"/>
      <c r="N51" s="709"/>
      <c r="O51" s="709"/>
      <c r="P51" s="734"/>
      <c r="Q51" s="633"/>
      <c r="R51" s="633"/>
      <c r="S51" s="633"/>
      <c r="T51" s="633"/>
      <c r="U51" s="633"/>
      <c r="V51" s="633"/>
      <c r="W51" s="633"/>
      <c r="X51" s="633"/>
      <c r="Y51" s="633"/>
      <c r="Z51" s="633"/>
      <c r="AA51" s="633"/>
      <c r="AB51" s="633"/>
      <c r="AC51" s="633"/>
      <c r="AD51" s="633"/>
      <c r="AE51" s="633"/>
      <c r="AF51" s="633"/>
      <c r="AG51" s="633"/>
      <c r="AH51" s="633"/>
      <c r="AI51" s="633"/>
      <c r="AJ51" s="633"/>
      <c r="AK51" s="633"/>
      <c r="AL51" s="633"/>
      <c r="AM51" s="633"/>
      <c r="AN51" s="633"/>
      <c r="AO51" s="633"/>
      <c r="AP51" s="633"/>
      <c r="AQ51" s="633"/>
      <c r="AR51" s="633"/>
      <c r="AS51" s="633"/>
      <c r="AT51" s="633"/>
      <c r="AU51" s="633"/>
      <c r="AV51" s="633"/>
      <c r="AW51" s="633"/>
      <c r="AX51" s="633"/>
      <c r="AY51" s="633"/>
      <c r="AZ51" s="633"/>
      <c r="BA51" s="633"/>
      <c r="BB51" s="633"/>
      <c r="BC51" s="633"/>
      <c r="BD51" s="633"/>
      <c r="BE51" s="633"/>
      <c r="BF51" s="633"/>
      <c r="BG51" s="633"/>
      <c r="BH51" s="633"/>
      <c r="BI51" s="633"/>
      <c r="BJ51" s="633"/>
      <c r="BK51" s="633"/>
      <c r="BL51" s="633"/>
      <c r="BM51" s="633"/>
      <c r="BN51" s="633"/>
      <c r="BO51" s="633"/>
      <c r="BP51" s="633"/>
      <c r="BQ51" s="633"/>
      <c r="BR51" s="633"/>
      <c r="BS51" s="633"/>
      <c r="BT51" s="633"/>
      <c r="BU51" s="633"/>
      <c r="BV51" s="633"/>
      <c r="BW51" s="633"/>
      <c r="BX51" s="633"/>
      <c r="BY51" s="633"/>
      <c r="BZ51" s="633"/>
      <c r="CA51" s="633"/>
      <c r="CB51" s="633"/>
      <c r="CC51" s="633"/>
      <c r="CD51" s="633"/>
      <c r="CE51" s="633"/>
      <c r="CF51" s="633"/>
      <c r="CG51" s="633"/>
      <c r="CH51" s="633"/>
      <c r="CI51" s="633"/>
      <c r="CJ51" s="633"/>
      <c r="CK51" s="633"/>
      <c r="CL51" s="633"/>
      <c r="CM51" s="633"/>
      <c r="CN51" s="633"/>
      <c r="CO51" s="633"/>
      <c r="CP51" s="633"/>
      <c r="CQ51" s="633"/>
      <c r="CR51" s="633"/>
      <c r="CS51" s="633"/>
      <c r="CT51" s="633"/>
      <c r="CU51" s="633"/>
      <c r="CV51" s="633"/>
      <c r="CW51" s="633"/>
      <c r="CX51" s="633"/>
      <c r="CY51" s="633"/>
      <c r="CZ51" s="633"/>
      <c r="DA51" s="633"/>
      <c r="DB51" s="633"/>
      <c r="DC51" s="633"/>
      <c r="DD51" s="633"/>
      <c r="DE51" s="633"/>
      <c r="DF51" s="633"/>
      <c r="DG51" s="633"/>
      <c r="DH51" s="633"/>
      <c r="DI51" s="633"/>
      <c r="DJ51" s="633"/>
      <c r="DK51" s="633"/>
      <c r="DL51" s="633"/>
      <c r="DM51" s="633"/>
      <c r="DN51" s="633"/>
      <c r="DO51" s="633"/>
      <c r="DP51" s="633"/>
      <c r="DQ51" s="633"/>
      <c r="DR51" s="633"/>
      <c r="DS51" s="633"/>
      <c r="DT51" s="633"/>
      <c r="DU51" s="633"/>
      <c r="DV51" s="633"/>
      <c r="DW51" s="633"/>
      <c r="DX51" s="633"/>
      <c r="DY51" s="633"/>
      <c r="DZ51" s="633"/>
      <c r="EA51" s="633"/>
      <c r="EB51" s="633"/>
      <c r="EC51" s="633"/>
      <c r="ED51" s="633"/>
      <c r="EE51" s="633"/>
      <c r="EF51" s="633"/>
      <c r="EG51" s="633"/>
      <c r="EH51" s="633"/>
      <c r="EI51" s="633"/>
      <c r="EJ51" s="633"/>
      <c r="EK51" s="633"/>
      <c r="EL51" s="633"/>
      <c r="EM51" s="633"/>
      <c r="EN51" s="633"/>
      <c r="EO51" s="633"/>
      <c r="EP51" s="633"/>
      <c r="EQ51" s="633"/>
      <c r="ER51" s="633"/>
      <c r="ES51" s="633"/>
      <c r="ET51" s="633"/>
      <c r="EU51" s="633"/>
      <c r="EV51" s="633"/>
      <c r="EW51" s="633"/>
      <c r="EX51" s="633"/>
      <c r="EY51" s="633"/>
      <c r="EZ51" s="633"/>
      <c r="FA51" s="633"/>
      <c r="FB51" s="633"/>
      <c r="FC51" s="633"/>
      <c r="FD51" s="633"/>
      <c r="FE51" s="633"/>
      <c r="FF51" s="633"/>
      <c r="FG51" s="633"/>
      <c r="FH51" s="633"/>
      <c r="FI51" s="633"/>
      <c r="FJ51" s="633"/>
      <c r="FK51" s="633"/>
      <c r="FL51" s="633"/>
      <c r="FM51" s="633"/>
      <c r="FN51" s="633"/>
      <c r="FO51" s="633"/>
      <c r="FP51" s="633"/>
      <c r="FQ51" s="633"/>
      <c r="FR51" s="633"/>
      <c r="FS51" s="633"/>
      <c r="FT51" s="633"/>
      <c r="FU51" s="633"/>
      <c r="FV51" s="633"/>
      <c r="FW51" s="633"/>
      <c r="FX51" s="633"/>
      <c r="FY51" s="633"/>
      <c r="FZ51" s="633"/>
      <c r="GA51" s="633"/>
      <c r="GB51" s="633"/>
      <c r="GC51" s="633"/>
      <c r="GD51" s="633"/>
      <c r="GE51" s="633"/>
      <c r="GF51" s="633"/>
      <c r="GG51" s="633"/>
      <c r="GH51" s="633"/>
      <c r="GI51" s="633"/>
      <c r="GJ51" s="633"/>
      <c r="GK51" s="633"/>
      <c r="GL51" s="633"/>
      <c r="GM51" s="633"/>
      <c r="GN51" s="633"/>
      <c r="GO51" s="633"/>
      <c r="GP51" s="633"/>
      <c r="GQ51" s="633"/>
      <c r="GR51" s="633"/>
      <c r="GS51" s="633"/>
      <c r="GT51" s="633"/>
      <c r="GU51" s="633"/>
      <c r="GV51" s="633"/>
      <c r="GW51" s="633"/>
      <c r="GX51" s="633"/>
      <c r="GY51" s="633"/>
      <c r="GZ51" s="633"/>
      <c r="HA51" s="633"/>
      <c r="HB51" s="633"/>
      <c r="HC51" s="633"/>
      <c r="HD51" s="633"/>
      <c r="HE51" s="633"/>
      <c r="HF51" s="633"/>
      <c r="HG51" s="633"/>
      <c r="HH51" s="633"/>
      <c r="HI51" s="633"/>
      <c r="HJ51" s="633"/>
      <c r="HK51" s="633"/>
      <c r="HL51" s="633"/>
      <c r="HM51" s="633"/>
      <c r="HN51" s="633"/>
      <c r="HO51" s="633"/>
      <c r="HP51" s="633"/>
      <c r="HQ51" s="633"/>
      <c r="HR51" s="633"/>
      <c r="HS51" s="633"/>
      <c r="HT51" s="633"/>
      <c r="HU51" s="633"/>
      <c r="HV51" s="633"/>
      <c r="HW51" s="633"/>
      <c r="HX51" s="633"/>
      <c r="HY51" s="633"/>
    </row>
    <row r="52" spans="1:233" s="618" customFormat="1" ht="24" customHeight="1">
      <c r="A52" s="617"/>
      <c r="B52" s="849"/>
      <c r="C52" s="1963" t="s">
        <v>21</v>
      </c>
      <c r="D52" s="1963"/>
      <c r="E52" s="734">
        <f>SUM(E53:E59)</f>
        <v>0</v>
      </c>
      <c r="F52" s="709"/>
      <c r="G52" s="709"/>
      <c r="H52" s="709"/>
      <c r="I52" s="709"/>
      <c r="J52" s="709"/>
      <c r="K52" s="709"/>
      <c r="L52" s="709"/>
      <c r="M52" s="709"/>
      <c r="N52" s="709"/>
      <c r="O52" s="709"/>
      <c r="P52" s="734"/>
      <c r="Q52" s="633"/>
      <c r="R52" s="633"/>
      <c r="S52" s="633"/>
      <c r="T52" s="633"/>
      <c r="U52" s="633"/>
      <c r="V52" s="633"/>
      <c r="W52" s="633"/>
      <c r="X52" s="633"/>
      <c r="Y52" s="633"/>
      <c r="Z52" s="633"/>
      <c r="AA52" s="633"/>
      <c r="AB52" s="633"/>
      <c r="AC52" s="633"/>
      <c r="AD52" s="633"/>
      <c r="AE52" s="633"/>
      <c r="AF52" s="633"/>
      <c r="AG52" s="633"/>
      <c r="AH52" s="633"/>
      <c r="AI52" s="633"/>
      <c r="AJ52" s="633"/>
      <c r="AK52" s="633"/>
      <c r="AL52" s="633"/>
      <c r="AM52" s="633"/>
      <c r="AN52" s="633"/>
      <c r="AO52" s="633"/>
      <c r="AP52" s="633"/>
      <c r="AQ52" s="633"/>
      <c r="AR52" s="633"/>
      <c r="AS52" s="633"/>
      <c r="AT52" s="633"/>
      <c r="AU52" s="633"/>
      <c r="AV52" s="633"/>
      <c r="AW52" s="633"/>
      <c r="AX52" s="633"/>
      <c r="AY52" s="633"/>
      <c r="AZ52" s="633"/>
      <c r="BA52" s="633"/>
      <c r="BB52" s="633"/>
      <c r="BC52" s="633"/>
      <c r="BD52" s="633"/>
      <c r="BE52" s="633"/>
      <c r="BF52" s="633"/>
      <c r="BG52" s="633"/>
      <c r="BH52" s="633"/>
      <c r="BI52" s="633"/>
      <c r="BJ52" s="633"/>
      <c r="BK52" s="633"/>
      <c r="BL52" s="633"/>
      <c r="BM52" s="633"/>
      <c r="BN52" s="633"/>
      <c r="BO52" s="633"/>
      <c r="BP52" s="633"/>
      <c r="BQ52" s="633"/>
      <c r="BR52" s="633"/>
      <c r="BS52" s="633"/>
      <c r="BT52" s="633"/>
      <c r="BU52" s="633"/>
      <c r="BV52" s="633"/>
      <c r="BW52" s="633"/>
      <c r="BX52" s="633"/>
      <c r="BY52" s="633"/>
      <c r="BZ52" s="633"/>
      <c r="CA52" s="633"/>
      <c r="CB52" s="633"/>
      <c r="CC52" s="633"/>
      <c r="CD52" s="633"/>
      <c r="CE52" s="633"/>
      <c r="CF52" s="633"/>
      <c r="CG52" s="633"/>
      <c r="CH52" s="633"/>
      <c r="CI52" s="633"/>
      <c r="CJ52" s="633"/>
      <c r="CK52" s="633"/>
      <c r="CL52" s="633"/>
      <c r="CM52" s="633"/>
      <c r="CN52" s="633"/>
      <c r="CO52" s="633"/>
      <c r="CP52" s="633"/>
      <c r="CQ52" s="633"/>
      <c r="CR52" s="633"/>
      <c r="CS52" s="633"/>
      <c r="CT52" s="633"/>
      <c r="CU52" s="633"/>
      <c r="CV52" s="633"/>
      <c r="CW52" s="633"/>
      <c r="CX52" s="633"/>
      <c r="CY52" s="633"/>
      <c r="CZ52" s="633"/>
      <c r="DA52" s="633"/>
      <c r="DB52" s="633"/>
      <c r="DC52" s="633"/>
      <c r="DD52" s="633"/>
      <c r="DE52" s="633"/>
      <c r="DF52" s="633"/>
      <c r="DG52" s="633"/>
      <c r="DH52" s="633"/>
      <c r="DI52" s="633"/>
      <c r="DJ52" s="633"/>
      <c r="DK52" s="633"/>
      <c r="DL52" s="633"/>
      <c r="DM52" s="633"/>
      <c r="DN52" s="633"/>
      <c r="DO52" s="633"/>
      <c r="DP52" s="633"/>
      <c r="DQ52" s="633"/>
      <c r="DR52" s="633"/>
      <c r="DS52" s="633"/>
      <c r="DT52" s="633"/>
      <c r="DU52" s="633"/>
      <c r="DV52" s="633"/>
      <c r="DW52" s="633"/>
      <c r="DX52" s="633"/>
      <c r="DY52" s="633"/>
      <c r="DZ52" s="633"/>
      <c r="EA52" s="633"/>
      <c r="EB52" s="633"/>
      <c r="EC52" s="633"/>
      <c r="ED52" s="633"/>
      <c r="EE52" s="633"/>
      <c r="EF52" s="633"/>
      <c r="EG52" s="633"/>
      <c r="EH52" s="633"/>
      <c r="EI52" s="633"/>
      <c r="EJ52" s="633"/>
      <c r="EK52" s="633"/>
      <c r="EL52" s="633"/>
      <c r="EM52" s="633"/>
      <c r="EN52" s="633"/>
      <c r="EO52" s="633"/>
      <c r="EP52" s="633"/>
      <c r="EQ52" s="633"/>
      <c r="ER52" s="633"/>
      <c r="ES52" s="633"/>
      <c r="ET52" s="633"/>
      <c r="EU52" s="633"/>
      <c r="EV52" s="633"/>
      <c r="EW52" s="633"/>
      <c r="EX52" s="633"/>
      <c r="EY52" s="633"/>
      <c r="EZ52" s="633"/>
      <c r="FA52" s="633"/>
      <c r="FB52" s="633"/>
      <c r="FC52" s="633"/>
      <c r="FD52" s="633"/>
      <c r="FE52" s="633"/>
      <c r="FF52" s="633"/>
      <c r="FG52" s="633"/>
      <c r="FH52" s="633"/>
      <c r="FI52" s="633"/>
      <c r="FJ52" s="633"/>
      <c r="FK52" s="633"/>
      <c r="FL52" s="633"/>
      <c r="FM52" s="633"/>
      <c r="FN52" s="633"/>
      <c r="FO52" s="633"/>
      <c r="FP52" s="633"/>
      <c r="FQ52" s="633"/>
      <c r="FR52" s="633"/>
      <c r="FS52" s="633"/>
      <c r="FT52" s="633"/>
      <c r="FU52" s="633"/>
      <c r="FV52" s="633"/>
      <c r="FW52" s="633"/>
      <c r="FX52" s="633"/>
      <c r="FY52" s="633"/>
      <c r="FZ52" s="633"/>
      <c r="GA52" s="633"/>
      <c r="GB52" s="633"/>
      <c r="GC52" s="633"/>
      <c r="GD52" s="633"/>
      <c r="GE52" s="633"/>
      <c r="GF52" s="633"/>
      <c r="GG52" s="633"/>
      <c r="GH52" s="633"/>
      <c r="GI52" s="633"/>
      <c r="GJ52" s="633"/>
      <c r="GK52" s="633"/>
      <c r="GL52" s="633"/>
      <c r="GM52" s="633"/>
      <c r="GN52" s="633"/>
      <c r="GO52" s="633"/>
      <c r="GP52" s="633"/>
      <c r="GQ52" s="633"/>
      <c r="GR52" s="633"/>
      <c r="GS52" s="633"/>
      <c r="GT52" s="633"/>
      <c r="GU52" s="633"/>
      <c r="GV52" s="633"/>
      <c r="GW52" s="633"/>
      <c r="GX52" s="633"/>
      <c r="GY52" s="633"/>
      <c r="GZ52" s="633"/>
      <c r="HA52" s="633"/>
      <c r="HB52" s="633"/>
      <c r="HC52" s="633"/>
      <c r="HD52" s="633"/>
      <c r="HE52" s="633"/>
      <c r="HF52" s="633"/>
      <c r="HG52" s="633"/>
      <c r="HH52" s="633"/>
      <c r="HI52" s="633"/>
      <c r="HJ52" s="633"/>
      <c r="HK52" s="633"/>
      <c r="HL52" s="633"/>
      <c r="HM52" s="633"/>
      <c r="HN52" s="633"/>
      <c r="HO52" s="633"/>
      <c r="HP52" s="633"/>
      <c r="HQ52" s="633"/>
      <c r="HR52" s="633"/>
      <c r="HS52" s="633"/>
      <c r="HT52" s="633"/>
      <c r="HU52" s="633"/>
      <c r="HV52" s="633"/>
      <c r="HW52" s="633"/>
      <c r="HX52" s="633"/>
      <c r="HY52" s="633"/>
    </row>
    <row r="53" spans="1:233" s="618" customFormat="1" ht="24" customHeight="1">
      <c r="A53" s="617"/>
      <c r="B53" s="849"/>
      <c r="C53" s="1956" t="str">
        <f t="shared" ref="C53:C60" si="6">C12</f>
        <v>Adecuado almacenamiento en vías urbanas y áreas públicas</v>
      </c>
      <c r="D53" s="1957"/>
      <c r="E53" s="734">
        <f>E12*D87</f>
        <v>0</v>
      </c>
      <c r="F53" s="709"/>
      <c r="G53" s="709"/>
      <c r="H53" s="709"/>
      <c r="I53" s="709"/>
      <c r="J53" s="709"/>
      <c r="K53" s="709"/>
      <c r="L53" s="709"/>
      <c r="M53" s="709"/>
      <c r="N53" s="709"/>
      <c r="O53" s="709"/>
      <c r="P53" s="734"/>
      <c r="Q53" s="633"/>
      <c r="R53" s="633"/>
      <c r="S53" s="633"/>
      <c r="T53" s="633"/>
      <c r="U53" s="633"/>
      <c r="V53" s="633"/>
      <c r="W53" s="633"/>
      <c r="X53" s="633"/>
      <c r="Y53" s="633"/>
      <c r="Z53" s="633"/>
      <c r="AA53" s="633"/>
      <c r="AB53" s="633"/>
      <c r="AC53" s="633"/>
      <c r="AD53" s="633"/>
      <c r="AE53" s="633"/>
      <c r="AF53" s="633"/>
      <c r="AG53" s="633"/>
      <c r="AH53" s="633"/>
      <c r="AI53" s="633"/>
      <c r="AJ53" s="633"/>
      <c r="AK53" s="633"/>
      <c r="AL53" s="633"/>
      <c r="AM53" s="633"/>
      <c r="AN53" s="633"/>
      <c r="AO53" s="633"/>
      <c r="AP53" s="633"/>
      <c r="AQ53" s="633"/>
      <c r="AR53" s="633"/>
      <c r="AS53" s="633"/>
      <c r="AT53" s="633"/>
      <c r="AU53" s="633"/>
      <c r="AV53" s="633"/>
      <c r="AW53" s="633"/>
      <c r="AX53" s="633"/>
      <c r="AY53" s="633"/>
      <c r="AZ53" s="633"/>
      <c r="BA53" s="633"/>
      <c r="BB53" s="633"/>
      <c r="BC53" s="633"/>
      <c r="BD53" s="633"/>
      <c r="BE53" s="633"/>
      <c r="BF53" s="633"/>
      <c r="BG53" s="633"/>
      <c r="BH53" s="633"/>
      <c r="BI53" s="633"/>
      <c r="BJ53" s="633"/>
      <c r="BK53" s="633"/>
      <c r="BL53" s="633"/>
      <c r="BM53" s="633"/>
      <c r="BN53" s="633"/>
      <c r="BO53" s="633"/>
      <c r="BP53" s="633"/>
      <c r="BQ53" s="633"/>
      <c r="BR53" s="633"/>
      <c r="BS53" s="633"/>
      <c r="BT53" s="633"/>
      <c r="BU53" s="633"/>
      <c r="BV53" s="633"/>
      <c r="BW53" s="633"/>
      <c r="BX53" s="633"/>
      <c r="BY53" s="633"/>
      <c r="BZ53" s="633"/>
      <c r="CA53" s="633"/>
      <c r="CB53" s="633"/>
      <c r="CC53" s="633"/>
      <c r="CD53" s="633"/>
      <c r="CE53" s="633"/>
      <c r="CF53" s="633"/>
      <c r="CG53" s="633"/>
      <c r="CH53" s="633"/>
      <c r="CI53" s="633"/>
      <c r="CJ53" s="633"/>
      <c r="CK53" s="633"/>
      <c r="CL53" s="633"/>
      <c r="CM53" s="633"/>
      <c r="CN53" s="633"/>
      <c r="CO53" s="633"/>
      <c r="CP53" s="633"/>
      <c r="CQ53" s="633"/>
      <c r="CR53" s="633"/>
      <c r="CS53" s="633"/>
      <c r="CT53" s="633"/>
      <c r="CU53" s="633"/>
      <c r="CV53" s="633"/>
      <c r="CW53" s="633"/>
      <c r="CX53" s="633"/>
      <c r="CY53" s="633"/>
      <c r="CZ53" s="633"/>
      <c r="DA53" s="633"/>
      <c r="DB53" s="633"/>
      <c r="DC53" s="633"/>
      <c r="DD53" s="633"/>
      <c r="DE53" s="633"/>
      <c r="DF53" s="633"/>
      <c r="DG53" s="633"/>
      <c r="DH53" s="633"/>
      <c r="DI53" s="633"/>
      <c r="DJ53" s="633"/>
      <c r="DK53" s="633"/>
      <c r="DL53" s="633"/>
      <c r="DM53" s="633"/>
      <c r="DN53" s="633"/>
      <c r="DO53" s="633"/>
      <c r="DP53" s="633"/>
      <c r="DQ53" s="633"/>
      <c r="DR53" s="633"/>
      <c r="DS53" s="633"/>
      <c r="DT53" s="633"/>
      <c r="DU53" s="633"/>
      <c r="DV53" s="633"/>
      <c r="DW53" s="633"/>
      <c r="DX53" s="633"/>
      <c r="DY53" s="633"/>
      <c r="DZ53" s="633"/>
      <c r="EA53" s="633"/>
      <c r="EB53" s="633"/>
      <c r="EC53" s="633"/>
      <c r="ED53" s="633"/>
      <c r="EE53" s="633"/>
      <c r="EF53" s="633"/>
      <c r="EG53" s="633"/>
      <c r="EH53" s="633"/>
      <c r="EI53" s="633"/>
      <c r="EJ53" s="633"/>
      <c r="EK53" s="633"/>
      <c r="EL53" s="633"/>
      <c r="EM53" s="633"/>
      <c r="EN53" s="633"/>
      <c r="EO53" s="633"/>
      <c r="EP53" s="633"/>
      <c r="EQ53" s="633"/>
      <c r="ER53" s="633"/>
      <c r="ES53" s="633"/>
      <c r="ET53" s="633"/>
      <c r="EU53" s="633"/>
      <c r="EV53" s="633"/>
      <c r="EW53" s="633"/>
      <c r="EX53" s="633"/>
      <c r="EY53" s="633"/>
      <c r="EZ53" s="633"/>
      <c r="FA53" s="633"/>
      <c r="FB53" s="633"/>
      <c r="FC53" s="633"/>
      <c r="FD53" s="633"/>
      <c r="FE53" s="633"/>
      <c r="FF53" s="633"/>
      <c r="FG53" s="633"/>
      <c r="FH53" s="633"/>
      <c r="FI53" s="633"/>
      <c r="FJ53" s="633"/>
      <c r="FK53" s="633"/>
      <c r="FL53" s="633"/>
      <c r="FM53" s="633"/>
      <c r="FN53" s="633"/>
      <c r="FO53" s="633"/>
      <c r="FP53" s="633"/>
      <c r="FQ53" s="633"/>
      <c r="FR53" s="633"/>
      <c r="FS53" s="633"/>
      <c r="FT53" s="633"/>
      <c r="FU53" s="633"/>
      <c r="FV53" s="633"/>
      <c r="FW53" s="633"/>
      <c r="FX53" s="633"/>
      <c r="FY53" s="633"/>
      <c r="FZ53" s="633"/>
      <c r="GA53" s="633"/>
      <c r="GB53" s="633"/>
      <c r="GC53" s="633"/>
      <c r="GD53" s="633"/>
      <c r="GE53" s="633"/>
      <c r="GF53" s="633"/>
      <c r="GG53" s="633"/>
      <c r="GH53" s="633"/>
      <c r="GI53" s="633"/>
      <c r="GJ53" s="633"/>
      <c r="GK53" s="633"/>
      <c r="GL53" s="633"/>
      <c r="GM53" s="633"/>
      <c r="GN53" s="633"/>
      <c r="GO53" s="633"/>
      <c r="GP53" s="633"/>
      <c r="GQ53" s="633"/>
      <c r="GR53" s="633"/>
      <c r="GS53" s="633"/>
      <c r="GT53" s="633"/>
      <c r="GU53" s="633"/>
      <c r="GV53" s="633"/>
      <c r="GW53" s="633"/>
      <c r="GX53" s="633"/>
      <c r="GY53" s="633"/>
      <c r="GZ53" s="633"/>
      <c r="HA53" s="633"/>
      <c r="HB53" s="633"/>
      <c r="HC53" s="633"/>
      <c r="HD53" s="633"/>
      <c r="HE53" s="633"/>
      <c r="HF53" s="633"/>
      <c r="HG53" s="633"/>
      <c r="HH53" s="633"/>
      <c r="HI53" s="633"/>
      <c r="HJ53" s="633"/>
      <c r="HK53" s="633"/>
      <c r="HL53" s="633"/>
      <c r="HM53" s="633"/>
      <c r="HN53" s="633"/>
      <c r="HO53" s="633"/>
      <c r="HP53" s="633"/>
      <c r="HQ53" s="633"/>
      <c r="HR53" s="633"/>
      <c r="HS53" s="633"/>
      <c r="HT53" s="633"/>
      <c r="HU53" s="633"/>
      <c r="HV53" s="633"/>
      <c r="HW53" s="633"/>
      <c r="HX53" s="633"/>
      <c r="HY53" s="633"/>
    </row>
    <row r="54" spans="1:233" s="618" customFormat="1" ht="24" customHeight="1">
      <c r="A54" s="617"/>
      <c r="B54" s="849"/>
      <c r="C54" s="1956" t="str">
        <f t="shared" si="6"/>
        <v>Adecuado barrido de vías urbanas y áreas públicas</v>
      </c>
      <c r="D54" s="1957"/>
      <c r="E54" s="734">
        <f>E13*D87</f>
        <v>0</v>
      </c>
      <c r="F54" s="709"/>
      <c r="G54" s="709"/>
      <c r="H54" s="709"/>
      <c r="I54" s="709"/>
      <c r="J54" s="709"/>
      <c r="K54" s="709"/>
      <c r="L54" s="709"/>
      <c r="M54" s="709"/>
      <c r="N54" s="709"/>
      <c r="O54" s="709"/>
      <c r="P54" s="734"/>
      <c r="Q54" s="633"/>
      <c r="R54" s="633"/>
      <c r="S54" s="633"/>
      <c r="T54" s="633"/>
      <c r="U54" s="633"/>
      <c r="V54" s="633"/>
      <c r="W54" s="633"/>
      <c r="X54" s="633"/>
      <c r="Y54" s="633"/>
      <c r="Z54" s="633"/>
      <c r="AA54" s="633"/>
      <c r="AB54" s="633"/>
      <c r="AC54" s="633"/>
      <c r="AD54" s="633"/>
      <c r="AE54" s="633"/>
      <c r="AF54" s="633"/>
      <c r="AG54" s="633"/>
      <c r="AH54" s="633"/>
      <c r="AI54" s="633"/>
      <c r="AJ54" s="633"/>
      <c r="AK54" s="633"/>
      <c r="AL54" s="633"/>
      <c r="AM54" s="633"/>
      <c r="AN54" s="633"/>
      <c r="AO54" s="633"/>
      <c r="AP54" s="633"/>
      <c r="AQ54" s="633"/>
      <c r="AR54" s="633"/>
      <c r="AS54" s="633"/>
      <c r="AT54" s="633"/>
      <c r="AU54" s="633"/>
      <c r="AV54" s="633"/>
      <c r="AW54" s="633"/>
      <c r="AX54" s="633"/>
      <c r="AY54" s="633"/>
      <c r="AZ54" s="633"/>
      <c r="BA54" s="633"/>
      <c r="BB54" s="633"/>
      <c r="BC54" s="633"/>
      <c r="BD54" s="633"/>
      <c r="BE54" s="633"/>
      <c r="BF54" s="633"/>
      <c r="BG54" s="633"/>
      <c r="BH54" s="633"/>
      <c r="BI54" s="633"/>
      <c r="BJ54" s="633"/>
      <c r="BK54" s="633"/>
      <c r="BL54" s="633"/>
      <c r="BM54" s="633"/>
      <c r="BN54" s="633"/>
      <c r="BO54" s="633"/>
      <c r="BP54" s="633"/>
      <c r="BQ54" s="633"/>
      <c r="BR54" s="633"/>
      <c r="BS54" s="633"/>
      <c r="BT54" s="633"/>
      <c r="BU54" s="633"/>
      <c r="BV54" s="633"/>
      <c r="BW54" s="633"/>
      <c r="BX54" s="633"/>
      <c r="BY54" s="633"/>
      <c r="BZ54" s="633"/>
      <c r="CA54" s="633"/>
      <c r="CB54" s="633"/>
      <c r="CC54" s="633"/>
      <c r="CD54" s="633"/>
      <c r="CE54" s="633"/>
      <c r="CF54" s="633"/>
      <c r="CG54" s="633"/>
      <c r="CH54" s="633"/>
      <c r="CI54" s="633"/>
      <c r="CJ54" s="633"/>
      <c r="CK54" s="633"/>
      <c r="CL54" s="633"/>
      <c r="CM54" s="633"/>
      <c r="CN54" s="633"/>
      <c r="CO54" s="633"/>
      <c r="CP54" s="633"/>
      <c r="CQ54" s="633"/>
      <c r="CR54" s="633"/>
      <c r="CS54" s="633"/>
      <c r="CT54" s="633"/>
      <c r="CU54" s="633"/>
      <c r="CV54" s="633"/>
      <c r="CW54" s="633"/>
      <c r="CX54" s="633"/>
      <c r="CY54" s="633"/>
      <c r="CZ54" s="633"/>
      <c r="DA54" s="633"/>
      <c r="DB54" s="633"/>
      <c r="DC54" s="633"/>
      <c r="DD54" s="633"/>
      <c r="DE54" s="633"/>
      <c r="DF54" s="633"/>
      <c r="DG54" s="633"/>
      <c r="DH54" s="633"/>
      <c r="DI54" s="633"/>
      <c r="DJ54" s="633"/>
      <c r="DK54" s="633"/>
      <c r="DL54" s="633"/>
      <c r="DM54" s="633"/>
      <c r="DN54" s="633"/>
      <c r="DO54" s="633"/>
      <c r="DP54" s="633"/>
      <c r="DQ54" s="633"/>
      <c r="DR54" s="633"/>
      <c r="DS54" s="633"/>
      <c r="DT54" s="633"/>
      <c r="DU54" s="633"/>
      <c r="DV54" s="633"/>
      <c r="DW54" s="633"/>
      <c r="DX54" s="633"/>
      <c r="DY54" s="633"/>
      <c r="DZ54" s="633"/>
      <c r="EA54" s="633"/>
      <c r="EB54" s="633"/>
      <c r="EC54" s="633"/>
      <c r="ED54" s="633"/>
      <c r="EE54" s="633"/>
      <c r="EF54" s="633"/>
      <c r="EG54" s="633"/>
      <c r="EH54" s="633"/>
      <c r="EI54" s="633"/>
      <c r="EJ54" s="633"/>
      <c r="EK54" s="633"/>
      <c r="EL54" s="633"/>
      <c r="EM54" s="633"/>
      <c r="EN54" s="633"/>
      <c r="EO54" s="633"/>
      <c r="EP54" s="633"/>
      <c r="EQ54" s="633"/>
      <c r="ER54" s="633"/>
      <c r="ES54" s="633"/>
      <c r="ET54" s="633"/>
      <c r="EU54" s="633"/>
      <c r="EV54" s="633"/>
      <c r="EW54" s="633"/>
      <c r="EX54" s="633"/>
      <c r="EY54" s="633"/>
      <c r="EZ54" s="633"/>
      <c r="FA54" s="633"/>
      <c r="FB54" s="633"/>
      <c r="FC54" s="633"/>
      <c r="FD54" s="633"/>
      <c r="FE54" s="633"/>
      <c r="FF54" s="633"/>
      <c r="FG54" s="633"/>
      <c r="FH54" s="633"/>
      <c r="FI54" s="633"/>
      <c r="FJ54" s="633"/>
      <c r="FK54" s="633"/>
      <c r="FL54" s="633"/>
      <c r="FM54" s="633"/>
      <c r="FN54" s="633"/>
      <c r="FO54" s="633"/>
      <c r="FP54" s="633"/>
      <c r="FQ54" s="633"/>
      <c r="FR54" s="633"/>
      <c r="FS54" s="633"/>
      <c r="FT54" s="633"/>
      <c r="FU54" s="633"/>
      <c r="FV54" s="633"/>
      <c r="FW54" s="633"/>
      <c r="FX54" s="633"/>
      <c r="FY54" s="633"/>
      <c r="FZ54" s="633"/>
      <c r="GA54" s="633"/>
      <c r="GB54" s="633"/>
      <c r="GC54" s="633"/>
      <c r="GD54" s="633"/>
      <c r="GE54" s="633"/>
      <c r="GF54" s="633"/>
      <c r="GG54" s="633"/>
      <c r="GH54" s="633"/>
      <c r="GI54" s="633"/>
      <c r="GJ54" s="633"/>
      <c r="GK54" s="633"/>
      <c r="GL54" s="633"/>
      <c r="GM54" s="633"/>
      <c r="GN54" s="633"/>
      <c r="GO54" s="633"/>
      <c r="GP54" s="633"/>
      <c r="GQ54" s="633"/>
      <c r="GR54" s="633"/>
      <c r="GS54" s="633"/>
      <c r="GT54" s="633"/>
      <c r="GU54" s="633"/>
      <c r="GV54" s="633"/>
      <c r="GW54" s="633"/>
      <c r="GX54" s="633"/>
      <c r="GY54" s="633"/>
      <c r="GZ54" s="633"/>
      <c r="HA54" s="633"/>
      <c r="HB54" s="633"/>
      <c r="HC54" s="633"/>
      <c r="HD54" s="633"/>
      <c r="HE54" s="633"/>
      <c r="HF54" s="633"/>
      <c r="HG54" s="633"/>
      <c r="HH54" s="633"/>
      <c r="HI54" s="633"/>
      <c r="HJ54" s="633"/>
      <c r="HK54" s="633"/>
      <c r="HL54" s="633"/>
      <c r="HM54" s="633"/>
      <c r="HN54" s="633"/>
      <c r="HO54" s="633"/>
      <c r="HP54" s="633"/>
      <c r="HQ54" s="633"/>
      <c r="HR54" s="633"/>
      <c r="HS54" s="633"/>
      <c r="HT54" s="633"/>
      <c r="HU54" s="633"/>
      <c r="HV54" s="633"/>
      <c r="HW54" s="633"/>
      <c r="HX54" s="633"/>
      <c r="HY54" s="633"/>
    </row>
    <row r="55" spans="1:233" s="618" customFormat="1" ht="24" customHeight="1">
      <c r="A55" s="617"/>
      <c r="B55" s="849"/>
      <c r="C55" s="1956" t="str">
        <f t="shared" si="6"/>
        <v>Adecuada capacidad para la recolección y transporte</v>
      </c>
      <c r="D55" s="1957"/>
      <c r="E55" s="734">
        <f>E14*D88</f>
        <v>0</v>
      </c>
      <c r="F55" s="709"/>
      <c r="G55" s="709"/>
      <c r="H55" s="709"/>
      <c r="I55" s="709"/>
      <c r="J55" s="709"/>
      <c r="K55" s="709"/>
      <c r="L55" s="709"/>
      <c r="M55" s="709"/>
      <c r="N55" s="709"/>
      <c r="O55" s="709"/>
      <c r="P55" s="734"/>
      <c r="Q55" s="633"/>
      <c r="R55" s="633"/>
      <c r="S55" s="633"/>
      <c r="T55" s="633"/>
      <c r="U55" s="633"/>
      <c r="V55" s="633"/>
      <c r="W55" s="633"/>
      <c r="X55" s="633"/>
      <c r="Y55" s="633"/>
      <c r="Z55" s="633"/>
      <c r="AA55" s="633"/>
      <c r="AB55" s="633"/>
      <c r="AC55" s="633"/>
      <c r="AD55" s="633"/>
      <c r="AE55" s="633"/>
      <c r="AF55" s="633"/>
      <c r="AG55" s="633"/>
      <c r="AH55" s="633"/>
      <c r="AI55" s="633"/>
      <c r="AJ55" s="633"/>
      <c r="AK55" s="633"/>
      <c r="AL55" s="633"/>
      <c r="AM55" s="633"/>
      <c r="AN55" s="633"/>
      <c r="AO55" s="633"/>
      <c r="AP55" s="633"/>
      <c r="AQ55" s="633"/>
      <c r="AR55" s="633"/>
      <c r="AS55" s="633"/>
      <c r="AT55" s="633"/>
      <c r="AU55" s="633"/>
      <c r="AV55" s="633"/>
      <c r="AW55" s="633"/>
      <c r="AX55" s="633"/>
      <c r="AY55" s="633"/>
      <c r="AZ55" s="633"/>
      <c r="BA55" s="633"/>
      <c r="BB55" s="633"/>
      <c r="BC55" s="633"/>
      <c r="BD55" s="633"/>
      <c r="BE55" s="633"/>
      <c r="BF55" s="633"/>
      <c r="BG55" s="633"/>
      <c r="BH55" s="633"/>
      <c r="BI55" s="633"/>
      <c r="BJ55" s="633"/>
      <c r="BK55" s="633"/>
      <c r="BL55" s="633"/>
      <c r="BM55" s="633"/>
      <c r="BN55" s="633"/>
      <c r="BO55" s="633"/>
      <c r="BP55" s="633"/>
      <c r="BQ55" s="633"/>
      <c r="BR55" s="633"/>
      <c r="BS55" s="633"/>
      <c r="BT55" s="633"/>
      <c r="BU55" s="633"/>
      <c r="BV55" s="633"/>
      <c r="BW55" s="633"/>
      <c r="BX55" s="633"/>
      <c r="BY55" s="633"/>
      <c r="BZ55" s="633"/>
      <c r="CA55" s="633"/>
      <c r="CB55" s="633"/>
      <c r="CC55" s="633"/>
      <c r="CD55" s="633"/>
      <c r="CE55" s="633"/>
      <c r="CF55" s="633"/>
      <c r="CG55" s="633"/>
      <c r="CH55" s="633"/>
      <c r="CI55" s="633"/>
      <c r="CJ55" s="633"/>
      <c r="CK55" s="633"/>
      <c r="CL55" s="633"/>
      <c r="CM55" s="633"/>
      <c r="CN55" s="633"/>
      <c r="CO55" s="633"/>
      <c r="CP55" s="633"/>
      <c r="CQ55" s="633"/>
      <c r="CR55" s="633"/>
      <c r="CS55" s="633"/>
      <c r="CT55" s="633"/>
      <c r="CU55" s="633"/>
      <c r="CV55" s="633"/>
      <c r="CW55" s="633"/>
      <c r="CX55" s="633"/>
      <c r="CY55" s="633"/>
      <c r="CZ55" s="633"/>
      <c r="DA55" s="633"/>
      <c r="DB55" s="633"/>
      <c r="DC55" s="633"/>
      <c r="DD55" s="633"/>
      <c r="DE55" s="633"/>
      <c r="DF55" s="633"/>
      <c r="DG55" s="633"/>
      <c r="DH55" s="633"/>
      <c r="DI55" s="633"/>
      <c r="DJ55" s="633"/>
      <c r="DK55" s="633"/>
      <c r="DL55" s="633"/>
      <c r="DM55" s="633"/>
      <c r="DN55" s="633"/>
      <c r="DO55" s="633"/>
      <c r="DP55" s="633"/>
      <c r="DQ55" s="633"/>
      <c r="DR55" s="633"/>
      <c r="DS55" s="633"/>
      <c r="DT55" s="633"/>
      <c r="DU55" s="633"/>
      <c r="DV55" s="633"/>
      <c r="DW55" s="633"/>
      <c r="DX55" s="633"/>
      <c r="DY55" s="633"/>
      <c r="DZ55" s="633"/>
      <c r="EA55" s="633"/>
      <c r="EB55" s="633"/>
      <c r="EC55" s="633"/>
      <c r="ED55" s="633"/>
      <c r="EE55" s="633"/>
      <c r="EF55" s="633"/>
      <c r="EG55" s="633"/>
      <c r="EH55" s="633"/>
      <c r="EI55" s="633"/>
      <c r="EJ55" s="633"/>
      <c r="EK55" s="633"/>
      <c r="EL55" s="633"/>
      <c r="EM55" s="633"/>
      <c r="EN55" s="633"/>
      <c r="EO55" s="633"/>
      <c r="EP55" s="633"/>
      <c r="EQ55" s="633"/>
      <c r="ER55" s="633"/>
      <c r="ES55" s="633"/>
      <c r="ET55" s="633"/>
      <c r="EU55" s="633"/>
      <c r="EV55" s="633"/>
      <c r="EW55" s="633"/>
      <c r="EX55" s="633"/>
      <c r="EY55" s="633"/>
      <c r="EZ55" s="633"/>
      <c r="FA55" s="633"/>
      <c r="FB55" s="633"/>
      <c r="FC55" s="633"/>
      <c r="FD55" s="633"/>
      <c r="FE55" s="633"/>
      <c r="FF55" s="633"/>
      <c r="FG55" s="633"/>
      <c r="FH55" s="633"/>
      <c r="FI55" s="633"/>
      <c r="FJ55" s="633"/>
      <c r="FK55" s="633"/>
      <c r="FL55" s="633"/>
      <c r="FM55" s="633"/>
      <c r="FN55" s="633"/>
      <c r="FO55" s="633"/>
      <c r="FP55" s="633"/>
      <c r="FQ55" s="633"/>
      <c r="FR55" s="633"/>
      <c r="FS55" s="633"/>
      <c r="FT55" s="633"/>
      <c r="FU55" s="633"/>
      <c r="FV55" s="633"/>
      <c r="FW55" s="633"/>
      <c r="FX55" s="633"/>
      <c r="FY55" s="633"/>
      <c r="FZ55" s="633"/>
      <c r="GA55" s="633"/>
      <c r="GB55" s="633"/>
      <c r="GC55" s="633"/>
      <c r="GD55" s="633"/>
      <c r="GE55" s="633"/>
      <c r="GF55" s="633"/>
      <c r="GG55" s="633"/>
      <c r="GH55" s="633"/>
      <c r="GI55" s="633"/>
      <c r="GJ55" s="633"/>
      <c r="GK55" s="633"/>
      <c r="GL55" s="633"/>
      <c r="GM55" s="633"/>
      <c r="GN55" s="633"/>
      <c r="GO55" s="633"/>
      <c r="GP55" s="633"/>
      <c r="GQ55" s="633"/>
      <c r="GR55" s="633"/>
      <c r="GS55" s="633"/>
      <c r="GT55" s="633"/>
      <c r="GU55" s="633"/>
      <c r="GV55" s="633"/>
      <c r="GW55" s="633"/>
      <c r="GX55" s="633"/>
      <c r="GY55" s="633"/>
      <c r="GZ55" s="633"/>
      <c r="HA55" s="633"/>
      <c r="HB55" s="633"/>
      <c r="HC55" s="633"/>
      <c r="HD55" s="633"/>
      <c r="HE55" s="633"/>
      <c r="HF55" s="633"/>
      <c r="HG55" s="633"/>
      <c r="HH55" s="633"/>
      <c r="HI55" s="633"/>
      <c r="HJ55" s="633"/>
      <c r="HK55" s="633"/>
      <c r="HL55" s="633"/>
      <c r="HM55" s="633"/>
      <c r="HN55" s="633"/>
      <c r="HO55" s="633"/>
      <c r="HP55" s="633"/>
      <c r="HQ55" s="633"/>
      <c r="HR55" s="633"/>
      <c r="HS55" s="633"/>
      <c r="HT55" s="633"/>
      <c r="HU55" s="633"/>
      <c r="HV55" s="633"/>
      <c r="HW55" s="633"/>
      <c r="HX55" s="633"/>
      <c r="HY55" s="633"/>
    </row>
    <row r="56" spans="1:233" s="618" customFormat="1" ht="24" customHeight="1">
      <c r="A56" s="617"/>
      <c r="B56" s="849"/>
      <c r="C56" s="1956" t="str">
        <f t="shared" si="6"/>
        <v>Adecuada valorización de los residuos sólidos</v>
      </c>
      <c r="D56" s="1957"/>
      <c r="E56" s="734">
        <f>E15*D89</f>
        <v>0</v>
      </c>
      <c r="F56" s="709"/>
      <c r="G56" s="709"/>
      <c r="H56" s="709"/>
      <c r="I56" s="709"/>
      <c r="J56" s="709"/>
      <c r="K56" s="709"/>
      <c r="L56" s="709"/>
      <c r="M56" s="709"/>
      <c r="N56" s="709"/>
      <c r="O56" s="709"/>
      <c r="P56" s="734"/>
      <c r="Q56" s="633"/>
      <c r="R56" s="633"/>
      <c r="S56" s="633"/>
      <c r="T56" s="633"/>
      <c r="U56" s="633"/>
      <c r="V56" s="633"/>
      <c r="W56" s="633"/>
      <c r="X56" s="633"/>
      <c r="Y56" s="633"/>
      <c r="Z56" s="633"/>
      <c r="AA56" s="633"/>
      <c r="AB56" s="633"/>
      <c r="AC56" s="633"/>
      <c r="AD56" s="633"/>
      <c r="AE56" s="633"/>
      <c r="AF56" s="633"/>
      <c r="AG56" s="633"/>
      <c r="AH56" s="633"/>
      <c r="AI56" s="633"/>
      <c r="AJ56" s="633"/>
      <c r="AK56" s="633"/>
      <c r="AL56" s="633"/>
      <c r="AM56" s="633"/>
      <c r="AN56" s="633"/>
      <c r="AO56" s="633"/>
      <c r="AP56" s="633"/>
      <c r="AQ56" s="633"/>
      <c r="AR56" s="633"/>
      <c r="AS56" s="633"/>
      <c r="AT56" s="633"/>
      <c r="AU56" s="633"/>
      <c r="AV56" s="633"/>
      <c r="AW56" s="633"/>
      <c r="AX56" s="633"/>
      <c r="AY56" s="633"/>
      <c r="AZ56" s="633"/>
      <c r="BA56" s="633"/>
      <c r="BB56" s="633"/>
      <c r="BC56" s="633"/>
      <c r="BD56" s="633"/>
      <c r="BE56" s="633"/>
      <c r="BF56" s="633"/>
      <c r="BG56" s="633"/>
      <c r="BH56" s="633"/>
      <c r="BI56" s="633"/>
      <c r="BJ56" s="633"/>
      <c r="BK56" s="633"/>
      <c r="BL56" s="633"/>
      <c r="BM56" s="633"/>
      <c r="BN56" s="633"/>
      <c r="BO56" s="633"/>
      <c r="BP56" s="633"/>
      <c r="BQ56" s="633"/>
      <c r="BR56" s="633"/>
      <c r="BS56" s="633"/>
      <c r="BT56" s="633"/>
      <c r="BU56" s="633"/>
      <c r="BV56" s="633"/>
      <c r="BW56" s="633"/>
      <c r="BX56" s="633"/>
      <c r="BY56" s="633"/>
      <c r="BZ56" s="633"/>
      <c r="CA56" s="633"/>
      <c r="CB56" s="633"/>
      <c r="CC56" s="633"/>
      <c r="CD56" s="633"/>
      <c r="CE56" s="633"/>
      <c r="CF56" s="633"/>
      <c r="CG56" s="633"/>
      <c r="CH56" s="633"/>
      <c r="CI56" s="633"/>
      <c r="CJ56" s="633"/>
      <c r="CK56" s="633"/>
      <c r="CL56" s="633"/>
      <c r="CM56" s="633"/>
      <c r="CN56" s="633"/>
      <c r="CO56" s="633"/>
      <c r="CP56" s="633"/>
      <c r="CQ56" s="633"/>
      <c r="CR56" s="633"/>
      <c r="CS56" s="633"/>
      <c r="CT56" s="633"/>
      <c r="CU56" s="633"/>
      <c r="CV56" s="633"/>
      <c r="CW56" s="633"/>
      <c r="CX56" s="633"/>
      <c r="CY56" s="633"/>
      <c r="CZ56" s="633"/>
      <c r="DA56" s="633"/>
      <c r="DB56" s="633"/>
      <c r="DC56" s="633"/>
      <c r="DD56" s="633"/>
      <c r="DE56" s="633"/>
      <c r="DF56" s="633"/>
      <c r="DG56" s="633"/>
      <c r="DH56" s="633"/>
      <c r="DI56" s="633"/>
      <c r="DJ56" s="633"/>
      <c r="DK56" s="633"/>
      <c r="DL56" s="633"/>
      <c r="DM56" s="633"/>
      <c r="DN56" s="633"/>
      <c r="DO56" s="633"/>
      <c r="DP56" s="633"/>
      <c r="DQ56" s="633"/>
      <c r="DR56" s="633"/>
      <c r="DS56" s="633"/>
      <c r="DT56" s="633"/>
      <c r="DU56" s="633"/>
      <c r="DV56" s="633"/>
      <c r="DW56" s="633"/>
      <c r="DX56" s="633"/>
      <c r="DY56" s="633"/>
      <c r="DZ56" s="633"/>
      <c r="EA56" s="633"/>
      <c r="EB56" s="633"/>
      <c r="EC56" s="633"/>
      <c r="ED56" s="633"/>
      <c r="EE56" s="633"/>
      <c r="EF56" s="633"/>
      <c r="EG56" s="633"/>
      <c r="EH56" s="633"/>
      <c r="EI56" s="633"/>
      <c r="EJ56" s="633"/>
      <c r="EK56" s="633"/>
      <c r="EL56" s="633"/>
      <c r="EM56" s="633"/>
      <c r="EN56" s="633"/>
      <c r="EO56" s="633"/>
      <c r="EP56" s="633"/>
      <c r="EQ56" s="633"/>
      <c r="ER56" s="633"/>
      <c r="ES56" s="633"/>
      <c r="ET56" s="633"/>
      <c r="EU56" s="633"/>
      <c r="EV56" s="633"/>
      <c r="EW56" s="633"/>
      <c r="EX56" s="633"/>
      <c r="EY56" s="633"/>
      <c r="EZ56" s="633"/>
      <c r="FA56" s="633"/>
      <c r="FB56" s="633"/>
      <c r="FC56" s="633"/>
      <c r="FD56" s="633"/>
      <c r="FE56" s="633"/>
      <c r="FF56" s="633"/>
      <c r="FG56" s="633"/>
      <c r="FH56" s="633"/>
      <c r="FI56" s="633"/>
      <c r="FJ56" s="633"/>
      <c r="FK56" s="633"/>
      <c r="FL56" s="633"/>
      <c r="FM56" s="633"/>
      <c r="FN56" s="633"/>
      <c r="FO56" s="633"/>
      <c r="FP56" s="633"/>
      <c r="FQ56" s="633"/>
      <c r="FR56" s="633"/>
      <c r="FS56" s="633"/>
      <c r="FT56" s="633"/>
      <c r="FU56" s="633"/>
      <c r="FV56" s="633"/>
      <c r="FW56" s="633"/>
      <c r="FX56" s="633"/>
      <c r="FY56" s="633"/>
      <c r="FZ56" s="633"/>
      <c r="GA56" s="633"/>
      <c r="GB56" s="633"/>
      <c r="GC56" s="633"/>
      <c r="GD56" s="633"/>
      <c r="GE56" s="633"/>
      <c r="GF56" s="633"/>
      <c r="GG56" s="633"/>
      <c r="GH56" s="633"/>
      <c r="GI56" s="633"/>
      <c r="GJ56" s="633"/>
      <c r="GK56" s="633"/>
      <c r="GL56" s="633"/>
      <c r="GM56" s="633"/>
      <c r="GN56" s="633"/>
      <c r="GO56" s="633"/>
      <c r="GP56" s="633"/>
      <c r="GQ56" s="633"/>
      <c r="GR56" s="633"/>
      <c r="GS56" s="633"/>
      <c r="GT56" s="633"/>
      <c r="GU56" s="633"/>
      <c r="GV56" s="633"/>
      <c r="GW56" s="633"/>
      <c r="GX56" s="633"/>
      <c r="GY56" s="633"/>
      <c r="GZ56" s="633"/>
      <c r="HA56" s="633"/>
      <c r="HB56" s="633"/>
      <c r="HC56" s="633"/>
      <c r="HD56" s="633"/>
      <c r="HE56" s="633"/>
      <c r="HF56" s="633"/>
      <c r="HG56" s="633"/>
      <c r="HH56" s="633"/>
      <c r="HI56" s="633"/>
      <c r="HJ56" s="633"/>
      <c r="HK56" s="633"/>
      <c r="HL56" s="633"/>
      <c r="HM56" s="633"/>
      <c r="HN56" s="633"/>
      <c r="HO56" s="633"/>
      <c r="HP56" s="633"/>
      <c r="HQ56" s="633"/>
      <c r="HR56" s="633"/>
      <c r="HS56" s="633"/>
      <c r="HT56" s="633"/>
      <c r="HU56" s="633"/>
      <c r="HV56" s="633"/>
      <c r="HW56" s="633"/>
      <c r="HX56" s="633"/>
      <c r="HY56" s="633"/>
    </row>
    <row r="57" spans="1:233" s="618" customFormat="1" ht="24" customHeight="1">
      <c r="A57" s="617"/>
      <c r="B57" s="849"/>
      <c r="C57" s="1956" t="str">
        <f t="shared" si="6"/>
        <v>Adecuada disposición final de los residuos sólidos</v>
      </c>
      <c r="D57" s="1957"/>
      <c r="E57" s="734">
        <f t="shared" ref="E57:E64" si="7">E16*D91</f>
        <v>0</v>
      </c>
      <c r="F57" s="709"/>
      <c r="G57" s="709"/>
      <c r="H57" s="709"/>
      <c r="I57" s="709"/>
      <c r="J57" s="709"/>
      <c r="K57" s="709"/>
      <c r="L57" s="709"/>
      <c r="M57" s="709"/>
      <c r="N57" s="709"/>
      <c r="O57" s="709"/>
      <c r="P57" s="734"/>
      <c r="Q57" s="633"/>
      <c r="R57" s="633"/>
      <c r="S57" s="633"/>
      <c r="T57" s="633"/>
      <c r="U57" s="633"/>
      <c r="V57" s="633"/>
      <c r="W57" s="633"/>
      <c r="X57" s="633"/>
      <c r="Y57" s="633"/>
      <c r="Z57" s="633"/>
      <c r="AA57" s="633"/>
      <c r="AB57" s="633"/>
      <c r="AC57" s="633"/>
      <c r="AD57" s="633"/>
      <c r="AE57" s="633"/>
      <c r="AF57" s="633"/>
      <c r="AG57" s="633"/>
      <c r="AH57" s="633"/>
      <c r="AI57" s="633"/>
      <c r="AJ57" s="633"/>
      <c r="AK57" s="633"/>
      <c r="AL57" s="633"/>
      <c r="AM57" s="633"/>
      <c r="AN57" s="633"/>
      <c r="AO57" s="633"/>
      <c r="AP57" s="633"/>
      <c r="AQ57" s="633"/>
      <c r="AR57" s="633"/>
      <c r="AS57" s="633"/>
      <c r="AT57" s="633"/>
      <c r="AU57" s="633"/>
      <c r="AV57" s="633"/>
      <c r="AW57" s="633"/>
      <c r="AX57" s="633"/>
      <c r="AY57" s="633"/>
      <c r="AZ57" s="633"/>
      <c r="BA57" s="633"/>
      <c r="BB57" s="633"/>
      <c r="BC57" s="633"/>
      <c r="BD57" s="633"/>
      <c r="BE57" s="633"/>
      <c r="BF57" s="633"/>
      <c r="BG57" s="633"/>
      <c r="BH57" s="633"/>
      <c r="BI57" s="633"/>
      <c r="BJ57" s="633"/>
      <c r="BK57" s="633"/>
      <c r="BL57" s="633"/>
      <c r="BM57" s="633"/>
      <c r="BN57" s="633"/>
      <c r="BO57" s="633"/>
      <c r="BP57" s="633"/>
      <c r="BQ57" s="633"/>
      <c r="BR57" s="633"/>
      <c r="BS57" s="633"/>
      <c r="BT57" s="633"/>
      <c r="BU57" s="633"/>
      <c r="BV57" s="633"/>
      <c r="BW57" s="633"/>
      <c r="BX57" s="633"/>
      <c r="BY57" s="633"/>
      <c r="BZ57" s="633"/>
      <c r="CA57" s="633"/>
      <c r="CB57" s="633"/>
      <c r="CC57" s="633"/>
      <c r="CD57" s="633"/>
      <c r="CE57" s="633"/>
      <c r="CF57" s="633"/>
      <c r="CG57" s="633"/>
      <c r="CH57" s="633"/>
      <c r="CI57" s="633"/>
      <c r="CJ57" s="633"/>
      <c r="CK57" s="633"/>
      <c r="CL57" s="633"/>
      <c r="CM57" s="633"/>
      <c r="CN57" s="633"/>
      <c r="CO57" s="633"/>
      <c r="CP57" s="633"/>
      <c r="CQ57" s="633"/>
      <c r="CR57" s="633"/>
      <c r="CS57" s="633"/>
      <c r="CT57" s="633"/>
      <c r="CU57" s="633"/>
      <c r="CV57" s="633"/>
      <c r="CW57" s="633"/>
      <c r="CX57" s="633"/>
      <c r="CY57" s="633"/>
      <c r="CZ57" s="633"/>
      <c r="DA57" s="633"/>
      <c r="DB57" s="633"/>
      <c r="DC57" s="633"/>
      <c r="DD57" s="633"/>
      <c r="DE57" s="633"/>
      <c r="DF57" s="633"/>
      <c r="DG57" s="633"/>
      <c r="DH57" s="633"/>
      <c r="DI57" s="633"/>
      <c r="DJ57" s="633"/>
      <c r="DK57" s="633"/>
      <c r="DL57" s="633"/>
      <c r="DM57" s="633"/>
      <c r="DN57" s="633"/>
      <c r="DO57" s="633"/>
      <c r="DP57" s="633"/>
      <c r="DQ57" s="633"/>
      <c r="DR57" s="633"/>
      <c r="DS57" s="633"/>
      <c r="DT57" s="633"/>
      <c r="DU57" s="633"/>
      <c r="DV57" s="633"/>
      <c r="DW57" s="633"/>
      <c r="DX57" s="633"/>
      <c r="DY57" s="633"/>
      <c r="DZ57" s="633"/>
      <c r="EA57" s="633"/>
      <c r="EB57" s="633"/>
      <c r="EC57" s="633"/>
      <c r="ED57" s="633"/>
      <c r="EE57" s="633"/>
      <c r="EF57" s="633"/>
      <c r="EG57" s="633"/>
      <c r="EH57" s="633"/>
      <c r="EI57" s="633"/>
      <c r="EJ57" s="633"/>
      <c r="EK57" s="633"/>
      <c r="EL57" s="633"/>
      <c r="EM57" s="633"/>
      <c r="EN57" s="633"/>
      <c r="EO57" s="633"/>
      <c r="EP57" s="633"/>
      <c r="EQ57" s="633"/>
      <c r="ER57" s="633"/>
      <c r="ES57" s="633"/>
      <c r="ET57" s="633"/>
      <c r="EU57" s="633"/>
      <c r="EV57" s="633"/>
      <c r="EW57" s="633"/>
      <c r="EX57" s="633"/>
      <c r="EY57" s="633"/>
      <c r="EZ57" s="633"/>
      <c r="FA57" s="633"/>
      <c r="FB57" s="633"/>
      <c r="FC57" s="633"/>
      <c r="FD57" s="633"/>
      <c r="FE57" s="633"/>
      <c r="FF57" s="633"/>
      <c r="FG57" s="633"/>
      <c r="FH57" s="633"/>
      <c r="FI57" s="633"/>
      <c r="FJ57" s="633"/>
      <c r="FK57" s="633"/>
      <c r="FL57" s="633"/>
      <c r="FM57" s="633"/>
      <c r="FN57" s="633"/>
      <c r="FO57" s="633"/>
      <c r="FP57" s="633"/>
      <c r="FQ57" s="633"/>
      <c r="FR57" s="633"/>
      <c r="FS57" s="633"/>
      <c r="FT57" s="633"/>
      <c r="FU57" s="633"/>
      <c r="FV57" s="633"/>
      <c r="FW57" s="633"/>
      <c r="FX57" s="633"/>
      <c r="FY57" s="633"/>
      <c r="FZ57" s="633"/>
      <c r="GA57" s="633"/>
      <c r="GB57" s="633"/>
      <c r="GC57" s="633"/>
      <c r="GD57" s="633"/>
      <c r="GE57" s="633"/>
      <c r="GF57" s="633"/>
      <c r="GG57" s="633"/>
      <c r="GH57" s="633"/>
      <c r="GI57" s="633"/>
      <c r="GJ57" s="633"/>
      <c r="GK57" s="633"/>
      <c r="GL57" s="633"/>
      <c r="GM57" s="633"/>
      <c r="GN57" s="633"/>
      <c r="GO57" s="633"/>
      <c r="GP57" s="633"/>
      <c r="GQ57" s="633"/>
      <c r="GR57" s="633"/>
      <c r="GS57" s="633"/>
      <c r="GT57" s="633"/>
      <c r="GU57" s="633"/>
      <c r="GV57" s="633"/>
      <c r="GW57" s="633"/>
      <c r="GX57" s="633"/>
      <c r="GY57" s="633"/>
      <c r="GZ57" s="633"/>
      <c r="HA57" s="633"/>
      <c r="HB57" s="633"/>
      <c r="HC57" s="633"/>
      <c r="HD57" s="633"/>
      <c r="HE57" s="633"/>
      <c r="HF57" s="633"/>
      <c r="HG57" s="633"/>
      <c r="HH57" s="633"/>
      <c r="HI57" s="633"/>
      <c r="HJ57" s="633"/>
      <c r="HK57" s="633"/>
      <c r="HL57" s="633"/>
      <c r="HM57" s="633"/>
      <c r="HN57" s="633"/>
      <c r="HO57" s="633"/>
      <c r="HP57" s="633"/>
      <c r="HQ57" s="633"/>
      <c r="HR57" s="633"/>
      <c r="HS57" s="633"/>
      <c r="HT57" s="633"/>
      <c r="HU57" s="633"/>
      <c r="HV57" s="633"/>
      <c r="HW57" s="633"/>
      <c r="HX57" s="633"/>
      <c r="HY57" s="633"/>
    </row>
    <row r="58" spans="1:233" s="618" customFormat="1" ht="24" customHeight="1">
      <c r="A58" s="617"/>
      <c r="B58" s="849"/>
      <c r="C58" s="1956" t="str">
        <f t="shared" si="6"/>
        <v>Eficiente gestión técnica, administrativa, económica y financiera del servicio de limpieza pública</v>
      </c>
      <c r="D58" s="1957"/>
      <c r="E58" s="734">
        <f t="shared" si="7"/>
        <v>0</v>
      </c>
      <c r="F58" s="709"/>
      <c r="G58" s="709"/>
      <c r="H58" s="709"/>
      <c r="I58" s="709"/>
      <c r="J58" s="709"/>
      <c r="K58" s="709"/>
      <c r="L58" s="709"/>
      <c r="M58" s="709"/>
      <c r="N58" s="709"/>
      <c r="O58" s="709"/>
      <c r="P58" s="734"/>
      <c r="Q58" s="633"/>
      <c r="R58" s="633"/>
      <c r="S58" s="633"/>
      <c r="T58" s="633"/>
      <c r="U58" s="633"/>
      <c r="V58" s="633"/>
      <c r="W58" s="633"/>
      <c r="X58" s="633"/>
      <c r="Y58" s="633"/>
      <c r="Z58" s="633"/>
      <c r="AA58" s="633"/>
      <c r="AB58" s="633"/>
      <c r="AC58" s="633"/>
      <c r="AD58" s="633"/>
      <c r="AE58" s="633"/>
      <c r="AF58" s="633"/>
      <c r="AG58" s="633"/>
      <c r="AH58" s="633"/>
      <c r="AI58" s="633"/>
      <c r="AJ58" s="633"/>
      <c r="AK58" s="633"/>
      <c r="AL58" s="633"/>
      <c r="AM58" s="633"/>
      <c r="AN58" s="633"/>
      <c r="AO58" s="633"/>
      <c r="AP58" s="633"/>
      <c r="AQ58" s="633"/>
      <c r="AR58" s="633"/>
      <c r="AS58" s="633"/>
      <c r="AT58" s="633"/>
      <c r="AU58" s="633"/>
      <c r="AV58" s="633"/>
      <c r="AW58" s="633"/>
      <c r="AX58" s="633"/>
      <c r="AY58" s="633"/>
      <c r="AZ58" s="633"/>
      <c r="BA58" s="633"/>
      <c r="BB58" s="633"/>
      <c r="BC58" s="633"/>
      <c r="BD58" s="633"/>
      <c r="BE58" s="633"/>
      <c r="BF58" s="633"/>
      <c r="BG58" s="633"/>
      <c r="BH58" s="633"/>
      <c r="BI58" s="633"/>
      <c r="BJ58" s="633"/>
      <c r="BK58" s="633"/>
      <c r="BL58" s="633"/>
      <c r="BM58" s="633"/>
      <c r="BN58" s="633"/>
      <c r="BO58" s="633"/>
      <c r="BP58" s="633"/>
      <c r="BQ58" s="633"/>
      <c r="BR58" s="633"/>
      <c r="BS58" s="633"/>
      <c r="BT58" s="633"/>
      <c r="BU58" s="633"/>
      <c r="BV58" s="633"/>
      <c r="BW58" s="633"/>
      <c r="BX58" s="633"/>
      <c r="BY58" s="633"/>
      <c r="BZ58" s="633"/>
      <c r="CA58" s="633"/>
      <c r="CB58" s="633"/>
      <c r="CC58" s="633"/>
      <c r="CD58" s="633"/>
      <c r="CE58" s="633"/>
      <c r="CF58" s="633"/>
      <c r="CG58" s="633"/>
      <c r="CH58" s="633"/>
      <c r="CI58" s="633"/>
      <c r="CJ58" s="633"/>
      <c r="CK58" s="633"/>
      <c r="CL58" s="633"/>
      <c r="CM58" s="633"/>
      <c r="CN58" s="633"/>
      <c r="CO58" s="633"/>
      <c r="CP58" s="633"/>
      <c r="CQ58" s="633"/>
      <c r="CR58" s="633"/>
      <c r="CS58" s="633"/>
      <c r="CT58" s="633"/>
      <c r="CU58" s="633"/>
      <c r="CV58" s="633"/>
      <c r="CW58" s="633"/>
      <c r="CX58" s="633"/>
      <c r="CY58" s="633"/>
      <c r="CZ58" s="633"/>
      <c r="DA58" s="633"/>
      <c r="DB58" s="633"/>
      <c r="DC58" s="633"/>
      <c r="DD58" s="633"/>
      <c r="DE58" s="633"/>
      <c r="DF58" s="633"/>
      <c r="DG58" s="633"/>
      <c r="DH58" s="633"/>
      <c r="DI58" s="633"/>
      <c r="DJ58" s="633"/>
      <c r="DK58" s="633"/>
      <c r="DL58" s="633"/>
      <c r="DM58" s="633"/>
      <c r="DN58" s="633"/>
      <c r="DO58" s="633"/>
      <c r="DP58" s="633"/>
      <c r="DQ58" s="633"/>
      <c r="DR58" s="633"/>
      <c r="DS58" s="633"/>
      <c r="DT58" s="633"/>
      <c r="DU58" s="633"/>
      <c r="DV58" s="633"/>
      <c r="DW58" s="633"/>
      <c r="DX58" s="633"/>
      <c r="DY58" s="633"/>
      <c r="DZ58" s="633"/>
      <c r="EA58" s="633"/>
      <c r="EB58" s="633"/>
      <c r="EC58" s="633"/>
      <c r="ED58" s="633"/>
      <c r="EE58" s="633"/>
      <c r="EF58" s="633"/>
      <c r="EG58" s="633"/>
      <c r="EH58" s="633"/>
      <c r="EI58" s="633"/>
      <c r="EJ58" s="633"/>
      <c r="EK58" s="633"/>
      <c r="EL58" s="633"/>
      <c r="EM58" s="633"/>
      <c r="EN58" s="633"/>
      <c r="EO58" s="633"/>
      <c r="EP58" s="633"/>
      <c r="EQ58" s="633"/>
      <c r="ER58" s="633"/>
      <c r="ES58" s="633"/>
      <c r="ET58" s="633"/>
      <c r="EU58" s="633"/>
      <c r="EV58" s="633"/>
      <c r="EW58" s="633"/>
      <c r="EX58" s="633"/>
      <c r="EY58" s="633"/>
      <c r="EZ58" s="633"/>
      <c r="FA58" s="633"/>
      <c r="FB58" s="633"/>
      <c r="FC58" s="633"/>
      <c r="FD58" s="633"/>
      <c r="FE58" s="633"/>
      <c r="FF58" s="633"/>
      <c r="FG58" s="633"/>
      <c r="FH58" s="633"/>
      <c r="FI58" s="633"/>
      <c r="FJ58" s="633"/>
      <c r="FK58" s="633"/>
      <c r="FL58" s="633"/>
      <c r="FM58" s="633"/>
      <c r="FN58" s="633"/>
      <c r="FO58" s="633"/>
      <c r="FP58" s="633"/>
      <c r="FQ58" s="633"/>
      <c r="FR58" s="633"/>
      <c r="FS58" s="633"/>
      <c r="FT58" s="633"/>
      <c r="FU58" s="633"/>
      <c r="FV58" s="633"/>
      <c r="FW58" s="633"/>
      <c r="FX58" s="633"/>
      <c r="FY58" s="633"/>
      <c r="FZ58" s="633"/>
      <c r="GA58" s="633"/>
      <c r="GB58" s="633"/>
      <c r="GC58" s="633"/>
      <c r="GD58" s="633"/>
      <c r="GE58" s="633"/>
      <c r="GF58" s="633"/>
      <c r="GG58" s="633"/>
      <c r="GH58" s="633"/>
      <c r="GI58" s="633"/>
      <c r="GJ58" s="633"/>
      <c r="GK58" s="633"/>
      <c r="GL58" s="633"/>
      <c r="GM58" s="633"/>
      <c r="GN58" s="633"/>
      <c r="GO58" s="633"/>
      <c r="GP58" s="633"/>
      <c r="GQ58" s="633"/>
      <c r="GR58" s="633"/>
      <c r="GS58" s="633"/>
      <c r="GT58" s="633"/>
      <c r="GU58" s="633"/>
      <c r="GV58" s="633"/>
      <c r="GW58" s="633"/>
      <c r="GX58" s="633"/>
      <c r="GY58" s="633"/>
      <c r="GZ58" s="633"/>
      <c r="HA58" s="633"/>
      <c r="HB58" s="633"/>
      <c r="HC58" s="633"/>
      <c r="HD58" s="633"/>
      <c r="HE58" s="633"/>
      <c r="HF58" s="633"/>
      <c r="HG58" s="633"/>
      <c r="HH58" s="633"/>
      <c r="HI58" s="633"/>
      <c r="HJ58" s="633"/>
      <c r="HK58" s="633"/>
      <c r="HL58" s="633"/>
      <c r="HM58" s="633"/>
      <c r="HN58" s="633"/>
      <c r="HO58" s="633"/>
      <c r="HP58" s="633"/>
      <c r="HQ58" s="633"/>
      <c r="HR58" s="633"/>
      <c r="HS58" s="633"/>
      <c r="HT58" s="633"/>
      <c r="HU58" s="633"/>
      <c r="HV58" s="633"/>
      <c r="HW58" s="633"/>
      <c r="HX58" s="633"/>
      <c r="HY58" s="633"/>
    </row>
    <row r="59" spans="1:233" s="618" customFormat="1" ht="24" customHeight="1">
      <c r="A59" s="617"/>
      <c r="B59" s="849"/>
      <c r="C59" s="1956" t="str">
        <f t="shared" si="6"/>
        <v>Adecuada educación y cultura ambiental de la población</v>
      </c>
      <c r="D59" s="1957"/>
      <c r="E59" s="734">
        <f t="shared" si="7"/>
        <v>0</v>
      </c>
      <c r="F59" s="709"/>
      <c r="G59" s="709"/>
      <c r="H59" s="709"/>
      <c r="I59" s="709"/>
      <c r="J59" s="709"/>
      <c r="K59" s="709"/>
      <c r="L59" s="709"/>
      <c r="M59" s="709"/>
      <c r="N59" s="709"/>
      <c r="O59" s="709"/>
      <c r="P59" s="734"/>
      <c r="Q59" s="633"/>
      <c r="R59" s="633"/>
      <c r="S59" s="633"/>
      <c r="T59" s="633"/>
      <c r="U59" s="633"/>
      <c r="V59" s="633"/>
      <c r="W59" s="633"/>
      <c r="X59" s="633"/>
      <c r="Y59" s="633"/>
      <c r="Z59" s="633"/>
      <c r="AA59" s="633"/>
      <c r="AB59" s="633"/>
      <c r="AC59" s="633"/>
      <c r="AD59" s="633"/>
      <c r="AE59" s="633"/>
      <c r="AF59" s="633"/>
      <c r="AG59" s="633"/>
      <c r="AH59" s="633"/>
      <c r="AI59" s="633"/>
      <c r="AJ59" s="633"/>
      <c r="AK59" s="633"/>
      <c r="AL59" s="633"/>
      <c r="AM59" s="633"/>
      <c r="AN59" s="633"/>
      <c r="AO59" s="633"/>
      <c r="AP59" s="633"/>
      <c r="AQ59" s="633"/>
      <c r="AR59" s="633"/>
      <c r="AS59" s="633"/>
      <c r="AT59" s="633"/>
      <c r="AU59" s="633"/>
      <c r="AV59" s="633"/>
      <c r="AW59" s="633"/>
      <c r="AX59" s="633"/>
      <c r="AY59" s="633"/>
      <c r="AZ59" s="633"/>
      <c r="BA59" s="633"/>
      <c r="BB59" s="633"/>
      <c r="BC59" s="633"/>
      <c r="BD59" s="633"/>
      <c r="BE59" s="633"/>
      <c r="BF59" s="633"/>
      <c r="BG59" s="633"/>
      <c r="BH59" s="633"/>
      <c r="BI59" s="633"/>
      <c r="BJ59" s="633"/>
      <c r="BK59" s="633"/>
      <c r="BL59" s="633"/>
      <c r="BM59" s="633"/>
      <c r="BN59" s="633"/>
      <c r="BO59" s="633"/>
      <c r="BP59" s="633"/>
      <c r="BQ59" s="633"/>
      <c r="BR59" s="633"/>
      <c r="BS59" s="633"/>
      <c r="BT59" s="633"/>
      <c r="BU59" s="633"/>
      <c r="BV59" s="633"/>
      <c r="BW59" s="633"/>
      <c r="BX59" s="633"/>
      <c r="BY59" s="633"/>
      <c r="BZ59" s="633"/>
      <c r="CA59" s="633"/>
      <c r="CB59" s="633"/>
      <c r="CC59" s="633"/>
      <c r="CD59" s="633"/>
      <c r="CE59" s="633"/>
      <c r="CF59" s="633"/>
      <c r="CG59" s="633"/>
      <c r="CH59" s="633"/>
      <c r="CI59" s="633"/>
      <c r="CJ59" s="633"/>
      <c r="CK59" s="633"/>
      <c r="CL59" s="633"/>
      <c r="CM59" s="633"/>
      <c r="CN59" s="633"/>
      <c r="CO59" s="633"/>
      <c r="CP59" s="633"/>
      <c r="CQ59" s="633"/>
      <c r="CR59" s="633"/>
      <c r="CS59" s="633"/>
      <c r="CT59" s="633"/>
      <c r="CU59" s="633"/>
      <c r="CV59" s="633"/>
      <c r="CW59" s="633"/>
      <c r="CX59" s="633"/>
      <c r="CY59" s="633"/>
      <c r="CZ59" s="633"/>
      <c r="DA59" s="633"/>
      <c r="DB59" s="633"/>
      <c r="DC59" s="633"/>
      <c r="DD59" s="633"/>
      <c r="DE59" s="633"/>
      <c r="DF59" s="633"/>
      <c r="DG59" s="633"/>
      <c r="DH59" s="633"/>
      <c r="DI59" s="633"/>
      <c r="DJ59" s="633"/>
      <c r="DK59" s="633"/>
      <c r="DL59" s="633"/>
      <c r="DM59" s="633"/>
      <c r="DN59" s="633"/>
      <c r="DO59" s="633"/>
      <c r="DP59" s="633"/>
      <c r="DQ59" s="633"/>
      <c r="DR59" s="633"/>
      <c r="DS59" s="633"/>
      <c r="DT59" s="633"/>
      <c r="DU59" s="633"/>
      <c r="DV59" s="633"/>
      <c r="DW59" s="633"/>
      <c r="DX59" s="633"/>
      <c r="DY59" s="633"/>
      <c r="DZ59" s="633"/>
      <c r="EA59" s="633"/>
      <c r="EB59" s="633"/>
      <c r="EC59" s="633"/>
      <c r="ED59" s="633"/>
      <c r="EE59" s="633"/>
      <c r="EF59" s="633"/>
      <c r="EG59" s="633"/>
      <c r="EH59" s="633"/>
      <c r="EI59" s="633"/>
      <c r="EJ59" s="633"/>
      <c r="EK59" s="633"/>
      <c r="EL59" s="633"/>
      <c r="EM59" s="633"/>
      <c r="EN59" s="633"/>
      <c r="EO59" s="633"/>
      <c r="EP59" s="633"/>
      <c r="EQ59" s="633"/>
      <c r="ER59" s="633"/>
      <c r="ES59" s="633"/>
      <c r="ET59" s="633"/>
      <c r="EU59" s="633"/>
      <c r="EV59" s="633"/>
      <c r="EW59" s="633"/>
      <c r="EX59" s="633"/>
      <c r="EY59" s="633"/>
      <c r="EZ59" s="633"/>
      <c r="FA59" s="633"/>
      <c r="FB59" s="633"/>
      <c r="FC59" s="633"/>
      <c r="FD59" s="633"/>
      <c r="FE59" s="633"/>
      <c r="FF59" s="633"/>
      <c r="FG59" s="633"/>
      <c r="FH59" s="633"/>
      <c r="FI59" s="633"/>
      <c r="FJ59" s="633"/>
      <c r="FK59" s="633"/>
      <c r="FL59" s="633"/>
      <c r="FM59" s="633"/>
      <c r="FN59" s="633"/>
      <c r="FO59" s="633"/>
      <c r="FP59" s="633"/>
      <c r="FQ59" s="633"/>
      <c r="FR59" s="633"/>
      <c r="FS59" s="633"/>
      <c r="FT59" s="633"/>
      <c r="FU59" s="633"/>
      <c r="FV59" s="633"/>
      <c r="FW59" s="633"/>
      <c r="FX59" s="633"/>
      <c r="FY59" s="633"/>
      <c r="FZ59" s="633"/>
      <c r="GA59" s="633"/>
      <c r="GB59" s="633"/>
      <c r="GC59" s="633"/>
      <c r="GD59" s="633"/>
      <c r="GE59" s="633"/>
      <c r="GF59" s="633"/>
      <c r="GG59" s="633"/>
      <c r="GH59" s="633"/>
      <c r="GI59" s="633"/>
      <c r="GJ59" s="633"/>
      <c r="GK59" s="633"/>
      <c r="GL59" s="633"/>
      <c r="GM59" s="633"/>
      <c r="GN59" s="633"/>
      <c r="GO59" s="633"/>
      <c r="GP59" s="633"/>
      <c r="GQ59" s="633"/>
      <c r="GR59" s="633"/>
      <c r="GS59" s="633"/>
      <c r="GT59" s="633"/>
      <c r="GU59" s="633"/>
      <c r="GV59" s="633"/>
      <c r="GW59" s="633"/>
      <c r="GX59" s="633"/>
      <c r="GY59" s="633"/>
      <c r="GZ59" s="633"/>
      <c r="HA59" s="633"/>
      <c r="HB59" s="633"/>
      <c r="HC59" s="633"/>
      <c r="HD59" s="633"/>
      <c r="HE59" s="633"/>
      <c r="HF59" s="633"/>
      <c r="HG59" s="633"/>
      <c r="HH59" s="633"/>
      <c r="HI59" s="633"/>
      <c r="HJ59" s="633"/>
      <c r="HK59" s="633"/>
      <c r="HL59" s="633"/>
      <c r="HM59" s="633"/>
      <c r="HN59" s="633"/>
      <c r="HO59" s="633"/>
      <c r="HP59" s="633"/>
      <c r="HQ59" s="633"/>
      <c r="HR59" s="633"/>
      <c r="HS59" s="633"/>
      <c r="HT59" s="633"/>
      <c r="HU59" s="633"/>
      <c r="HV59" s="633"/>
      <c r="HW59" s="633"/>
      <c r="HX59" s="633"/>
      <c r="HY59" s="633"/>
    </row>
    <row r="60" spans="1:233" s="618" customFormat="1" ht="24" customHeight="1">
      <c r="A60" s="617"/>
      <c r="B60" s="849">
        <v>2</v>
      </c>
      <c r="C60" s="1958" t="str">
        <f t="shared" si="6"/>
        <v>Gestión del Proyecto</v>
      </c>
      <c r="D60" s="1959"/>
      <c r="E60" s="734">
        <f t="shared" si="7"/>
        <v>0</v>
      </c>
      <c r="F60" s="709"/>
      <c r="G60" s="709"/>
      <c r="H60" s="709"/>
      <c r="I60" s="709"/>
      <c r="J60" s="709"/>
      <c r="K60" s="709"/>
      <c r="L60" s="709"/>
      <c r="M60" s="709"/>
      <c r="N60" s="709"/>
      <c r="O60" s="709"/>
      <c r="P60" s="734"/>
      <c r="Q60" s="633"/>
      <c r="R60" s="633"/>
      <c r="S60" s="633"/>
      <c r="T60" s="633"/>
      <c r="U60" s="633"/>
      <c r="V60" s="633"/>
      <c r="W60" s="633"/>
      <c r="X60" s="633"/>
      <c r="Y60" s="633"/>
      <c r="Z60" s="633"/>
      <c r="AA60" s="633"/>
      <c r="AB60" s="633"/>
      <c r="AC60" s="633"/>
      <c r="AD60" s="633"/>
      <c r="AE60" s="633"/>
      <c r="AF60" s="633"/>
      <c r="AG60" s="633"/>
      <c r="AH60" s="633"/>
      <c r="AI60" s="633"/>
      <c r="AJ60" s="633"/>
      <c r="AK60" s="633"/>
      <c r="AL60" s="633"/>
      <c r="AM60" s="633"/>
      <c r="AN60" s="633"/>
      <c r="AO60" s="633"/>
      <c r="AP60" s="633"/>
      <c r="AQ60" s="633"/>
      <c r="AR60" s="633"/>
      <c r="AS60" s="633"/>
      <c r="AT60" s="633"/>
      <c r="AU60" s="633"/>
      <c r="AV60" s="633"/>
      <c r="AW60" s="633"/>
      <c r="AX60" s="633"/>
      <c r="AY60" s="633"/>
      <c r="AZ60" s="633"/>
      <c r="BA60" s="633"/>
      <c r="BB60" s="633"/>
      <c r="BC60" s="633"/>
      <c r="BD60" s="633"/>
      <c r="BE60" s="633"/>
      <c r="BF60" s="633"/>
      <c r="BG60" s="633"/>
      <c r="BH60" s="633"/>
      <c r="BI60" s="633"/>
      <c r="BJ60" s="633"/>
      <c r="BK60" s="633"/>
      <c r="BL60" s="633"/>
      <c r="BM60" s="633"/>
      <c r="BN60" s="633"/>
      <c r="BO60" s="633"/>
      <c r="BP60" s="633"/>
      <c r="BQ60" s="633"/>
      <c r="BR60" s="633"/>
      <c r="BS60" s="633"/>
      <c r="BT60" s="633"/>
      <c r="BU60" s="633"/>
      <c r="BV60" s="633"/>
      <c r="BW60" s="633"/>
      <c r="BX60" s="633"/>
      <c r="BY60" s="633"/>
      <c r="BZ60" s="633"/>
      <c r="CA60" s="633"/>
      <c r="CB60" s="633"/>
      <c r="CC60" s="633"/>
      <c r="CD60" s="633"/>
      <c r="CE60" s="633"/>
      <c r="CF60" s="633"/>
      <c r="CG60" s="633"/>
      <c r="CH60" s="633"/>
      <c r="CI60" s="633"/>
      <c r="CJ60" s="633"/>
      <c r="CK60" s="633"/>
      <c r="CL60" s="633"/>
      <c r="CM60" s="633"/>
      <c r="CN60" s="633"/>
      <c r="CO60" s="633"/>
      <c r="CP60" s="633"/>
      <c r="CQ60" s="633"/>
      <c r="CR60" s="633"/>
      <c r="CS60" s="633"/>
      <c r="CT60" s="633"/>
      <c r="CU60" s="633"/>
      <c r="CV60" s="633"/>
      <c r="CW60" s="633"/>
      <c r="CX60" s="633"/>
      <c r="CY60" s="633"/>
      <c r="CZ60" s="633"/>
      <c r="DA60" s="633"/>
      <c r="DB60" s="633"/>
      <c r="DC60" s="633"/>
      <c r="DD60" s="633"/>
      <c r="DE60" s="633"/>
      <c r="DF60" s="633"/>
      <c r="DG60" s="633"/>
      <c r="DH60" s="633"/>
      <c r="DI60" s="633"/>
      <c r="DJ60" s="633"/>
      <c r="DK60" s="633"/>
      <c r="DL60" s="633"/>
      <c r="DM60" s="633"/>
      <c r="DN60" s="633"/>
      <c r="DO60" s="633"/>
      <c r="DP60" s="633"/>
      <c r="DQ60" s="633"/>
      <c r="DR60" s="633"/>
      <c r="DS60" s="633"/>
      <c r="DT60" s="633"/>
      <c r="DU60" s="633"/>
      <c r="DV60" s="633"/>
      <c r="DW60" s="633"/>
      <c r="DX60" s="633"/>
      <c r="DY60" s="633"/>
      <c r="DZ60" s="633"/>
      <c r="EA60" s="633"/>
      <c r="EB60" s="633"/>
      <c r="EC60" s="633"/>
      <c r="ED60" s="633"/>
      <c r="EE60" s="633"/>
      <c r="EF60" s="633"/>
      <c r="EG60" s="633"/>
      <c r="EH60" s="633"/>
      <c r="EI60" s="633"/>
      <c r="EJ60" s="633"/>
      <c r="EK60" s="633"/>
      <c r="EL60" s="633"/>
      <c r="EM60" s="633"/>
      <c r="EN60" s="633"/>
      <c r="EO60" s="633"/>
      <c r="EP60" s="633"/>
      <c r="EQ60" s="633"/>
      <c r="ER60" s="633"/>
      <c r="ES60" s="633"/>
      <c r="ET60" s="633"/>
      <c r="EU60" s="633"/>
      <c r="EV60" s="633"/>
      <c r="EW60" s="633"/>
      <c r="EX60" s="633"/>
      <c r="EY60" s="633"/>
      <c r="EZ60" s="633"/>
      <c r="FA60" s="633"/>
      <c r="FB60" s="633"/>
      <c r="FC60" s="633"/>
      <c r="FD60" s="633"/>
      <c r="FE60" s="633"/>
      <c r="FF60" s="633"/>
      <c r="FG60" s="633"/>
      <c r="FH60" s="633"/>
      <c r="FI60" s="633"/>
      <c r="FJ60" s="633"/>
      <c r="FK60" s="633"/>
      <c r="FL60" s="633"/>
      <c r="FM60" s="633"/>
      <c r="FN60" s="633"/>
      <c r="FO60" s="633"/>
      <c r="FP60" s="633"/>
      <c r="FQ60" s="633"/>
      <c r="FR60" s="633"/>
      <c r="FS60" s="633"/>
      <c r="FT60" s="633"/>
      <c r="FU60" s="633"/>
      <c r="FV60" s="633"/>
      <c r="FW60" s="633"/>
      <c r="FX60" s="633"/>
      <c r="FY60" s="633"/>
      <c r="FZ60" s="633"/>
      <c r="GA60" s="633"/>
      <c r="GB60" s="633"/>
      <c r="GC60" s="633"/>
      <c r="GD60" s="633"/>
      <c r="GE60" s="633"/>
      <c r="GF60" s="633"/>
      <c r="GG60" s="633"/>
      <c r="GH60" s="633"/>
      <c r="GI60" s="633"/>
      <c r="GJ60" s="633"/>
      <c r="GK60" s="633"/>
      <c r="GL60" s="633"/>
      <c r="GM60" s="633"/>
      <c r="GN60" s="633"/>
      <c r="GO60" s="633"/>
      <c r="GP60" s="633"/>
      <c r="GQ60" s="633"/>
      <c r="GR60" s="633"/>
      <c r="GS60" s="633"/>
      <c r="GT60" s="633"/>
      <c r="GU60" s="633"/>
      <c r="GV60" s="633"/>
      <c r="GW60" s="633"/>
      <c r="GX60" s="633"/>
      <c r="GY60" s="633"/>
      <c r="GZ60" s="633"/>
      <c r="HA60" s="633"/>
      <c r="HB60" s="633"/>
      <c r="HC60" s="633"/>
      <c r="HD60" s="633"/>
      <c r="HE60" s="633"/>
      <c r="HF60" s="633"/>
      <c r="HG60" s="633"/>
      <c r="HH60" s="633"/>
      <c r="HI60" s="633"/>
      <c r="HJ60" s="633"/>
      <c r="HK60" s="633"/>
      <c r="HL60" s="633"/>
      <c r="HM60" s="633"/>
      <c r="HN60" s="633"/>
      <c r="HO60" s="633"/>
      <c r="HP60" s="633"/>
      <c r="HQ60" s="633"/>
      <c r="HR60" s="633"/>
      <c r="HS60" s="633"/>
      <c r="HT60" s="633"/>
      <c r="HU60" s="633"/>
      <c r="HV60" s="633"/>
      <c r="HW60" s="633"/>
      <c r="HX60" s="633"/>
      <c r="HY60" s="633"/>
    </row>
    <row r="61" spans="1:233" s="618" customFormat="1" ht="24" customHeight="1">
      <c r="A61" s="617"/>
      <c r="B61" s="849">
        <v>3</v>
      </c>
      <c r="C61" s="1958" t="str">
        <f>C20</f>
        <v>Estudio Definitivo (*)</v>
      </c>
      <c r="D61" s="1959"/>
      <c r="E61" s="734">
        <f t="shared" si="7"/>
        <v>0</v>
      </c>
      <c r="F61" s="709"/>
      <c r="G61" s="709"/>
      <c r="H61" s="709"/>
      <c r="I61" s="709"/>
      <c r="J61" s="709"/>
      <c r="K61" s="709"/>
      <c r="L61" s="709"/>
      <c r="M61" s="709"/>
      <c r="N61" s="709"/>
      <c r="O61" s="709"/>
      <c r="P61" s="734"/>
      <c r="Q61" s="633"/>
      <c r="R61" s="633"/>
      <c r="S61" s="633"/>
      <c r="T61" s="633"/>
      <c r="U61" s="633"/>
      <c r="V61" s="633"/>
      <c r="W61" s="633"/>
      <c r="X61" s="633"/>
      <c r="Y61" s="633"/>
      <c r="Z61" s="633"/>
      <c r="AA61" s="633"/>
      <c r="AB61" s="633"/>
      <c r="AC61" s="633"/>
      <c r="AD61" s="633"/>
      <c r="AE61" s="633"/>
      <c r="AF61" s="633"/>
      <c r="AG61" s="633"/>
      <c r="AH61" s="633"/>
      <c r="AI61" s="633"/>
      <c r="AJ61" s="633"/>
      <c r="AK61" s="633"/>
      <c r="AL61" s="633"/>
      <c r="AM61" s="633"/>
      <c r="AN61" s="633"/>
      <c r="AO61" s="633"/>
      <c r="AP61" s="633"/>
      <c r="AQ61" s="633"/>
      <c r="AR61" s="633"/>
      <c r="AS61" s="633"/>
      <c r="AT61" s="633"/>
      <c r="AU61" s="633"/>
      <c r="AV61" s="633"/>
      <c r="AW61" s="633"/>
      <c r="AX61" s="633"/>
      <c r="AY61" s="633"/>
      <c r="AZ61" s="633"/>
      <c r="BA61" s="633"/>
      <c r="BB61" s="633"/>
      <c r="BC61" s="633"/>
      <c r="BD61" s="633"/>
      <c r="BE61" s="633"/>
      <c r="BF61" s="633"/>
      <c r="BG61" s="633"/>
      <c r="BH61" s="633"/>
      <c r="BI61" s="633"/>
      <c r="BJ61" s="633"/>
      <c r="BK61" s="633"/>
      <c r="BL61" s="633"/>
      <c r="BM61" s="633"/>
      <c r="BN61" s="633"/>
      <c r="BO61" s="633"/>
      <c r="BP61" s="633"/>
      <c r="BQ61" s="633"/>
      <c r="BR61" s="633"/>
      <c r="BS61" s="633"/>
      <c r="BT61" s="633"/>
      <c r="BU61" s="633"/>
      <c r="BV61" s="633"/>
      <c r="BW61" s="633"/>
      <c r="BX61" s="633"/>
      <c r="BY61" s="633"/>
      <c r="BZ61" s="633"/>
      <c r="CA61" s="633"/>
      <c r="CB61" s="633"/>
      <c r="CC61" s="633"/>
      <c r="CD61" s="633"/>
      <c r="CE61" s="633"/>
      <c r="CF61" s="633"/>
      <c r="CG61" s="633"/>
      <c r="CH61" s="633"/>
      <c r="CI61" s="633"/>
      <c r="CJ61" s="633"/>
      <c r="CK61" s="633"/>
      <c r="CL61" s="633"/>
      <c r="CM61" s="633"/>
      <c r="CN61" s="633"/>
      <c r="CO61" s="633"/>
      <c r="CP61" s="633"/>
      <c r="CQ61" s="633"/>
      <c r="CR61" s="633"/>
      <c r="CS61" s="633"/>
      <c r="CT61" s="633"/>
      <c r="CU61" s="633"/>
      <c r="CV61" s="633"/>
      <c r="CW61" s="633"/>
      <c r="CX61" s="633"/>
      <c r="CY61" s="633"/>
      <c r="CZ61" s="633"/>
      <c r="DA61" s="633"/>
      <c r="DB61" s="633"/>
      <c r="DC61" s="633"/>
      <c r="DD61" s="633"/>
      <c r="DE61" s="633"/>
      <c r="DF61" s="633"/>
      <c r="DG61" s="633"/>
      <c r="DH61" s="633"/>
      <c r="DI61" s="633"/>
      <c r="DJ61" s="633"/>
      <c r="DK61" s="633"/>
      <c r="DL61" s="633"/>
      <c r="DM61" s="633"/>
      <c r="DN61" s="633"/>
      <c r="DO61" s="633"/>
      <c r="DP61" s="633"/>
      <c r="DQ61" s="633"/>
      <c r="DR61" s="633"/>
      <c r="DS61" s="633"/>
      <c r="DT61" s="633"/>
      <c r="DU61" s="633"/>
      <c r="DV61" s="633"/>
      <c r="DW61" s="633"/>
      <c r="DX61" s="633"/>
      <c r="DY61" s="633"/>
      <c r="DZ61" s="633"/>
      <c r="EA61" s="633"/>
      <c r="EB61" s="633"/>
      <c r="EC61" s="633"/>
      <c r="ED61" s="633"/>
      <c r="EE61" s="633"/>
      <c r="EF61" s="633"/>
      <c r="EG61" s="633"/>
      <c r="EH61" s="633"/>
      <c r="EI61" s="633"/>
      <c r="EJ61" s="633"/>
      <c r="EK61" s="633"/>
      <c r="EL61" s="633"/>
      <c r="EM61" s="633"/>
      <c r="EN61" s="633"/>
      <c r="EO61" s="633"/>
      <c r="EP61" s="633"/>
      <c r="EQ61" s="633"/>
      <c r="ER61" s="633"/>
      <c r="ES61" s="633"/>
      <c r="ET61" s="633"/>
      <c r="EU61" s="633"/>
      <c r="EV61" s="633"/>
      <c r="EW61" s="633"/>
      <c r="EX61" s="633"/>
      <c r="EY61" s="633"/>
      <c r="EZ61" s="633"/>
      <c r="FA61" s="633"/>
      <c r="FB61" s="633"/>
      <c r="FC61" s="633"/>
      <c r="FD61" s="633"/>
      <c r="FE61" s="633"/>
      <c r="FF61" s="633"/>
      <c r="FG61" s="633"/>
      <c r="FH61" s="633"/>
      <c r="FI61" s="633"/>
      <c r="FJ61" s="633"/>
      <c r="FK61" s="633"/>
      <c r="FL61" s="633"/>
      <c r="FM61" s="633"/>
      <c r="FN61" s="633"/>
      <c r="FO61" s="633"/>
      <c r="FP61" s="633"/>
      <c r="FQ61" s="633"/>
      <c r="FR61" s="633"/>
      <c r="FS61" s="633"/>
      <c r="FT61" s="633"/>
      <c r="FU61" s="633"/>
      <c r="FV61" s="633"/>
      <c r="FW61" s="633"/>
      <c r="FX61" s="633"/>
      <c r="FY61" s="633"/>
      <c r="FZ61" s="633"/>
      <c r="GA61" s="633"/>
      <c r="GB61" s="633"/>
      <c r="GC61" s="633"/>
      <c r="GD61" s="633"/>
      <c r="GE61" s="633"/>
      <c r="GF61" s="633"/>
      <c r="GG61" s="633"/>
      <c r="GH61" s="633"/>
      <c r="GI61" s="633"/>
      <c r="GJ61" s="633"/>
      <c r="GK61" s="633"/>
      <c r="GL61" s="633"/>
      <c r="GM61" s="633"/>
      <c r="GN61" s="633"/>
      <c r="GO61" s="633"/>
      <c r="GP61" s="633"/>
      <c r="GQ61" s="633"/>
      <c r="GR61" s="633"/>
      <c r="GS61" s="633"/>
      <c r="GT61" s="633"/>
      <c r="GU61" s="633"/>
      <c r="GV61" s="633"/>
      <c r="GW61" s="633"/>
      <c r="GX61" s="633"/>
      <c r="GY61" s="633"/>
      <c r="GZ61" s="633"/>
      <c r="HA61" s="633"/>
      <c r="HB61" s="633"/>
      <c r="HC61" s="633"/>
      <c r="HD61" s="633"/>
      <c r="HE61" s="633"/>
      <c r="HF61" s="633"/>
      <c r="HG61" s="633"/>
      <c r="HH61" s="633"/>
      <c r="HI61" s="633"/>
      <c r="HJ61" s="633"/>
      <c r="HK61" s="633"/>
      <c r="HL61" s="633"/>
      <c r="HM61" s="633"/>
      <c r="HN61" s="633"/>
      <c r="HO61" s="633"/>
      <c r="HP61" s="633"/>
      <c r="HQ61" s="633"/>
      <c r="HR61" s="633"/>
      <c r="HS61" s="633"/>
      <c r="HT61" s="633"/>
      <c r="HU61" s="633"/>
      <c r="HV61" s="633"/>
      <c r="HW61" s="633"/>
      <c r="HX61" s="633"/>
      <c r="HY61" s="633"/>
    </row>
    <row r="62" spans="1:233" s="618" customFormat="1" ht="24" customHeight="1">
      <c r="A62" s="617"/>
      <c r="B62" s="849">
        <v>4</v>
      </c>
      <c r="C62" s="1958" t="str">
        <f>C21</f>
        <v xml:space="preserve">Supervisión del Estudio Definitivo </v>
      </c>
      <c r="D62" s="1959"/>
      <c r="E62" s="734">
        <f t="shared" si="7"/>
        <v>0</v>
      </c>
      <c r="F62" s="709"/>
      <c r="G62" s="709"/>
      <c r="H62" s="709"/>
      <c r="I62" s="709"/>
      <c r="J62" s="709"/>
      <c r="K62" s="709"/>
      <c r="L62" s="709"/>
      <c r="M62" s="709"/>
      <c r="N62" s="709"/>
      <c r="O62" s="709"/>
      <c r="P62" s="734"/>
      <c r="Q62" s="633"/>
      <c r="R62" s="633"/>
      <c r="S62" s="633"/>
      <c r="T62" s="633"/>
      <c r="U62" s="633"/>
      <c r="V62" s="633"/>
      <c r="W62" s="633"/>
      <c r="X62" s="633"/>
      <c r="Y62" s="633"/>
      <c r="Z62" s="633"/>
      <c r="AA62" s="633"/>
      <c r="AB62" s="633"/>
      <c r="AC62" s="633"/>
      <c r="AD62" s="633"/>
      <c r="AE62" s="633"/>
      <c r="AF62" s="633"/>
      <c r="AG62" s="633"/>
      <c r="AH62" s="633"/>
      <c r="AI62" s="633"/>
      <c r="AJ62" s="633"/>
      <c r="AK62" s="633"/>
      <c r="AL62" s="633"/>
      <c r="AM62" s="633"/>
      <c r="AN62" s="633"/>
      <c r="AO62" s="633"/>
      <c r="AP62" s="633"/>
      <c r="AQ62" s="633"/>
      <c r="AR62" s="633"/>
      <c r="AS62" s="633"/>
      <c r="AT62" s="633"/>
      <c r="AU62" s="633"/>
      <c r="AV62" s="633"/>
      <c r="AW62" s="633"/>
      <c r="AX62" s="633"/>
      <c r="AY62" s="633"/>
      <c r="AZ62" s="633"/>
      <c r="BA62" s="633"/>
      <c r="BB62" s="633"/>
      <c r="BC62" s="633"/>
      <c r="BD62" s="633"/>
      <c r="BE62" s="633"/>
      <c r="BF62" s="633"/>
      <c r="BG62" s="633"/>
      <c r="BH62" s="633"/>
      <c r="BI62" s="633"/>
      <c r="BJ62" s="633"/>
      <c r="BK62" s="633"/>
      <c r="BL62" s="633"/>
      <c r="BM62" s="633"/>
      <c r="BN62" s="633"/>
      <c r="BO62" s="633"/>
      <c r="BP62" s="633"/>
      <c r="BQ62" s="633"/>
      <c r="BR62" s="633"/>
      <c r="BS62" s="633"/>
      <c r="BT62" s="633"/>
      <c r="BU62" s="633"/>
      <c r="BV62" s="633"/>
      <c r="BW62" s="633"/>
      <c r="BX62" s="633"/>
      <c r="BY62" s="633"/>
      <c r="BZ62" s="633"/>
      <c r="CA62" s="633"/>
      <c r="CB62" s="633"/>
      <c r="CC62" s="633"/>
      <c r="CD62" s="633"/>
      <c r="CE62" s="633"/>
      <c r="CF62" s="633"/>
      <c r="CG62" s="633"/>
      <c r="CH62" s="633"/>
      <c r="CI62" s="633"/>
      <c r="CJ62" s="633"/>
      <c r="CK62" s="633"/>
      <c r="CL62" s="633"/>
      <c r="CM62" s="633"/>
      <c r="CN62" s="633"/>
      <c r="CO62" s="633"/>
      <c r="CP62" s="633"/>
      <c r="CQ62" s="633"/>
      <c r="CR62" s="633"/>
      <c r="CS62" s="633"/>
      <c r="CT62" s="633"/>
      <c r="CU62" s="633"/>
      <c r="CV62" s="633"/>
      <c r="CW62" s="633"/>
      <c r="CX62" s="633"/>
      <c r="CY62" s="633"/>
      <c r="CZ62" s="633"/>
      <c r="DA62" s="633"/>
      <c r="DB62" s="633"/>
      <c r="DC62" s="633"/>
      <c r="DD62" s="633"/>
      <c r="DE62" s="633"/>
      <c r="DF62" s="633"/>
      <c r="DG62" s="633"/>
      <c r="DH62" s="633"/>
      <c r="DI62" s="633"/>
      <c r="DJ62" s="633"/>
      <c r="DK62" s="633"/>
      <c r="DL62" s="633"/>
      <c r="DM62" s="633"/>
      <c r="DN62" s="633"/>
      <c r="DO62" s="633"/>
      <c r="DP62" s="633"/>
      <c r="DQ62" s="633"/>
      <c r="DR62" s="633"/>
      <c r="DS62" s="633"/>
      <c r="DT62" s="633"/>
      <c r="DU62" s="633"/>
      <c r="DV62" s="633"/>
      <c r="DW62" s="633"/>
      <c r="DX62" s="633"/>
      <c r="DY62" s="633"/>
      <c r="DZ62" s="633"/>
      <c r="EA62" s="633"/>
      <c r="EB62" s="633"/>
      <c r="EC62" s="633"/>
      <c r="ED62" s="633"/>
      <c r="EE62" s="633"/>
      <c r="EF62" s="633"/>
      <c r="EG62" s="633"/>
      <c r="EH62" s="633"/>
      <c r="EI62" s="633"/>
      <c r="EJ62" s="633"/>
      <c r="EK62" s="633"/>
      <c r="EL62" s="633"/>
      <c r="EM62" s="633"/>
      <c r="EN62" s="633"/>
      <c r="EO62" s="633"/>
      <c r="EP62" s="633"/>
      <c r="EQ62" s="633"/>
      <c r="ER62" s="633"/>
      <c r="ES62" s="633"/>
      <c r="ET62" s="633"/>
      <c r="EU62" s="633"/>
      <c r="EV62" s="633"/>
      <c r="EW62" s="633"/>
      <c r="EX62" s="633"/>
      <c r="EY62" s="633"/>
      <c r="EZ62" s="633"/>
      <c r="FA62" s="633"/>
      <c r="FB62" s="633"/>
      <c r="FC62" s="633"/>
      <c r="FD62" s="633"/>
      <c r="FE62" s="633"/>
      <c r="FF62" s="633"/>
      <c r="FG62" s="633"/>
      <c r="FH62" s="633"/>
      <c r="FI62" s="633"/>
      <c r="FJ62" s="633"/>
      <c r="FK62" s="633"/>
      <c r="FL62" s="633"/>
      <c r="FM62" s="633"/>
      <c r="FN62" s="633"/>
      <c r="FO62" s="633"/>
      <c r="FP62" s="633"/>
      <c r="FQ62" s="633"/>
      <c r="FR62" s="633"/>
      <c r="FS62" s="633"/>
      <c r="FT62" s="633"/>
      <c r="FU62" s="633"/>
      <c r="FV62" s="633"/>
      <c r="FW62" s="633"/>
      <c r="FX62" s="633"/>
      <c r="FY62" s="633"/>
      <c r="FZ62" s="633"/>
      <c r="GA62" s="633"/>
      <c r="GB62" s="633"/>
      <c r="GC62" s="633"/>
      <c r="GD62" s="633"/>
      <c r="GE62" s="633"/>
      <c r="GF62" s="633"/>
      <c r="GG62" s="633"/>
      <c r="GH62" s="633"/>
      <c r="GI62" s="633"/>
      <c r="GJ62" s="633"/>
      <c r="GK62" s="633"/>
      <c r="GL62" s="633"/>
      <c r="GM62" s="633"/>
      <c r="GN62" s="633"/>
      <c r="GO62" s="633"/>
      <c r="GP62" s="633"/>
      <c r="GQ62" s="633"/>
      <c r="GR62" s="633"/>
      <c r="GS62" s="633"/>
      <c r="GT62" s="633"/>
      <c r="GU62" s="633"/>
      <c r="GV62" s="633"/>
      <c r="GW62" s="633"/>
      <c r="GX62" s="633"/>
      <c r="GY62" s="633"/>
      <c r="GZ62" s="633"/>
      <c r="HA62" s="633"/>
      <c r="HB62" s="633"/>
      <c r="HC62" s="633"/>
      <c r="HD62" s="633"/>
      <c r="HE62" s="633"/>
      <c r="HF62" s="633"/>
      <c r="HG62" s="633"/>
      <c r="HH62" s="633"/>
      <c r="HI62" s="633"/>
      <c r="HJ62" s="633"/>
      <c r="HK62" s="633"/>
      <c r="HL62" s="633"/>
      <c r="HM62" s="633"/>
      <c r="HN62" s="633"/>
      <c r="HO62" s="633"/>
      <c r="HP62" s="633"/>
      <c r="HQ62" s="633"/>
      <c r="HR62" s="633"/>
      <c r="HS62" s="633"/>
      <c r="HT62" s="633"/>
      <c r="HU62" s="633"/>
      <c r="HV62" s="633"/>
      <c r="HW62" s="633"/>
      <c r="HX62" s="633"/>
      <c r="HY62" s="633"/>
    </row>
    <row r="63" spans="1:233" s="618" customFormat="1" ht="24" customHeight="1">
      <c r="A63" s="617"/>
      <c r="B63" s="849">
        <v>5</v>
      </c>
      <c r="C63" s="1958" t="str">
        <f>C22</f>
        <v>Supervisión de ejecución de Proyecto</v>
      </c>
      <c r="D63" s="1959"/>
      <c r="E63" s="734">
        <f t="shared" si="7"/>
        <v>0</v>
      </c>
      <c r="F63" s="709"/>
      <c r="G63" s="709"/>
      <c r="H63" s="709"/>
      <c r="I63" s="709"/>
      <c r="J63" s="709"/>
      <c r="K63" s="709"/>
      <c r="L63" s="709"/>
      <c r="M63" s="709"/>
      <c r="N63" s="709"/>
      <c r="O63" s="709"/>
      <c r="P63" s="734"/>
      <c r="Q63" s="633"/>
      <c r="R63" s="633"/>
      <c r="S63" s="633"/>
      <c r="T63" s="633"/>
      <c r="U63" s="633"/>
      <c r="V63" s="633"/>
      <c r="W63" s="633"/>
      <c r="X63" s="633"/>
      <c r="Y63" s="633"/>
      <c r="Z63" s="633"/>
      <c r="AA63" s="633"/>
      <c r="AB63" s="633"/>
      <c r="AC63" s="633"/>
      <c r="AD63" s="633"/>
      <c r="AE63" s="633"/>
      <c r="AF63" s="633"/>
      <c r="AG63" s="633"/>
      <c r="AH63" s="633"/>
      <c r="AI63" s="633"/>
      <c r="AJ63" s="633"/>
      <c r="AK63" s="633"/>
      <c r="AL63" s="633"/>
      <c r="AM63" s="633"/>
      <c r="AN63" s="633"/>
      <c r="AO63" s="633"/>
      <c r="AP63" s="633"/>
      <c r="AQ63" s="633"/>
      <c r="AR63" s="633"/>
      <c r="AS63" s="633"/>
      <c r="AT63" s="633"/>
      <c r="AU63" s="633"/>
      <c r="AV63" s="633"/>
      <c r="AW63" s="633"/>
      <c r="AX63" s="633"/>
      <c r="AY63" s="633"/>
      <c r="AZ63" s="633"/>
      <c r="BA63" s="633"/>
      <c r="BB63" s="633"/>
      <c r="BC63" s="633"/>
      <c r="BD63" s="633"/>
      <c r="BE63" s="633"/>
      <c r="BF63" s="633"/>
      <c r="BG63" s="633"/>
      <c r="BH63" s="633"/>
      <c r="BI63" s="633"/>
      <c r="BJ63" s="633"/>
      <c r="BK63" s="633"/>
      <c r="BL63" s="633"/>
      <c r="BM63" s="633"/>
      <c r="BN63" s="633"/>
      <c r="BO63" s="633"/>
      <c r="BP63" s="633"/>
      <c r="BQ63" s="633"/>
      <c r="BR63" s="633"/>
      <c r="BS63" s="633"/>
      <c r="BT63" s="633"/>
      <c r="BU63" s="633"/>
      <c r="BV63" s="633"/>
      <c r="BW63" s="633"/>
      <c r="BX63" s="633"/>
      <c r="BY63" s="633"/>
      <c r="BZ63" s="633"/>
      <c r="CA63" s="633"/>
      <c r="CB63" s="633"/>
      <c r="CC63" s="633"/>
      <c r="CD63" s="633"/>
      <c r="CE63" s="633"/>
      <c r="CF63" s="633"/>
      <c r="CG63" s="633"/>
      <c r="CH63" s="633"/>
      <c r="CI63" s="633"/>
      <c r="CJ63" s="633"/>
      <c r="CK63" s="633"/>
      <c r="CL63" s="633"/>
      <c r="CM63" s="633"/>
      <c r="CN63" s="633"/>
      <c r="CO63" s="633"/>
      <c r="CP63" s="633"/>
      <c r="CQ63" s="633"/>
      <c r="CR63" s="633"/>
      <c r="CS63" s="633"/>
      <c r="CT63" s="633"/>
      <c r="CU63" s="633"/>
      <c r="CV63" s="633"/>
      <c r="CW63" s="633"/>
      <c r="CX63" s="633"/>
      <c r="CY63" s="633"/>
      <c r="CZ63" s="633"/>
      <c r="DA63" s="633"/>
      <c r="DB63" s="633"/>
      <c r="DC63" s="633"/>
      <c r="DD63" s="633"/>
      <c r="DE63" s="633"/>
      <c r="DF63" s="633"/>
      <c r="DG63" s="633"/>
      <c r="DH63" s="633"/>
      <c r="DI63" s="633"/>
      <c r="DJ63" s="633"/>
      <c r="DK63" s="633"/>
      <c r="DL63" s="633"/>
      <c r="DM63" s="633"/>
      <c r="DN63" s="633"/>
      <c r="DO63" s="633"/>
      <c r="DP63" s="633"/>
      <c r="DQ63" s="633"/>
      <c r="DR63" s="633"/>
      <c r="DS63" s="633"/>
      <c r="DT63" s="633"/>
      <c r="DU63" s="633"/>
      <c r="DV63" s="633"/>
      <c r="DW63" s="633"/>
      <c r="DX63" s="633"/>
      <c r="DY63" s="633"/>
      <c r="DZ63" s="633"/>
      <c r="EA63" s="633"/>
      <c r="EB63" s="633"/>
      <c r="EC63" s="633"/>
      <c r="ED63" s="633"/>
      <c r="EE63" s="633"/>
      <c r="EF63" s="633"/>
      <c r="EG63" s="633"/>
      <c r="EH63" s="633"/>
      <c r="EI63" s="633"/>
      <c r="EJ63" s="633"/>
      <c r="EK63" s="633"/>
      <c r="EL63" s="633"/>
      <c r="EM63" s="633"/>
      <c r="EN63" s="633"/>
      <c r="EO63" s="633"/>
      <c r="EP63" s="633"/>
      <c r="EQ63" s="633"/>
      <c r="ER63" s="633"/>
      <c r="ES63" s="633"/>
      <c r="ET63" s="633"/>
      <c r="EU63" s="633"/>
      <c r="EV63" s="633"/>
      <c r="EW63" s="633"/>
      <c r="EX63" s="633"/>
      <c r="EY63" s="633"/>
      <c r="EZ63" s="633"/>
      <c r="FA63" s="633"/>
      <c r="FB63" s="633"/>
      <c r="FC63" s="633"/>
      <c r="FD63" s="633"/>
      <c r="FE63" s="633"/>
      <c r="FF63" s="633"/>
      <c r="FG63" s="633"/>
      <c r="FH63" s="633"/>
      <c r="FI63" s="633"/>
      <c r="FJ63" s="633"/>
      <c r="FK63" s="633"/>
      <c r="FL63" s="633"/>
      <c r="FM63" s="633"/>
      <c r="FN63" s="633"/>
      <c r="FO63" s="633"/>
      <c r="FP63" s="633"/>
      <c r="FQ63" s="633"/>
      <c r="FR63" s="633"/>
      <c r="FS63" s="633"/>
      <c r="FT63" s="633"/>
      <c r="FU63" s="633"/>
      <c r="FV63" s="633"/>
      <c r="FW63" s="633"/>
      <c r="FX63" s="633"/>
      <c r="FY63" s="633"/>
      <c r="FZ63" s="633"/>
      <c r="GA63" s="633"/>
      <c r="GB63" s="633"/>
      <c r="GC63" s="633"/>
      <c r="GD63" s="633"/>
      <c r="GE63" s="633"/>
      <c r="GF63" s="633"/>
      <c r="GG63" s="633"/>
      <c r="GH63" s="633"/>
      <c r="GI63" s="633"/>
      <c r="GJ63" s="633"/>
      <c r="GK63" s="633"/>
      <c r="GL63" s="633"/>
      <c r="GM63" s="633"/>
      <c r="GN63" s="633"/>
      <c r="GO63" s="633"/>
      <c r="GP63" s="633"/>
      <c r="GQ63" s="633"/>
      <c r="GR63" s="633"/>
      <c r="GS63" s="633"/>
      <c r="GT63" s="633"/>
      <c r="GU63" s="633"/>
      <c r="GV63" s="633"/>
      <c r="GW63" s="633"/>
      <c r="GX63" s="633"/>
      <c r="GY63" s="633"/>
      <c r="GZ63" s="633"/>
      <c r="HA63" s="633"/>
      <c r="HB63" s="633"/>
      <c r="HC63" s="633"/>
      <c r="HD63" s="633"/>
      <c r="HE63" s="633"/>
      <c r="HF63" s="633"/>
      <c r="HG63" s="633"/>
      <c r="HH63" s="633"/>
      <c r="HI63" s="633"/>
      <c r="HJ63" s="633"/>
      <c r="HK63" s="633"/>
      <c r="HL63" s="633"/>
      <c r="HM63" s="633"/>
      <c r="HN63" s="633"/>
      <c r="HO63" s="633"/>
      <c r="HP63" s="633"/>
      <c r="HQ63" s="633"/>
      <c r="HR63" s="633"/>
      <c r="HS63" s="633"/>
      <c r="HT63" s="633"/>
      <c r="HU63" s="633"/>
      <c r="HV63" s="633"/>
      <c r="HW63" s="633"/>
      <c r="HX63" s="633"/>
      <c r="HY63" s="633"/>
    </row>
    <row r="64" spans="1:233" s="618" customFormat="1" ht="24" customHeight="1">
      <c r="A64" s="617"/>
      <c r="B64" s="849">
        <v>6</v>
      </c>
      <c r="C64" s="1958" t="str">
        <f>C23</f>
        <v>Liquidación del proyecto (**)</v>
      </c>
      <c r="D64" s="1959"/>
      <c r="E64" s="734">
        <f t="shared" si="7"/>
        <v>0</v>
      </c>
      <c r="F64" s="709"/>
      <c r="G64" s="709"/>
      <c r="H64" s="709"/>
      <c r="I64" s="709"/>
      <c r="J64" s="709"/>
      <c r="K64" s="709"/>
      <c r="L64" s="709"/>
      <c r="M64" s="709"/>
      <c r="N64" s="709"/>
      <c r="O64" s="709"/>
      <c r="P64" s="734"/>
      <c r="Q64" s="633"/>
      <c r="R64" s="633"/>
      <c r="S64" s="633"/>
      <c r="T64" s="633"/>
      <c r="U64" s="633"/>
      <c r="V64" s="633"/>
      <c r="W64" s="633"/>
      <c r="X64" s="633"/>
      <c r="Y64" s="633"/>
      <c r="Z64" s="633"/>
      <c r="AA64" s="633"/>
      <c r="AB64" s="633"/>
      <c r="AC64" s="633"/>
      <c r="AD64" s="633"/>
      <c r="AE64" s="633"/>
      <c r="AF64" s="633"/>
      <c r="AG64" s="633"/>
      <c r="AH64" s="633"/>
      <c r="AI64" s="633"/>
      <c r="AJ64" s="633"/>
      <c r="AK64" s="633"/>
      <c r="AL64" s="633"/>
      <c r="AM64" s="633"/>
      <c r="AN64" s="633"/>
      <c r="AO64" s="633"/>
      <c r="AP64" s="633"/>
      <c r="AQ64" s="633"/>
      <c r="AR64" s="633"/>
      <c r="AS64" s="633"/>
      <c r="AT64" s="633"/>
      <c r="AU64" s="633"/>
      <c r="AV64" s="633"/>
      <c r="AW64" s="633"/>
      <c r="AX64" s="633"/>
      <c r="AY64" s="633"/>
      <c r="AZ64" s="633"/>
      <c r="BA64" s="633"/>
      <c r="BB64" s="633"/>
      <c r="BC64" s="633"/>
      <c r="BD64" s="633"/>
      <c r="BE64" s="633"/>
      <c r="BF64" s="633"/>
      <c r="BG64" s="633"/>
      <c r="BH64" s="633"/>
      <c r="BI64" s="633"/>
      <c r="BJ64" s="633"/>
      <c r="BK64" s="633"/>
      <c r="BL64" s="633"/>
      <c r="BM64" s="633"/>
      <c r="BN64" s="633"/>
      <c r="BO64" s="633"/>
      <c r="BP64" s="633"/>
      <c r="BQ64" s="633"/>
      <c r="BR64" s="633"/>
      <c r="BS64" s="633"/>
      <c r="BT64" s="633"/>
      <c r="BU64" s="633"/>
      <c r="BV64" s="633"/>
      <c r="BW64" s="633"/>
      <c r="BX64" s="633"/>
      <c r="BY64" s="633"/>
      <c r="BZ64" s="633"/>
      <c r="CA64" s="633"/>
      <c r="CB64" s="633"/>
      <c r="CC64" s="633"/>
      <c r="CD64" s="633"/>
      <c r="CE64" s="633"/>
      <c r="CF64" s="633"/>
      <c r="CG64" s="633"/>
      <c r="CH64" s="633"/>
      <c r="CI64" s="633"/>
      <c r="CJ64" s="633"/>
      <c r="CK64" s="633"/>
      <c r="CL64" s="633"/>
      <c r="CM64" s="633"/>
      <c r="CN64" s="633"/>
      <c r="CO64" s="633"/>
      <c r="CP64" s="633"/>
      <c r="CQ64" s="633"/>
      <c r="CR64" s="633"/>
      <c r="CS64" s="633"/>
      <c r="CT64" s="633"/>
      <c r="CU64" s="633"/>
      <c r="CV64" s="633"/>
      <c r="CW64" s="633"/>
      <c r="CX64" s="633"/>
      <c r="CY64" s="633"/>
      <c r="CZ64" s="633"/>
      <c r="DA64" s="633"/>
      <c r="DB64" s="633"/>
      <c r="DC64" s="633"/>
      <c r="DD64" s="633"/>
      <c r="DE64" s="633"/>
      <c r="DF64" s="633"/>
      <c r="DG64" s="633"/>
      <c r="DH64" s="633"/>
      <c r="DI64" s="633"/>
      <c r="DJ64" s="633"/>
      <c r="DK64" s="633"/>
      <c r="DL64" s="633"/>
      <c r="DM64" s="633"/>
      <c r="DN64" s="633"/>
      <c r="DO64" s="633"/>
      <c r="DP64" s="633"/>
      <c r="DQ64" s="633"/>
      <c r="DR64" s="633"/>
      <c r="DS64" s="633"/>
      <c r="DT64" s="633"/>
      <c r="DU64" s="633"/>
      <c r="DV64" s="633"/>
      <c r="DW64" s="633"/>
      <c r="DX64" s="633"/>
      <c r="DY64" s="633"/>
      <c r="DZ64" s="633"/>
      <c r="EA64" s="633"/>
      <c r="EB64" s="633"/>
      <c r="EC64" s="633"/>
      <c r="ED64" s="633"/>
      <c r="EE64" s="633"/>
      <c r="EF64" s="633"/>
      <c r="EG64" s="633"/>
      <c r="EH64" s="633"/>
      <c r="EI64" s="633"/>
      <c r="EJ64" s="633"/>
      <c r="EK64" s="633"/>
      <c r="EL64" s="633"/>
      <c r="EM64" s="633"/>
      <c r="EN64" s="633"/>
      <c r="EO64" s="633"/>
      <c r="EP64" s="633"/>
      <c r="EQ64" s="633"/>
      <c r="ER64" s="633"/>
      <c r="ES64" s="633"/>
      <c r="ET64" s="633"/>
      <c r="EU64" s="633"/>
      <c r="EV64" s="633"/>
      <c r="EW64" s="633"/>
      <c r="EX64" s="633"/>
      <c r="EY64" s="633"/>
      <c r="EZ64" s="633"/>
      <c r="FA64" s="633"/>
      <c r="FB64" s="633"/>
      <c r="FC64" s="633"/>
      <c r="FD64" s="633"/>
      <c r="FE64" s="633"/>
      <c r="FF64" s="633"/>
      <c r="FG64" s="633"/>
      <c r="FH64" s="633"/>
      <c r="FI64" s="633"/>
      <c r="FJ64" s="633"/>
      <c r="FK64" s="633"/>
      <c r="FL64" s="633"/>
      <c r="FM64" s="633"/>
      <c r="FN64" s="633"/>
      <c r="FO64" s="633"/>
      <c r="FP64" s="633"/>
      <c r="FQ64" s="633"/>
      <c r="FR64" s="633"/>
      <c r="FS64" s="633"/>
      <c r="FT64" s="633"/>
      <c r="FU64" s="633"/>
      <c r="FV64" s="633"/>
      <c r="FW64" s="633"/>
      <c r="FX64" s="633"/>
      <c r="FY64" s="633"/>
      <c r="FZ64" s="633"/>
      <c r="GA64" s="633"/>
      <c r="GB64" s="633"/>
      <c r="GC64" s="633"/>
      <c r="GD64" s="633"/>
      <c r="GE64" s="633"/>
      <c r="GF64" s="633"/>
      <c r="GG64" s="633"/>
      <c r="GH64" s="633"/>
      <c r="GI64" s="633"/>
      <c r="GJ64" s="633"/>
      <c r="GK64" s="633"/>
      <c r="GL64" s="633"/>
      <c r="GM64" s="633"/>
      <c r="GN64" s="633"/>
      <c r="GO64" s="633"/>
      <c r="GP64" s="633"/>
      <c r="GQ64" s="633"/>
      <c r="GR64" s="633"/>
      <c r="GS64" s="633"/>
      <c r="GT64" s="633"/>
      <c r="GU64" s="633"/>
      <c r="GV64" s="633"/>
      <c r="GW64" s="633"/>
      <c r="GX64" s="633"/>
      <c r="GY64" s="633"/>
      <c r="GZ64" s="633"/>
      <c r="HA64" s="633"/>
      <c r="HB64" s="633"/>
      <c r="HC64" s="633"/>
      <c r="HD64" s="633"/>
      <c r="HE64" s="633"/>
      <c r="HF64" s="633"/>
      <c r="HG64" s="633"/>
      <c r="HH64" s="633"/>
      <c r="HI64" s="633"/>
      <c r="HJ64" s="633"/>
      <c r="HK64" s="633"/>
      <c r="HL64" s="633"/>
      <c r="HM64" s="633"/>
      <c r="HN64" s="633"/>
      <c r="HO64" s="633"/>
      <c r="HP64" s="633"/>
      <c r="HQ64" s="633"/>
      <c r="HR64" s="633"/>
      <c r="HS64" s="633"/>
      <c r="HT64" s="633"/>
      <c r="HU64" s="633"/>
      <c r="HV64" s="633"/>
      <c r="HW64" s="633"/>
      <c r="HX64" s="633"/>
      <c r="HY64" s="633"/>
    </row>
    <row r="65" spans="1:233" s="897" customFormat="1" ht="15.95" customHeight="1">
      <c r="A65" s="617"/>
      <c r="B65" s="850" t="s">
        <v>58</v>
      </c>
      <c r="C65" s="1961" t="s">
        <v>59</v>
      </c>
      <c r="D65" s="1961"/>
      <c r="E65" s="734">
        <f>E63+E62+E61+E60+E52+E64</f>
        <v>0</v>
      </c>
      <c r="F65" s="709"/>
      <c r="G65" s="709"/>
      <c r="H65" s="709"/>
      <c r="I65" s="709"/>
      <c r="J65" s="709"/>
      <c r="K65" s="709"/>
      <c r="L65" s="709"/>
      <c r="M65" s="709"/>
      <c r="N65" s="709"/>
      <c r="O65" s="709"/>
      <c r="P65" s="734"/>
      <c r="Q65" s="1129"/>
      <c r="R65" s="1129"/>
      <c r="S65" s="1129"/>
      <c r="T65" s="1129"/>
      <c r="U65" s="1129"/>
      <c r="V65" s="1129"/>
      <c r="W65" s="1129"/>
      <c r="X65" s="1129"/>
      <c r="Y65" s="1129"/>
      <c r="Z65" s="1129"/>
      <c r="AA65" s="1129"/>
      <c r="AB65" s="1129"/>
      <c r="AC65" s="1129"/>
      <c r="AD65" s="1129"/>
      <c r="AE65" s="1129"/>
      <c r="AF65" s="1129"/>
      <c r="AG65" s="1129"/>
      <c r="AH65" s="1129"/>
      <c r="AI65" s="1129"/>
      <c r="AJ65" s="1129"/>
      <c r="AK65" s="1129"/>
      <c r="AL65" s="1129"/>
      <c r="AM65" s="1129"/>
      <c r="AN65" s="1129"/>
      <c r="AO65" s="1129"/>
      <c r="AP65" s="1129"/>
      <c r="AQ65" s="1129"/>
      <c r="AR65" s="1129"/>
      <c r="AS65" s="1129"/>
      <c r="AT65" s="1129"/>
      <c r="AU65" s="1129"/>
      <c r="AV65" s="1129"/>
      <c r="AW65" s="1129"/>
      <c r="AX65" s="1129"/>
      <c r="AY65" s="1129"/>
      <c r="AZ65" s="1129"/>
      <c r="BA65" s="1129"/>
      <c r="BB65" s="1129"/>
      <c r="BC65" s="1129"/>
      <c r="BD65" s="1129"/>
      <c r="BE65" s="1129"/>
      <c r="BF65" s="1129"/>
      <c r="BG65" s="1129"/>
      <c r="BH65" s="1129"/>
      <c r="BI65" s="1129"/>
      <c r="BJ65" s="1129"/>
      <c r="BK65" s="1129"/>
      <c r="BL65" s="1129"/>
      <c r="BM65" s="1129"/>
      <c r="BN65" s="1129"/>
      <c r="BO65" s="1129"/>
      <c r="BP65" s="1129"/>
      <c r="BQ65" s="1129"/>
      <c r="BR65" s="1129"/>
      <c r="BS65" s="1129"/>
      <c r="BT65" s="1129"/>
      <c r="BU65" s="1129"/>
      <c r="BV65" s="1129"/>
      <c r="BW65" s="1129"/>
      <c r="BX65" s="1129"/>
      <c r="BY65" s="1129"/>
      <c r="BZ65" s="1129"/>
      <c r="CA65" s="1129"/>
      <c r="CB65" s="1129"/>
      <c r="CC65" s="1129"/>
      <c r="CD65" s="1129"/>
      <c r="CE65" s="1129"/>
      <c r="CF65" s="1129"/>
      <c r="CG65" s="1129"/>
      <c r="CH65" s="1129"/>
      <c r="CI65" s="1129"/>
      <c r="CJ65" s="1129"/>
      <c r="CK65" s="1129"/>
      <c r="CL65" s="1129"/>
      <c r="CM65" s="1129"/>
      <c r="CN65" s="1129"/>
      <c r="CO65" s="1129"/>
      <c r="CP65" s="1129"/>
      <c r="CQ65" s="1129"/>
      <c r="CR65" s="1129"/>
      <c r="CS65" s="1129"/>
      <c r="CT65" s="1129"/>
      <c r="CU65" s="1129"/>
      <c r="CV65" s="1129"/>
      <c r="CW65" s="1129"/>
      <c r="CX65" s="1129"/>
      <c r="CY65" s="1129"/>
      <c r="CZ65" s="1129"/>
      <c r="DA65" s="1129"/>
      <c r="DB65" s="1129"/>
      <c r="DC65" s="1129"/>
      <c r="DD65" s="1129"/>
      <c r="DE65" s="1129"/>
      <c r="DF65" s="1129"/>
      <c r="DG65" s="1129"/>
      <c r="DH65" s="1129"/>
      <c r="DI65" s="1129"/>
      <c r="DJ65" s="1129"/>
      <c r="DK65" s="1129"/>
      <c r="DL65" s="1129"/>
      <c r="DM65" s="1129"/>
      <c r="DN65" s="1129"/>
      <c r="DO65" s="1129"/>
      <c r="DP65" s="1129"/>
      <c r="DQ65" s="1129"/>
      <c r="DR65" s="1129"/>
      <c r="DS65" s="1129"/>
      <c r="DT65" s="1129"/>
      <c r="DU65" s="1129"/>
      <c r="DV65" s="1129"/>
      <c r="DW65" s="1129"/>
      <c r="DX65" s="1129"/>
      <c r="DY65" s="1129"/>
      <c r="DZ65" s="1129"/>
      <c r="EA65" s="1129"/>
      <c r="EB65" s="1129"/>
      <c r="EC65" s="1129"/>
      <c r="ED65" s="1129"/>
      <c r="EE65" s="1129"/>
      <c r="EF65" s="1129"/>
      <c r="EG65" s="1129"/>
      <c r="EH65" s="1129"/>
      <c r="EI65" s="1129"/>
      <c r="EJ65" s="1129"/>
      <c r="EK65" s="1129"/>
      <c r="EL65" s="1129"/>
      <c r="EM65" s="1129"/>
      <c r="EN65" s="1129"/>
      <c r="EO65" s="1129"/>
      <c r="EP65" s="1129"/>
      <c r="EQ65" s="1129"/>
      <c r="ER65" s="1129"/>
      <c r="ES65" s="1129"/>
      <c r="ET65" s="1129"/>
      <c r="EU65" s="1129"/>
      <c r="EV65" s="1129"/>
      <c r="EW65" s="1129"/>
      <c r="EX65" s="1129"/>
      <c r="EY65" s="1129"/>
      <c r="EZ65" s="1129"/>
      <c r="FA65" s="1129"/>
      <c r="FB65" s="1129"/>
      <c r="FC65" s="1129"/>
      <c r="FD65" s="1129"/>
      <c r="FE65" s="1129"/>
      <c r="FF65" s="1129"/>
      <c r="FG65" s="1129"/>
      <c r="FH65" s="1129"/>
      <c r="FI65" s="1129"/>
      <c r="FJ65" s="1129"/>
      <c r="FK65" s="1129"/>
      <c r="FL65" s="1129"/>
      <c r="FM65" s="1129"/>
      <c r="FN65" s="1129"/>
      <c r="FO65" s="1129"/>
      <c r="FP65" s="1129"/>
      <c r="FQ65" s="1129"/>
      <c r="FR65" s="1129"/>
      <c r="FS65" s="1129"/>
      <c r="FT65" s="1129"/>
      <c r="FU65" s="1129"/>
      <c r="FV65" s="1129"/>
      <c r="FW65" s="1129"/>
      <c r="FX65" s="1129"/>
      <c r="FY65" s="1129"/>
      <c r="FZ65" s="1129"/>
      <c r="GA65" s="1129"/>
      <c r="GB65" s="1129"/>
      <c r="GC65" s="1129"/>
      <c r="GD65" s="1129"/>
      <c r="GE65" s="1129"/>
      <c r="GF65" s="1129"/>
      <c r="GG65" s="1129"/>
      <c r="GH65" s="1129"/>
      <c r="GI65" s="1129"/>
      <c r="GJ65" s="1129"/>
      <c r="GK65" s="1129"/>
      <c r="GL65" s="1129"/>
      <c r="GM65" s="1129"/>
      <c r="GN65" s="1129"/>
      <c r="GO65" s="1129"/>
      <c r="GP65" s="1129"/>
      <c r="GQ65" s="1129"/>
      <c r="GR65" s="1129"/>
      <c r="GS65" s="1129"/>
      <c r="GT65" s="1129"/>
      <c r="GU65" s="1129"/>
      <c r="GV65" s="1129"/>
      <c r="GW65" s="1129"/>
      <c r="GX65" s="1129"/>
      <c r="GY65" s="1129"/>
      <c r="GZ65" s="1129"/>
      <c r="HA65" s="1129"/>
      <c r="HB65" s="1129"/>
      <c r="HC65" s="1129"/>
      <c r="HD65" s="1129"/>
      <c r="HE65" s="1129"/>
      <c r="HF65" s="1129"/>
      <c r="HG65" s="1129"/>
      <c r="HH65" s="1129"/>
      <c r="HI65" s="1129"/>
      <c r="HJ65" s="1129"/>
      <c r="HK65" s="1129"/>
      <c r="HL65" s="1129"/>
      <c r="HM65" s="1129"/>
      <c r="HN65" s="1129"/>
      <c r="HO65" s="1129"/>
      <c r="HP65" s="1129"/>
      <c r="HQ65" s="1129"/>
      <c r="HR65" s="1129"/>
      <c r="HS65" s="1129"/>
      <c r="HT65" s="1129"/>
      <c r="HU65" s="1129"/>
      <c r="HV65" s="1129"/>
      <c r="HW65" s="1129"/>
      <c r="HX65" s="1129"/>
      <c r="HY65" s="1129"/>
    </row>
    <row r="66" spans="1:233" s="1139" customFormat="1" ht="15.95" customHeight="1">
      <c r="A66" s="617"/>
      <c r="B66" s="850" t="s">
        <v>60</v>
      </c>
      <c r="C66" s="1961" t="s">
        <v>90</v>
      </c>
      <c r="D66" s="1961"/>
      <c r="E66" s="734"/>
      <c r="F66" s="734">
        <f>REINV!E193</f>
        <v>0</v>
      </c>
      <c r="G66" s="734">
        <f>REINV!F193</f>
        <v>0</v>
      </c>
      <c r="H66" s="734">
        <f>REINV!G193</f>
        <v>0</v>
      </c>
      <c r="I66" s="734">
        <f>REINV!H193</f>
        <v>0</v>
      </c>
      <c r="J66" s="734">
        <f>REINV!I193</f>
        <v>0</v>
      </c>
      <c r="K66" s="734">
        <f>REINV!J193</f>
        <v>0</v>
      </c>
      <c r="L66" s="734">
        <f>REINV!K193</f>
        <v>0</v>
      </c>
      <c r="M66" s="734">
        <f>REINV!L193</f>
        <v>0</v>
      </c>
      <c r="N66" s="734">
        <f>REINV!M193</f>
        <v>0</v>
      </c>
      <c r="O66" s="734">
        <f>REINV!N193</f>
        <v>0</v>
      </c>
      <c r="P66" s="734">
        <f>SUM(E66:O66)</f>
        <v>0</v>
      </c>
      <c r="Q66" s="1138"/>
      <c r="R66" s="1138"/>
      <c r="S66" s="1138"/>
      <c r="T66" s="1138"/>
      <c r="U66" s="1138"/>
      <c r="V66" s="1138"/>
      <c r="W66" s="1138"/>
      <c r="X66" s="1138"/>
      <c r="Y66" s="1138"/>
      <c r="Z66" s="1138"/>
      <c r="AA66" s="1138"/>
      <c r="AB66" s="1138"/>
      <c r="AC66" s="1138"/>
      <c r="AD66" s="1138"/>
      <c r="AE66" s="1138"/>
      <c r="AF66" s="1138"/>
      <c r="AG66" s="1138"/>
      <c r="AH66" s="1138"/>
      <c r="AI66" s="1138"/>
      <c r="AJ66" s="1138"/>
      <c r="AK66" s="1138"/>
      <c r="AL66" s="1138"/>
      <c r="AM66" s="1138"/>
      <c r="AN66" s="1138"/>
      <c r="AO66" s="1138"/>
      <c r="AP66" s="1138"/>
      <c r="AQ66" s="1138"/>
      <c r="AR66" s="1138"/>
      <c r="AS66" s="1138"/>
      <c r="AT66" s="1138"/>
      <c r="AU66" s="1138"/>
      <c r="AV66" s="1138"/>
      <c r="AW66" s="1138"/>
      <c r="AX66" s="1138"/>
      <c r="AY66" s="1138"/>
      <c r="AZ66" s="1138"/>
      <c r="BA66" s="1138"/>
      <c r="BB66" s="1138"/>
      <c r="BC66" s="1138"/>
      <c r="BD66" s="1138"/>
      <c r="BE66" s="1138"/>
      <c r="BF66" s="1138"/>
      <c r="BG66" s="1138"/>
      <c r="BH66" s="1138"/>
      <c r="BI66" s="1138"/>
      <c r="BJ66" s="1138"/>
      <c r="BK66" s="1138"/>
      <c r="BL66" s="1138"/>
      <c r="BM66" s="1138"/>
      <c r="BN66" s="1138"/>
      <c r="BO66" s="1138"/>
      <c r="BP66" s="1138"/>
      <c r="BQ66" s="1138"/>
      <c r="BR66" s="1138"/>
      <c r="BS66" s="1138"/>
      <c r="BT66" s="1138"/>
      <c r="BU66" s="1138"/>
      <c r="BV66" s="1138"/>
      <c r="BW66" s="1138"/>
      <c r="BX66" s="1138"/>
      <c r="BY66" s="1138"/>
      <c r="BZ66" s="1138"/>
      <c r="CA66" s="1138"/>
      <c r="CB66" s="1138"/>
      <c r="CC66" s="1138"/>
      <c r="CD66" s="1138"/>
      <c r="CE66" s="1138"/>
      <c r="CF66" s="1138"/>
      <c r="CG66" s="1138"/>
      <c r="CH66" s="1138"/>
      <c r="CI66" s="1138"/>
      <c r="CJ66" s="1138"/>
      <c r="CK66" s="1138"/>
      <c r="CL66" s="1138"/>
      <c r="CM66" s="1138"/>
      <c r="CN66" s="1138"/>
      <c r="CO66" s="1138"/>
      <c r="CP66" s="1138"/>
      <c r="CQ66" s="1138"/>
      <c r="CR66" s="1138"/>
      <c r="CS66" s="1138"/>
      <c r="CT66" s="1138"/>
      <c r="CU66" s="1138"/>
      <c r="CV66" s="1138"/>
      <c r="CW66" s="1138"/>
      <c r="CX66" s="1138"/>
      <c r="CY66" s="1138"/>
      <c r="CZ66" s="1138"/>
      <c r="DA66" s="1138"/>
      <c r="DB66" s="1138"/>
      <c r="DC66" s="1138"/>
      <c r="DD66" s="1138"/>
      <c r="DE66" s="1138"/>
      <c r="DF66" s="1138"/>
      <c r="DG66" s="1138"/>
      <c r="DH66" s="1138"/>
      <c r="DI66" s="1138"/>
      <c r="DJ66" s="1138"/>
      <c r="DK66" s="1138"/>
      <c r="DL66" s="1138"/>
      <c r="DM66" s="1138"/>
      <c r="DN66" s="1138"/>
      <c r="DO66" s="1138"/>
      <c r="DP66" s="1138"/>
      <c r="DQ66" s="1138"/>
      <c r="DR66" s="1138"/>
      <c r="DS66" s="1138"/>
      <c r="DT66" s="1138"/>
      <c r="DU66" s="1138"/>
      <c r="DV66" s="1138"/>
      <c r="DW66" s="1138"/>
      <c r="DX66" s="1138"/>
      <c r="DY66" s="1138"/>
      <c r="DZ66" s="1138"/>
      <c r="EA66" s="1138"/>
      <c r="EB66" s="1138"/>
      <c r="EC66" s="1138"/>
      <c r="ED66" s="1138"/>
      <c r="EE66" s="1138"/>
      <c r="EF66" s="1138"/>
      <c r="EG66" s="1138"/>
      <c r="EH66" s="1138"/>
      <c r="EI66" s="1138"/>
      <c r="EJ66" s="1138"/>
      <c r="EK66" s="1138"/>
      <c r="EL66" s="1138"/>
      <c r="EM66" s="1138"/>
      <c r="EN66" s="1138"/>
      <c r="EO66" s="1138"/>
      <c r="EP66" s="1138"/>
      <c r="EQ66" s="1138"/>
      <c r="ER66" s="1138"/>
      <c r="ES66" s="1138"/>
      <c r="ET66" s="1138"/>
      <c r="EU66" s="1138"/>
      <c r="EV66" s="1138"/>
      <c r="EW66" s="1138"/>
      <c r="EX66" s="1138"/>
      <c r="EY66" s="1138"/>
      <c r="EZ66" s="1138"/>
      <c r="FA66" s="1138"/>
      <c r="FB66" s="1138"/>
      <c r="FC66" s="1138"/>
      <c r="FD66" s="1138"/>
      <c r="FE66" s="1138"/>
      <c r="FF66" s="1138"/>
      <c r="FG66" s="1138"/>
      <c r="FH66" s="1138"/>
      <c r="FI66" s="1138"/>
      <c r="FJ66" s="1138"/>
      <c r="FK66" s="1138"/>
      <c r="FL66" s="1138"/>
      <c r="FM66" s="1138"/>
      <c r="FN66" s="1138"/>
      <c r="FO66" s="1138"/>
      <c r="FP66" s="1138"/>
      <c r="FQ66" s="1138"/>
      <c r="FR66" s="1138"/>
      <c r="FS66" s="1138"/>
      <c r="FT66" s="1138"/>
      <c r="FU66" s="1138"/>
      <c r="FV66" s="1138"/>
      <c r="FW66" s="1138"/>
      <c r="FX66" s="1138"/>
      <c r="FY66" s="1138"/>
      <c r="FZ66" s="1138"/>
      <c r="GA66" s="1138"/>
      <c r="GB66" s="1138"/>
      <c r="GC66" s="1138"/>
      <c r="GD66" s="1138"/>
      <c r="GE66" s="1138"/>
      <c r="GF66" s="1138"/>
      <c r="GG66" s="1138"/>
      <c r="GH66" s="1138"/>
      <c r="GI66" s="1138"/>
      <c r="GJ66" s="1138"/>
      <c r="GK66" s="1138"/>
      <c r="GL66" s="1138"/>
      <c r="GM66" s="1138"/>
      <c r="GN66" s="1138"/>
      <c r="GO66" s="1138"/>
      <c r="GP66" s="1138"/>
      <c r="GQ66" s="1138"/>
      <c r="GR66" s="1138"/>
      <c r="GS66" s="1138"/>
      <c r="GT66" s="1138"/>
      <c r="GU66" s="1138"/>
      <c r="GV66" s="1138"/>
      <c r="GW66" s="1138"/>
      <c r="GX66" s="1138"/>
      <c r="GY66" s="1138"/>
      <c r="GZ66" s="1138"/>
      <c r="HA66" s="1138"/>
      <c r="HB66" s="1138"/>
      <c r="HC66" s="1138"/>
      <c r="HD66" s="1138"/>
      <c r="HE66" s="1138"/>
      <c r="HF66" s="1138"/>
      <c r="HG66" s="1138"/>
      <c r="HH66" s="1138"/>
      <c r="HI66" s="1138"/>
      <c r="HJ66" s="1138"/>
      <c r="HK66" s="1138"/>
      <c r="HL66" s="1138"/>
      <c r="HM66" s="1138"/>
      <c r="HN66" s="1138"/>
      <c r="HO66" s="1138"/>
      <c r="HP66" s="1138"/>
      <c r="HQ66" s="1138"/>
      <c r="HR66" s="1138"/>
      <c r="HS66" s="1138"/>
      <c r="HT66" s="1138"/>
      <c r="HU66" s="1138"/>
      <c r="HV66" s="1138"/>
      <c r="HW66" s="1138"/>
      <c r="HX66" s="1138"/>
      <c r="HY66" s="1138"/>
    </row>
    <row r="67" spans="1:233" s="1140" customFormat="1" ht="15.95" customHeight="1">
      <c r="A67" s="617"/>
      <c r="B67" s="850" t="s">
        <v>62</v>
      </c>
      <c r="C67" s="1961" t="s">
        <v>61</v>
      </c>
      <c r="D67" s="1961"/>
      <c r="E67" s="734"/>
      <c r="F67" s="734">
        <f>SUM(F68:F69)</f>
        <v>0</v>
      </c>
      <c r="G67" s="734">
        <f>SUM(G68:G69)</f>
        <v>0</v>
      </c>
      <c r="H67" s="734">
        <f t="shared" ref="H67:O67" si="8">SUM(H68:H69)</f>
        <v>0</v>
      </c>
      <c r="I67" s="734">
        <f t="shared" si="8"/>
        <v>0</v>
      </c>
      <c r="J67" s="734">
        <f>SUM(J68:J69)</f>
        <v>0</v>
      </c>
      <c r="K67" s="734">
        <f t="shared" si="8"/>
        <v>0</v>
      </c>
      <c r="L67" s="734">
        <f t="shared" si="8"/>
        <v>0</v>
      </c>
      <c r="M67" s="734">
        <f t="shared" si="8"/>
        <v>0</v>
      </c>
      <c r="N67" s="734">
        <f t="shared" si="8"/>
        <v>0</v>
      </c>
      <c r="O67" s="734">
        <f t="shared" si="8"/>
        <v>0</v>
      </c>
      <c r="P67" s="734">
        <f>SUM(P68:P69)</f>
        <v>0</v>
      </c>
      <c r="Q67" s="1129"/>
      <c r="R67" s="1129"/>
      <c r="S67" s="1129"/>
      <c r="T67" s="1129"/>
      <c r="U67" s="1129"/>
      <c r="V67" s="1129"/>
      <c r="W67" s="1129"/>
      <c r="X67" s="1129"/>
      <c r="Y67" s="1129"/>
      <c r="Z67" s="1129"/>
      <c r="AA67" s="1129"/>
      <c r="AB67" s="1129"/>
      <c r="AC67" s="1129"/>
      <c r="AD67" s="1129"/>
      <c r="AE67" s="1129"/>
      <c r="AF67" s="1129"/>
      <c r="AG67" s="1129"/>
      <c r="AH67" s="1129"/>
      <c r="AI67" s="1129"/>
      <c r="AJ67" s="1129"/>
      <c r="AK67" s="1129"/>
      <c r="AL67" s="1129"/>
      <c r="AM67" s="1129"/>
      <c r="AN67" s="1129"/>
      <c r="AO67" s="1129"/>
      <c r="AP67" s="1129"/>
      <c r="AQ67" s="1129"/>
      <c r="AR67" s="1129"/>
      <c r="AS67" s="1129"/>
      <c r="AT67" s="1129"/>
      <c r="AU67" s="1129"/>
      <c r="AV67" s="1129"/>
      <c r="AW67" s="1129"/>
      <c r="AX67" s="1129"/>
      <c r="AY67" s="1129"/>
      <c r="AZ67" s="1129"/>
      <c r="BA67" s="1129"/>
      <c r="BB67" s="1129"/>
      <c r="BC67" s="1129"/>
      <c r="BD67" s="1129"/>
      <c r="BE67" s="1129"/>
      <c r="BF67" s="1129"/>
      <c r="BG67" s="1129"/>
      <c r="BH67" s="1129"/>
      <c r="BI67" s="1129"/>
      <c r="BJ67" s="1129"/>
      <c r="BK67" s="1129"/>
      <c r="BL67" s="1129"/>
      <c r="BM67" s="1129"/>
      <c r="BN67" s="1129"/>
      <c r="BO67" s="1129"/>
      <c r="BP67" s="1129"/>
      <c r="BQ67" s="1129"/>
      <c r="BR67" s="1129"/>
      <c r="BS67" s="1129"/>
      <c r="BT67" s="1129"/>
      <c r="BU67" s="1129"/>
      <c r="BV67" s="1129"/>
      <c r="BW67" s="1129"/>
      <c r="BX67" s="1129"/>
      <c r="BY67" s="1129"/>
      <c r="BZ67" s="1129"/>
      <c r="CA67" s="1129"/>
      <c r="CB67" s="1129"/>
      <c r="CC67" s="1129"/>
      <c r="CD67" s="1129"/>
      <c r="CE67" s="1129"/>
      <c r="CF67" s="1129"/>
      <c r="CG67" s="1129"/>
      <c r="CH67" s="1129"/>
      <c r="CI67" s="1129"/>
      <c r="CJ67" s="1129"/>
      <c r="CK67" s="1129"/>
      <c r="CL67" s="1129"/>
      <c r="CM67" s="1129"/>
      <c r="CN67" s="1129"/>
      <c r="CO67" s="1129"/>
      <c r="CP67" s="1129"/>
      <c r="CQ67" s="1129"/>
      <c r="CR67" s="1129"/>
      <c r="CS67" s="1129"/>
      <c r="CT67" s="1129"/>
      <c r="CU67" s="1129"/>
      <c r="CV67" s="1129"/>
      <c r="CW67" s="1129"/>
      <c r="CX67" s="1129"/>
      <c r="CY67" s="1129"/>
      <c r="CZ67" s="1129"/>
      <c r="DA67" s="1129"/>
      <c r="DB67" s="1129"/>
      <c r="DC67" s="1129"/>
      <c r="DD67" s="1129"/>
      <c r="DE67" s="1129"/>
      <c r="DF67" s="1129"/>
      <c r="DG67" s="1129"/>
      <c r="DH67" s="1129"/>
      <c r="DI67" s="1129"/>
      <c r="DJ67" s="1129"/>
      <c r="DK67" s="1129"/>
      <c r="DL67" s="1129"/>
      <c r="DM67" s="1129"/>
      <c r="DN67" s="1129"/>
      <c r="DO67" s="1129"/>
      <c r="DP67" s="1129"/>
      <c r="DQ67" s="1129"/>
      <c r="DR67" s="1129"/>
      <c r="DS67" s="1129"/>
      <c r="DT67" s="1129"/>
      <c r="DU67" s="1129"/>
      <c r="DV67" s="1129"/>
      <c r="DW67" s="1129"/>
      <c r="DX67" s="1129"/>
      <c r="DY67" s="1129"/>
      <c r="DZ67" s="1129"/>
      <c r="EA67" s="1129"/>
      <c r="EB67" s="1129"/>
      <c r="EC67" s="1129"/>
      <c r="ED67" s="1129"/>
      <c r="EE67" s="1129"/>
      <c r="EF67" s="1129"/>
      <c r="EG67" s="1129"/>
      <c r="EH67" s="1129"/>
      <c r="EI67" s="1129"/>
      <c r="EJ67" s="1129"/>
      <c r="EK67" s="1129"/>
      <c r="EL67" s="1129"/>
      <c r="EM67" s="1129"/>
      <c r="EN67" s="1129"/>
      <c r="EO67" s="1129"/>
      <c r="EP67" s="1129"/>
      <c r="EQ67" s="1129"/>
      <c r="ER67" s="1129"/>
      <c r="ES67" s="1129"/>
      <c r="ET67" s="1129"/>
      <c r="EU67" s="1129"/>
      <c r="EV67" s="1129"/>
      <c r="EW67" s="1129"/>
      <c r="EX67" s="1129"/>
      <c r="EY67" s="1129"/>
      <c r="EZ67" s="1129"/>
      <c r="FA67" s="1129"/>
      <c r="FB67" s="1129"/>
      <c r="FC67" s="1129"/>
      <c r="FD67" s="1129"/>
      <c r="FE67" s="1129"/>
      <c r="FF67" s="1129"/>
      <c r="FG67" s="1129"/>
      <c r="FH67" s="1129"/>
      <c r="FI67" s="1129"/>
      <c r="FJ67" s="1129"/>
      <c r="FK67" s="1129"/>
      <c r="FL67" s="1129"/>
      <c r="FM67" s="1129"/>
      <c r="FN67" s="1129"/>
      <c r="FO67" s="1129"/>
      <c r="FP67" s="1129"/>
      <c r="FQ67" s="1129"/>
      <c r="FR67" s="1129"/>
      <c r="FS67" s="1129"/>
      <c r="FT67" s="1129"/>
      <c r="FU67" s="1129"/>
      <c r="FV67" s="1129"/>
      <c r="FW67" s="1129"/>
      <c r="FX67" s="1129"/>
      <c r="FY67" s="1129"/>
      <c r="FZ67" s="1129"/>
      <c r="GA67" s="1129"/>
      <c r="GB67" s="1129"/>
      <c r="GC67" s="1129"/>
      <c r="GD67" s="1129"/>
      <c r="GE67" s="1129"/>
      <c r="GF67" s="1129"/>
      <c r="GG67" s="1129"/>
      <c r="GH67" s="1129"/>
      <c r="GI67" s="1129"/>
      <c r="GJ67" s="1129"/>
      <c r="GK67" s="1129"/>
      <c r="GL67" s="1129"/>
      <c r="GM67" s="1129"/>
      <c r="GN67" s="1129"/>
      <c r="GO67" s="1129"/>
      <c r="GP67" s="1129"/>
      <c r="GQ67" s="1129"/>
      <c r="GR67" s="1129"/>
      <c r="GS67" s="1129"/>
      <c r="GT67" s="1129"/>
      <c r="GU67" s="1129"/>
      <c r="GV67" s="1129"/>
      <c r="GW67" s="1129"/>
      <c r="GX67" s="1129"/>
      <c r="GY67" s="1129"/>
      <c r="GZ67" s="1129"/>
      <c r="HA67" s="1129"/>
      <c r="HB67" s="1129"/>
      <c r="HC67" s="1129"/>
      <c r="HD67" s="1129"/>
      <c r="HE67" s="1129"/>
      <c r="HF67" s="1129"/>
      <c r="HG67" s="1129"/>
      <c r="HH67" s="1129"/>
      <c r="HI67" s="1129"/>
      <c r="HJ67" s="1129"/>
      <c r="HK67" s="1129"/>
      <c r="HL67" s="1129"/>
      <c r="HM67" s="1129"/>
      <c r="HN67" s="1129"/>
      <c r="HO67" s="1129"/>
      <c r="HP67" s="1129"/>
      <c r="HQ67" s="1129"/>
      <c r="HR67" s="1129"/>
      <c r="HS67" s="1129"/>
      <c r="HT67" s="1129"/>
      <c r="HU67" s="1129"/>
      <c r="HV67" s="1129"/>
      <c r="HW67" s="1129"/>
      <c r="HX67" s="1129"/>
      <c r="HY67" s="1129"/>
    </row>
    <row r="68" spans="1:233" s="617" customFormat="1" ht="15.95" customHeight="1">
      <c r="B68" s="849"/>
      <c r="C68" s="1798" t="s">
        <v>13</v>
      </c>
      <c r="D68" s="1798"/>
      <c r="E68" s="734"/>
      <c r="F68" s="709">
        <f t="shared" ref="F68:O68" si="9">F27*$D$99</f>
        <v>0</v>
      </c>
      <c r="G68" s="709">
        <f t="shared" si="9"/>
        <v>0</v>
      </c>
      <c r="H68" s="709">
        <f t="shared" si="9"/>
        <v>0</v>
      </c>
      <c r="I68" s="709">
        <f t="shared" si="9"/>
        <v>0</v>
      </c>
      <c r="J68" s="709">
        <f t="shared" si="9"/>
        <v>0</v>
      </c>
      <c r="K68" s="709">
        <f t="shared" si="9"/>
        <v>0</v>
      </c>
      <c r="L68" s="709">
        <f t="shared" si="9"/>
        <v>0</v>
      </c>
      <c r="M68" s="709">
        <f t="shared" si="9"/>
        <v>0</v>
      </c>
      <c r="N68" s="709">
        <f t="shared" si="9"/>
        <v>0</v>
      </c>
      <c r="O68" s="709">
        <f t="shared" si="9"/>
        <v>0</v>
      </c>
      <c r="P68" s="734">
        <f>SUM(E68:O68)</f>
        <v>0</v>
      </c>
      <c r="Q68" s="773"/>
      <c r="R68" s="773"/>
      <c r="S68" s="773"/>
      <c r="T68" s="773"/>
      <c r="U68" s="773"/>
      <c r="V68" s="773"/>
      <c r="W68" s="773"/>
      <c r="X68" s="773"/>
      <c r="Y68" s="773"/>
      <c r="Z68" s="773"/>
      <c r="AA68" s="773"/>
      <c r="AB68" s="773"/>
      <c r="AC68" s="773"/>
      <c r="AD68" s="773"/>
      <c r="AE68" s="773"/>
      <c r="AF68" s="773"/>
      <c r="AG68" s="773"/>
      <c r="AH68" s="773"/>
      <c r="AI68" s="773"/>
      <c r="AJ68" s="773"/>
      <c r="AK68" s="773"/>
      <c r="AL68" s="773"/>
      <c r="AM68" s="773"/>
      <c r="AN68" s="773"/>
      <c r="AO68" s="773"/>
      <c r="AP68" s="773"/>
      <c r="AQ68" s="773"/>
      <c r="AR68" s="773"/>
      <c r="AS68" s="773"/>
      <c r="AT68" s="773"/>
      <c r="AU68" s="773"/>
      <c r="AV68" s="773"/>
      <c r="AW68" s="773"/>
      <c r="AX68" s="773"/>
      <c r="AY68" s="773"/>
      <c r="AZ68" s="773"/>
      <c r="BA68" s="773"/>
      <c r="BB68" s="773"/>
      <c r="BC68" s="773"/>
      <c r="BD68" s="773"/>
      <c r="BE68" s="773"/>
      <c r="BF68" s="773"/>
      <c r="BG68" s="773"/>
      <c r="BH68" s="773"/>
      <c r="BI68" s="773"/>
      <c r="BJ68" s="773"/>
      <c r="BK68" s="773"/>
      <c r="BL68" s="773"/>
      <c r="BM68" s="773"/>
      <c r="BN68" s="773"/>
      <c r="BO68" s="773"/>
      <c r="BP68" s="773"/>
      <c r="BQ68" s="773"/>
      <c r="BR68" s="773"/>
      <c r="BS68" s="773"/>
      <c r="BT68" s="773"/>
      <c r="BU68" s="773"/>
      <c r="BV68" s="773"/>
      <c r="BW68" s="773"/>
      <c r="BX68" s="773"/>
      <c r="BY68" s="773"/>
      <c r="BZ68" s="773"/>
      <c r="CA68" s="773"/>
      <c r="CB68" s="773"/>
      <c r="CC68" s="773"/>
      <c r="CD68" s="773"/>
      <c r="CE68" s="773"/>
      <c r="CF68" s="773"/>
      <c r="CG68" s="773"/>
      <c r="CH68" s="773"/>
      <c r="CI68" s="773"/>
      <c r="CJ68" s="773"/>
      <c r="CK68" s="773"/>
      <c r="CL68" s="773"/>
      <c r="CM68" s="773"/>
      <c r="CN68" s="773"/>
      <c r="CO68" s="773"/>
      <c r="CP68" s="773"/>
      <c r="CQ68" s="773"/>
      <c r="CR68" s="773"/>
      <c r="CS68" s="773"/>
      <c r="CT68" s="773"/>
      <c r="CU68" s="773"/>
      <c r="CV68" s="773"/>
      <c r="CW68" s="773"/>
      <c r="CX68" s="773"/>
      <c r="CY68" s="773"/>
      <c r="CZ68" s="773"/>
      <c r="DA68" s="773"/>
      <c r="DB68" s="773"/>
      <c r="DC68" s="773"/>
      <c r="DD68" s="773"/>
      <c r="DE68" s="773"/>
      <c r="DF68" s="773"/>
      <c r="DG68" s="773"/>
      <c r="DH68" s="773"/>
      <c r="DI68" s="773"/>
      <c r="DJ68" s="773"/>
      <c r="DK68" s="773"/>
      <c r="DL68" s="773"/>
      <c r="DM68" s="773"/>
      <c r="DN68" s="773"/>
      <c r="DO68" s="773"/>
      <c r="DP68" s="773"/>
      <c r="DQ68" s="773"/>
      <c r="DR68" s="773"/>
      <c r="DS68" s="773"/>
      <c r="DT68" s="773"/>
      <c r="DU68" s="773"/>
      <c r="DV68" s="773"/>
      <c r="DW68" s="773"/>
      <c r="DX68" s="773"/>
      <c r="DY68" s="773"/>
      <c r="DZ68" s="773"/>
      <c r="EA68" s="773"/>
      <c r="EB68" s="773"/>
      <c r="EC68" s="773"/>
      <c r="ED68" s="773"/>
      <c r="EE68" s="773"/>
      <c r="EF68" s="773"/>
      <c r="EG68" s="773"/>
      <c r="EH68" s="773"/>
      <c r="EI68" s="773"/>
      <c r="EJ68" s="773"/>
      <c r="EK68" s="773"/>
      <c r="EL68" s="773"/>
      <c r="EM68" s="773"/>
      <c r="EN68" s="773"/>
      <c r="EO68" s="773"/>
      <c r="EP68" s="773"/>
      <c r="EQ68" s="773"/>
      <c r="ER68" s="773"/>
      <c r="ES68" s="773"/>
      <c r="ET68" s="773"/>
      <c r="EU68" s="773"/>
      <c r="EV68" s="773"/>
      <c r="EW68" s="773"/>
      <c r="EX68" s="773"/>
      <c r="EY68" s="773"/>
      <c r="EZ68" s="773"/>
      <c r="FA68" s="773"/>
      <c r="FB68" s="773"/>
      <c r="FC68" s="773"/>
      <c r="FD68" s="773"/>
      <c r="FE68" s="773"/>
      <c r="FF68" s="773"/>
      <c r="FG68" s="773"/>
      <c r="FH68" s="773"/>
      <c r="FI68" s="773"/>
      <c r="FJ68" s="773"/>
      <c r="FK68" s="773"/>
      <c r="FL68" s="773"/>
      <c r="FM68" s="773"/>
      <c r="FN68" s="773"/>
      <c r="FO68" s="773"/>
      <c r="FP68" s="773"/>
      <c r="FQ68" s="773"/>
      <c r="FR68" s="773"/>
      <c r="FS68" s="773"/>
      <c r="FT68" s="773"/>
      <c r="FU68" s="773"/>
      <c r="FV68" s="773"/>
      <c r="FW68" s="773"/>
      <c r="FX68" s="773"/>
      <c r="FY68" s="773"/>
      <c r="FZ68" s="773"/>
      <c r="GA68" s="773"/>
      <c r="GB68" s="773"/>
      <c r="GC68" s="773"/>
      <c r="GD68" s="773"/>
      <c r="GE68" s="773"/>
      <c r="GF68" s="773"/>
      <c r="GG68" s="773"/>
      <c r="GH68" s="773"/>
      <c r="GI68" s="773"/>
      <c r="GJ68" s="773"/>
      <c r="GK68" s="773"/>
      <c r="GL68" s="773"/>
      <c r="GM68" s="773"/>
      <c r="GN68" s="773"/>
      <c r="GO68" s="773"/>
      <c r="GP68" s="773"/>
      <c r="GQ68" s="773"/>
      <c r="GR68" s="773"/>
      <c r="GS68" s="773"/>
      <c r="GT68" s="773"/>
      <c r="GU68" s="773"/>
      <c r="GV68" s="773"/>
      <c r="GW68" s="773"/>
      <c r="GX68" s="773"/>
      <c r="GY68" s="773"/>
      <c r="GZ68" s="773"/>
      <c r="HA68" s="773"/>
      <c r="HB68" s="773"/>
      <c r="HC68" s="773"/>
      <c r="HD68" s="773"/>
      <c r="HE68" s="773"/>
      <c r="HF68" s="773"/>
      <c r="HG68" s="773"/>
      <c r="HH68" s="773"/>
      <c r="HI68" s="773"/>
      <c r="HJ68" s="773"/>
      <c r="HK68" s="773"/>
      <c r="HL68" s="773"/>
      <c r="HM68" s="773"/>
      <c r="HN68" s="773"/>
      <c r="HO68" s="773"/>
      <c r="HP68" s="773"/>
      <c r="HQ68" s="773"/>
      <c r="HR68" s="773"/>
      <c r="HS68" s="773"/>
      <c r="HT68" s="773"/>
      <c r="HU68" s="773"/>
      <c r="HV68" s="773"/>
      <c r="HW68" s="773"/>
      <c r="HX68" s="773"/>
      <c r="HY68" s="773"/>
    </row>
    <row r="69" spans="1:233" s="617" customFormat="1" ht="15.95" customHeight="1">
      <c r="B69" s="849"/>
      <c r="C69" s="1798" t="s">
        <v>24</v>
      </c>
      <c r="D69" s="1798"/>
      <c r="E69" s="734"/>
      <c r="F69" s="709">
        <f t="shared" ref="F69:O69" si="10">F28*$D$99</f>
        <v>0</v>
      </c>
      <c r="G69" s="709">
        <f t="shared" si="10"/>
        <v>0</v>
      </c>
      <c r="H69" s="709">
        <f t="shared" si="10"/>
        <v>0</v>
      </c>
      <c r="I69" s="709">
        <f t="shared" si="10"/>
        <v>0</v>
      </c>
      <c r="J69" s="709">
        <f t="shared" si="10"/>
        <v>0</v>
      </c>
      <c r="K69" s="709">
        <f t="shared" si="10"/>
        <v>0</v>
      </c>
      <c r="L69" s="709">
        <f t="shared" si="10"/>
        <v>0</v>
      </c>
      <c r="M69" s="709">
        <f t="shared" si="10"/>
        <v>0</v>
      </c>
      <c r="N69" s="709">
        <f t="shared" si="10"/>
        <v>0</v>
      </c>
      <c r="O69" s="709">
        <f t="shared" si="10"/>
        <v>0</v>
      </c>
      <c r="P69" s="734">
        <f>SUM(E69:O69)</f>
        <v>0</v>
      </c>
      <c r="Q69" s="773"/>
      <c r="R69" s="773"/>
      <c r="S69" s="773"/>
      <c r="T69" s="773"/>
      <c r="U69" s="773"/>
      <c r="V69" s="773"/>
      <c r="W69" s="773"/>
      <c r="X69" s="773"/>
      <c r="Y69" s="773"/>
      <c r="Z69" s="773"/>
      <c r="AA69" s="773"/>
      <c r="AB69" s="773"/>
      <c r="AC69" s="773"/>
      <c r="AD69" s="773"/>
      <c r="AE69" s="773"/>
      <c r="AF69" s="773"/>
      <c r="AG69" s="773"/>
      <c r="AH69" s="773"/>
      <c r="AI69" s="773"/>
      <c r="AJ69" s="773"/>
      <c r="AK69" s="773"/>
      <c r="AL69" s="773"/>
      <c r="AM69" s="773"/>
      <c r="AN69" s="773"/>
      <c r="AO69" s="773"/>
      <c r="AP69" s="773"/>
      <c r="AQ69" s="773"/>
      <c r="AR69" s="773"/>
      <c r="AS69" s="773"/>
      <c r="AT69" s="773"/>
      <c r="AU69" s="773"/>
      <c r="AV69" s="773"/>
      <c r="AW69" s="773"/>
      <c r="AX69" s="773"/>
      <c r="AY69" s="773"/>
      <c r="AZ69" s="773"/>
      <c r="BA69" s="773"/>
      <c r="BB69" s="773"/>
      <c r="BC69" s="773"/>
      <c r="BD69" s="773"/>
      <c r="BE69" s="773"/>
      <c r="BF69" s="773"/>
      <c r="BG69" s="773"/>
      <c r="BH69" s="773"/>
      <c r="BI69" s="773"/>
      <c r="BJ69" s="773"/>
      <c r="BK69" s="773"/>
      <c r="BL69" s="773"/>
      <c r="BM69" s="773"/>
      <c r="BN69" s="773"/>
      <c r="BO69" s="773"/>
      <c r="BP69" s="773"/>
      <c r="BQ69" s="773"/>
      <c r="BR69" s="773"/>
      <c r="BS69" s="773"/>
      <c r="BT69" s="773"/>
      <c r="BU69" s="773"/>
      <c r="BV69" s="773"/>
      <c r="BW69" s="773"/>
      <c r="BX69" s="773"/>
      <c r="BY69" s="773"/>
      <c r="BZ69" s="773"/>
      <c r="CA69" s="773"/>
      <c r="CB69" s="773"/>
      <c r="CC69" s="773"/>
      <c r="CD69" s="773"/>
      <c r="CE69" s="773"/>
      <c r="CF69" s="773"/>
      <c r="CG69" s="773"/>
      <c r="CH69" s="773"/>
      <c r="CI69" s="773"/>
      <c r="CJ69" s="773"/>
      <c r="CK69" s="773"/>
      <c r="CL69" s="773"/>
      <c r="CM69" s="773"/>
      <c r="CN69" s="773"/>
      <c r="CO69" s="773"/>
      <c r="CP69" s="773"/>
      <c r="CQ69" s="773"/>
      <c r="CR69" s="773"/>
      <c r="CS69" s="773"/>
      <c r="CT69" s="773"/>
      <c r="CU69" s="773"/>
      <c r="CV69" s="773"/>
      <c r="CW69" s="773"/>
      <c r="CX69" s="773"/>
      <c r="CY69" s="773"/>
      <c r="CZ69" s="773"/>
      <c r="DA69" s="773"/>
      <c r="DB69" s="773"/>
      <c r="DC69" s="773"/>
      <c r="DD69" s="773"/>
      <c r="DE69" s="773"/>
      <c r="DF69" s="773"/>
      <c r="DG69" s="773"/>
      <c r="DH69" s="773"/>
      <c r="DI69" s="773"/>
      <c r="DJ69" s="773"/>
      <c r="DK69" s="773"/>
      <c r="DL69" s="773"/>
      <c r="DM69" s="773"/>
      <c r="DN69" s="773"/>
      <c r="DO69" s="773"/>
      <c r="DP69" s="773"/>
      <c r="DQ69" s="773"/>
      <c r="DR69" s="773"/>
      <c r="DS69" s="773"/>
      <c r="DT69" s="773"/>
      <c r="DU69" s="773"/>
      <c r="DV69" s="773"/>
      <c r="DW69" s="773"/>
      <c r="DX69" s="773"/>
      <c r="DY69" s="773"/>
      <c r="DZ69" s="773"/>
      <c r="EA69" s="773"/>
      <c r="EB69" s="773"/>
      <c r="EC69" s="773"/>
      <c r="ED69" s="773"/>
      <c r="EE69" s="773"/>
      <c r="EF69" s="773"/>
      <c r="EG69" s="773"/>
      <c r="EH69" s="773"/>
      <c r="EI69" s="773"/>
      <c r="EJ69" s="773"/>
      <c r="EK69" s="773"/>
      <c r="EL69" s="773"/>
      <c r="EM69" s="773"/>
      <c r="EN69" s="773"/>
      <c r="EO69" s="773"/>
      <c r="EP69" s="773"/>
      <c r="EQ69" s="773"/>
      <c r="ER69" s="773"/>
      <c r="ES69" s="773"/>
      <c r="ET69" s="773"/>
      <c r="EU69" s="773"/>
      <c r="EV69" s="773"/>
      <c r="EW69" s="773"/>
      <c r="EX69" s="773"/>
      <c r="EY69" s="773"/>
      <c r="EZ69" s="773"/>
      <c r="FA69" s="773"/>
      <c r="FB69" s="773"/>
      <c r="FC69" s="773"/>
      <c r="FD69" s="773"/>
      <c r="FE69" s="773"/>
      <c r="FF69" s="773"/>
      <c r="FG69" s="773"/>
      <c r="FH69" s="773"/>
      <c r="FI69" s="773"/>
      <c r="FJ69" s="773"/>
      <c r="FK69" s="773"/>
      <c r="FL69" s="773"/>
      <c r="FM69" s="773"/>
      <c r="FN69" s="773"/>
      <c r="FO69" s="773"/>
      <c r="FP69" s="773"/>
      <c r="FQ69" s="773"/>
      <c r="FR69" s="773"/>
      <c r="FS69" s="773"/>
      <c r="FT69" s="773"/>
      <c r="FU69" s="773"/>
      <c r="FV69" s="773"/>
      <c r="FW69" s="773"/>
      <c r="FX69" s="773"/>
      <c r="FY69" s="773"/>
      <c r="FZ69" s="773"/>
      <c r="GA69" s="773"/>
      <c r="GB69" s="773"/>
      <c r="GC69" s="773"/>
      <c r="GD69" s="773"/>
      <c r="GE69" s="773"/>
      <c r="GF69" s="773"/>
      <c r="GG69" s="773"/>
      <c r="GH69" s="773"/>
      <c r="GI69" s="773"/>
      <c r="GJ69" s="773"/>
      <c r="GK69" s="773"/>
      <c r="GL69" s="773"/>
      <c r="GM69" s="773"/>
      <c r="GN69" s="773"/>
      <c r="GO69" s="773"/>
      <c r="GP69" s="773"/>
      <c r="GQ69" s="773"/>
      <c r="GR69" s="773"/>
      <c r="GS69" s="773"/>
      <c r="GT69" s="773"/>
      <c r="GU69" s="773"/>
      <c r="GV69" s="773"/>
      <c r="GW69" s="773"/>
      <c r="GX69" s="773"/>
      <c r="GY69" s="773"/>
      <c r="GZ69" s="773"/>
      <c r="HA69" s="773"/>
      <c r="HB69" s="773"/>
      <c r="HC69" s="773"/>
      <c r="HD69" s="773"/>
      <c r="HE69" s="773"/>
      <c r="HF69" s="773"/>
      <c r="HG69" s="773"/>
      <c r="HH69" s="773"/>
      <c r="HI69" s="773"/>
      <c r="HJ69" s="773"/>
      <c r="HK69" s="773"/>
      <c r="HL69" s="773"/>
      <c r="HM69" s="773"/>
      <c r="HN69" s="773"/>
      <c r="HO69" s="773"/>
      <c r="HP69" s="773"/>
      <c r="HQ69" s="773"/>
      <c r="HR69" s="773"/>
      <c r="HS69" s="773"/>
      <c r="HT69" s="773"/>
      <c r="HU69" s="773"/>
      <c r="HV69" s="773"/>
      <c r="HW69" s="773"/>
      <c r="HX69" s="773"/>
      <c r="HY69" s="773"/>
    </row>
    <row r="70" spans="1:233" s="617" customFormat="1" ht="15.95" customHeight="1">
      <c r="B70" s="850" t="s">
        <v>64</v>
      </c>
      <c r="C70" s="1961" t="s">
        <v>63</v>
      </c>
      <c r="D70" s="1961"/>
      <c r="E70" s="734"/>
      <c r="F70" s="734">
        <f>+F65+F66+F67</f>
        <v>0</v>
      </c>
      <c r="G70" s="734">
        <f>+G65+G66+G67</f>
        <v>0</v>
      </c>
      <c r="H70" s="734">
        <f t="shared" ref="H70:O70" si="11">+H65+H66+H67</f>
        <v>0</v>
      </c>
      <c r="I70" s="734">
        <f t="shared" si="11"/>
        <v>0</v>
      </c>
      <c r="J70" s="734">
        <f t="shared" si="11"/>
        <v>0</v>
      </c>
      <c r="K70" s="734">
        <f t="shared" si="11"/>
        <v>0</v>
      </c>
      <c r="L70" s="734">
        <f t="shared" si="11"/>
        <v>0</v>
      </c>
      <c r="M70" s="734">
        <f t="shared" si="11"/>
        <v>0</v>
      </c>
      <c r="N70" s="734">
        <f t="shared" si="11"/>
        <v>0</v>
      </c>
      <c r="O70" s="734">
        <f t="shared" si="11"/>
        <v>0</v>
      </c>
      <c r="P70" s="734">
        <f>+P65+P66+P67</f>
        <v>0</v>
      </c>
      <c r="Q70" s="773"/>
      <c r="R70" s="773"/>
      <c r="S70" s="773"/>
      <c r="T70" s="773"/>
      <c r="U70" s="773"/>
      <c r="V70" s="773"/>
      <c r="W70" s="773"/>
      <c r="X70" s="773"/>
      <c r="Y70" s="773"/>
      <c r="Z70" s="773"/>
      <c r="AA70" s="773"/>
      <c r="AB70" s="773"/>
      <c r="AC70" s="773"/>
      <c r="AD70" s="773"/>
      <c r="AE70" s="773"/>
      <c r="AF70" s="773"/>
      <c r="AG70" s="773"/>
      <c r="AH70" s="773"/>
      <c r="AI70" s="773"/>
      <c r="AJ70" s="773"/>
      <c r="AK70" s="773"/>
      <c r="AL70" s="773"/>
      <c r="AM70" s="773"/>
      <c r="AN70" s="773"/>
      <c r="AO70" s="773"/>
      <c r="AP70" s="773"/>
      <c r="AQ70" s="773"/>
      <c r="AR70" s="773"/>
      <c r="AS70" s="773"/>
      <c r="AT70" s="773"/>
      <c r="AU70" s="773"/>
      <c r="AV70" s="773"/>
      <c r="AW70" s="773"/>
      <c r="AX70" s="773"/>
      <c r="AY70" s="773"/>
      <c r="AZ70" s="773"/>
      <c r="BA70" s="773"/>
      <c r="BB70" s="773"/>
      <c r="BC70" s="773"/>
      <c r="BD70" s="773"/>
      <c r="BE70" s="773"/>
      <c r="BF70" s="773"/>
      <c r="BG70" s="773"/>
      <c r="BH70" s="773"/>
      <c r="BI70" s="773"/>
      <c r="BJ70" s="773"/>
      <c r="BK70" s="773"/>
      <c r="BL70" s="773"/>
      <c r="BM70" s="773"/>
      <c r="BN70" s="773"/>
      <c r="BO70" s="773"/>
      <c r="BP70" s="773"/>
      <c r="BQ70" s="773"/>
      <c r="BR70" s="773"/>
      <c r="BS70" s="773"/>
      <c r="BT70" s="773"/>
      <c r="BU70" s="773"/>
      <c r="BV70" s="773"/>
      <c r="BW70" s="773"/>
      <c r="BX70" s="773"/>
      <c r="BY70" s="773"/>
      <c r="BZ70" s="773"/>
      <c r="CA70" s="773"/>
      <c r="CB70" s="773"/>
      <c r="CC70" s="773"/>
      <c r="CD70" s="773"/>
      <c r="CE70" s="773"/>
      <c r="CF70" s="773"/>
      <c r="CG70" s="773"/>
      <c r="CH70" s="773"/>
      <c r="CI70" s="773"/>
      <c r="CJ70" s="773"/>
      <c r="CK70" s="773"/>
      <c r="CL70" s="773"/>
      <c r="CM70" s="773"/>
      <c r="CN70" s="773"/>
      <c r="CO70" s="773"/>
      <c r="CP70" s="773"/>
      <c r="CQ70" s="773"/>
      <c r="CR70" s="773"/>
      <c r="CS70" s="773"/>
      <c r="CT70" s="773"/>
      <c r="CU70" s="773"/>
      <c r="CV70" s="773"/>
      <c r="CW70" s="773"/>
      <c r="CX70" s="773"/>
      <c r="CY70" s="773"/>
      <c r="CZ70" s="773"/>
      <c r="DA70" s="773"/>
      <c r="DB70" s="773"/>
      <c r="DC70" s="773"/>
      <c r="DD70" s="773"/>
      <c r="DE70" s="773"/>
      <c r="DF70" s="773"/>
      <c r="DG70" s="773"/>
      <c r="DH70" s="773"/>
      <c r="DI70" s="773"/>
      <c r="DJ70" s="773"/>
      <c r="DK70" s="773"/>
      <c r="DL70" s="773"/>
      <c r="DM70" s="773"/>
      <c r="DN70" s="773"/>
      <c r="DO70" s="773"/>
      <c r="DP70" s="773"/>
      <c r="DQ70" s="773"/>
      <c r="DR70" s="773"/>
      <c r="DS70" s="773"/>
      <c r="DT70" s="773"/>
      <c r="DU70" s="773"/>
      <c r="DV70" s="773"/>
      <c r="DW70" s="773"/>
      <c r="DX70" s="773"/>
      <c r="DY70" s="773"/>
      <c r="DZ70" s="773"/>
      <c r="EA70" s="773"/>
      <c r="EB70" s="773"/>
      <c r="EC70" s="773"/>
      <c r="ED70" s="773"/>
      <c r="EE70" s="773"/>
      <c r="EF70" s="773"/>
      <c r="EG70" s="773"/>
      <c r="EH70" s="773"/>
      <c r="EI70" s="773"/>
      <c r="EJ70" s="773"/>
      <c r="EK70" s="773"/>
      <c r="EL70" s="773"/>
      <c r="EM70" s="773"/>
      <c r="EN70" s="773"/>
      <c r="EO70" s="773"/>
      <c r="EP70" s="773"/>
      <c r="EQ70" s="773"/>
      <c r="ER70" s="773"/>
      <c r="ES70" s="773"/>
      <c r="ET70" s="773"/>
      <c r="EU70" s="773"/>
      <c r="EV70" s="773"/>
      <c r="EW70" s="773"/>
      <c r="EX70" s="773"/>
      <c r="EY70" s="773"/>
      <c r="EZ70" s="773"/>
      <c r="FA70" s="773"/>
      <c r="FB70" s="773"/>
      <c r="FC70" s="773"/>
      <c r="FD70" s="773"/>
      <c r="FE70" s="773"/>
      <c r="FF70" s="773"/>
      <c r="FG70" s="773"/>
      <c r="FH70" s="773"/>
      <c r="FI70" s="773"/>
      <c r="FJ70" s="773"/>
      <c r="FK70" s="773"/>
      <c r="FL70" s="773"/>
      <c r="FM70" s="773"/>
      <c r="FN70" s="773"/>
      <c r="FO70" s="773"/>
      <c r="FP70" s="773"/>
      <c r="FQ70" s="773"/>
      <c r="FR70" s="773"/>
      <c r="FS70" s="773"/>
      <c r="FT70" s="773"/>
      <c r="FU70" s="773"/>
      <c r="FV70" s="773"/>
      <c r="FW70" s="773"/>
      <c r="FX70" s="773"/>
      <c r="FY70" s="773"/>
      <c r="FZ70" s="773"/>
      <c r="GA70" s="773"/>
      <c r="GB70" s="773"/>
      <c r="GC70" s="773"/>
      <c r="GD70" s="773"/>
      <c r="GE70" s="773"/>
      <c r="GF70" s="773"/>
      <c r="GG70" s="773"/>
      <c r="GH70" s="773"/>
      <c r="GI70" s="773"/>
      <c r="GJ70" s="773"/>
      <c r="GK70" s="773"/>
      <c r="GL70" s="773"/>
      <c r="GM70" s="773"/>
      <c r="GN70" s="773"/>
      <c r="GO70" s="773"/>
      <c r="GP70" s="773"/>
      <c r="GQ70" s="773"/>
      <c r="GR70" s="773"/>
      <c r="GS70" s="773"/>
      <c r="GT70" s="773"/>
      <c r="GU70" s="773"/>
      <c r="GV70" s="773"/>
      <c r="GW70" s="773"/>
      <c r="GX70" s="773"/>
      <c r="GY70" s="773"/>
      <c r="GZ70" s="773"/>
      <c r="HA70" s="773"/>
      <c r="HB70" s="773"/>
      <c r="HC70" s="773"/>
      <c r="HD70" s="773"/>
      <c r="HE70" s="773"/>
      <c r="HF70" s="773"/>
      <c r="HG70" s="773"/>
      <c r="HH70" s="773"/>
      <c r="HI70" s="773"/>
      <c r="HJ70" s="773"/>
      <c r="HK70" s="773"/>
      <c r="HL70" s="773"/>
      <c r="HM70" s="773"/>
      <c r="HN70" s="773"/>
      <c r="HO70" s="773"/>
      <c r="HP70" s="773"/>
      <c r="HQ70" s="773"/>
      <c r="HR70" s="773"/>
      <c r="HS70" s="773"/>
      <c r="HT70" s="773"/>
      <c r="HU70" s="773"/>
      <c r="HV70" s="773"/>
      <c r="HW70" s="773"/>
      <c r="HX70" s="773"/>
      <c r="HY70" s="773"/>
    </row>
    <row r="71" spans="1:233" s="617" customFormat="1" ht="15.95" customHeight="1">
      <c r="B71" s="850" t="s">
        <v>66</v>
      </c>
      <c r="C71" s="1961" t="s">
        <v>65</v>
      </c>
      <c r="D71" s="1961"/>
      <c r="E71" s="734"/>
      <c r="F71" s="709">
        <f>E80</f>
        <v>0</v>
      </c>
      <c r="G71" s="709">
        <f>+'Costos Alter.'!F80</f>
        <v>0</v>
      </c>
      <c r="H71" s="709">
        <f>+'Costos Alter.'!G80</f>
        <v>0</v>
      </c>
      <c r="I71" s="709">
        <f>+'Costos Alter.'!H80</f>
        <v>0</v>
      </c>
      <c r="J71" s="709">
        <f>+'Costos Alter.'!I80</f>
        <v>0</v>
      </c>
      <c r="K71" s="709">
        <f>+'Costos Alter.'!J80</f>
        <v>0</v>
      </c>
      <c r="L71" s="709">
        <f>+'Costos Alter.'!K80</f>
        <v>0</v>
      </c>
      <c r="M71" s="709">
        <f>+'Costos Alter.'!L80</f>
        <v>0</v>
      </c>
      <c r="N71" s="709">
        <f>+'Costos Alter.'!M80</f>
        <v>0</v>
      </c>
      <c r="O71" s="709">
        <f>+'Costos Alter.'!N80</f>
        <v>0</v>
      </c>
      <c r="P71" s="709">
        <f>SUM(F71:O71)</f>
        <v>0</v>
      </c>
      <c r="Q71" s="773"/>
      <c r="R71" s="773"/>
      <c r="S71" s="773"/>
      <c r="T71" s="773"/>
      <c r="U71" s="773"/>
      <c r="V71" s="773"/>
      <c r="W71" s="773"/>
      <c r="X71" s="773"/>
      <c r="Y71" s="773"/>
      <c r="Z71" s="773"/>
      <c r="AA71" s="773"/>
      <c r="AB71" s="773"/>
      <c r="AC71" s="773"/>
      <c r="AD71" s="773"/>
      <c r="AE71" s="773"/>
      <c r="AF71" s="773"/>
      <c r="AG71" s="773"/>
      <c r="AH71" s="773"/>
      <c r="AI71" s="773"/>
      <c r="AJ71" s="773"/>
      <c r="AK71" s="773"/>
      <c r="AL71" s="773"/>
      <c r="AM71" s="773"/>
      <c r="AN71" s="773"/>
      <c r="AO71" s="773"/>
      <c r="AP71" s="773"/>
      <c r="AQ71" s="773"/>
      <c r="AR71" s="773"/>
      <c r="AS71" s="773"/>
      <c r="AT71" s="773"/>
      <c r="AU71" s="773"/>
      <c r="AV71" s="773"/>
      <c r="AW71" s="773"/>
      <c r="AX71" s="773"/>
      <c r="AY71" s="773"/>
      <c r="AZ71" s="773"/>
      <c r="BA71" s="773"/>
      <c r="BB71" s="773"/>
      <c r="BC71" s="773"/>
      <c r="BD71" s="773"/>
      <c r="BE71" s="773"/>
      <c r="BF71" s="773"/>
      <c r="BG71" s="773"/>
      <c r="BH71" s="773"/>
      <c r="BI71" s="773"/>
      <c r="BJ71" s="773"/>
      <c r="BK71" s="773"/>
      <c r="BL71" s="773"/>
      <c r="BM71" s="773"/>
      <c r="BN71" s="773"/>
      <c r="BO71" s="773"/>
      <c r="BP71" s="773"/>
      <c r="BQ71" s="773"/>
      <c r="BR71" s="773"/>
      <c r="BS71" s="773"/>
      <c r="BT71" s="773"/>
      <c r="BU71" s="773"/>
      <c r="BV71" s="773"/>
      <c r="BW71" s="773"/>
      <c r="BX71" s="773"/>
      <c r="BY71" s="773"/>
      <c r="BZ71" s="773"/>
      <c r="CA71" s="773"/>
      <c r="CB71" s="773"/>
      <c r="CC71" s="773"/>
      <c r="CD71" s="773"/>
      <c r="CE71" s="773"/>
      <c r="CF71" s="773"/>
      <c r="CG71" s="773"/>
      <c r="CH71" s="773"/>
      <c r="CI71" s="773"/>
      <c r="CJ71" s="773"/>
      <c r="CK71" s="773"/>
      <c r="CL71" s="773"/>
      <c r="CM71" s="773"/>
      <c r="CN71" s="773"/>
      <c r="CO71" s="773"/>
      <c r="CP71" s="773"/>
      <c r="CQ71" s="773"/>
      <c r="CR71" s="773"/>
      <c r="CS71" s="773"/>
      <c r="CT71" s="773"/>
      <c r="CU71" s="773"/>
      <c r="CV71" s="773"/>
      <c r="CW71" s="773"/>
      <c r="CX71" s="773"/>
      <c r="CY71" s="773"/>
      <c r="CZ71" s="773"/>
      <c r="DA71" s="773"/>
      <c r="DB71" s="773"/>
      <c r="DC71" s="773"/>
      <c r="DD71" s="773"/>
      <c r="DE71" s="773"/>
      <c r="DF71" s="773"/>
      <c r="DG71" s="773"/>
      <c r="DH71" s="773"/>
      <c r="DI71" s="773"/>
      <c r="DJ71" s="773"/>
      <c r="DK71" s="773"/>
      <c r="DL71" s="773"/>
      <c r="DM71" s="773"/>
      <c r="DN71" s="773"/>
      <c r="DO71" s="773"/>
      <c r="DP71" s="773"/>
      <c r="DQ71" s="773"/>
      <c r="DR71" s="773"/>
      <c r="DS71" s="773"/>
      <c r="DT71" s="773"/>
      <c r="DU71" s="773"/>
      <c r="DV71" s="773"/>
      <c r="DW71" s="773"/>
      <c r="DX71" s="773"/>
      <c r="DY71" s="773"/>
      <c r="DZ71" s="773"/>
      <c r="EA71" s="773"/>
      <c r="EB71" s="773"/>
      <c r="EC71" s="773"/>
      <c r="ED71" s="773"/>
      <c r="EE71" s="773"/>
      <c r="EF71" s="773"/>
      <c r="EG71" s="773"/>
      <c r="EH71" s="773"/>
      <c r="EI71" s="773"/>
      <c r="EJ71" s="773"/>
      <c r="EK71" s="773"/>
      <c r="EL71" s="773"/>
      <c r="EM71" s="773"/>
      <c r="EN71" s="773"/>
      <c r="EO71" s="773"/>
      <c r="EP71" s="773"/>
      <c r="EQ71" s="773"/>
      <c r="ER71" s="773"/>
      <c r="ES71" s="773"/>
      <c r="ET71" s="773"/>
      <c r="EU71" s="773"/>
      <c r="EV71" s="773"/>
      <c r="EW71" s="773"/>
      <c r="EX71" s="773"/>
      <c r="EY71" s="773"/>
      <c r="EZ71" s="773"/>
      <c r="FA71" s="773"/>
      <c r="FB71" s="773"/>
      <c r="FC71" s="773"/>
      <c r="FD71" s="773"/>
      <c r="FE71" s="773"/>
      <c r="FF71" s="773"/>
      <c r="FG71" s="773"/>
      <c r="FH71" s="773"/>
      <c r="FI71" s="773"/>
      <c r="FJ71" s="773"/>
      <c r="FK71" s="773"/>
      <c r="FL71" s="773"/>
      <c r="FM71" s="773"/>
      <c r="FN71" s="773"/>
      <c r="FO71" s="773"/>
      <c r="FP71" s="773"/>
      <c r="FQ71" s="773"/>
      <c r="FR71" s="773"/>
      <c r="FS71" s="773"/>
      <c r="FT71" s="773"/>
      <c r="FU71" s="773"/>
      <c r="FV71" s="773"/>
      <c r="FW71" s="773"/>
      <c r="FX71" s="773"/>
      <c r="FY71" s="773"/>
      <c r="FZ71" s="773"/>
      <c r="GA71" s="773"/>
      <c r="GB71" s="773"/>
      <c r="GC71" s="773"/>
      <c r="GD71" s="773"/>
      <c r="GE71" s="773"/>
      <c r="GF71" s="773"/>
      <c r="GG71" s="773"/>
      <c r="GH71" s="773"/>
      <c r="GI71" s="773"/>
      <c r="GJ71" s="773"/>
      <c r="GK71" s="773"/>
      <c r="GL71" s="773"/>
      <c r="GM71" s="773"/>
      <c r="GN71" s="773"/>
      <c r="GO71" s="773"/>
      <c r="GP71" s="773"/>
      <c r="GQ71" s="773"/>
      <c r="GR71" s="773"/>
      <c r="GS71" s="773"/>
      <c r="GT71" s="773"/>
      <c r="GU71" s="773"/>
      <c r="GV71" s="773"/>
      <c r="GW71" s="773"/>
      <c r="GX71" s="773"/>
      <c r="GY71" s="773"/>
      <c r="GZ71" s="773"/>
      <c r="HA71" s="773"/>
      <c r="HB71" s="773"/>
      <c r="HC71" s="773"/>
      <c r="HD71" s="773"/>
      <c r="HE71" s="773"/>
      <c r="HF71" s="773"/>
      <c r="HG71" s="773"/>
      <c r="HH71" s="773"/>
      <c r="HI71" s="773"/>
      <c r="HJ71" s="773"/>
      <c r="HK71" s="773"/>
      <c r="HL71" s="773"/>
      <c r="HM71" s="773"/>
      <c r="HN71" s="773"/>
      <c r="HO71" s="773"/>
      <c r="HP71" s="773"/>
      <c r="HQ71" s="773"/>
      <c r="HR71" s="773"/>
      <c r="HS71" s="773"/>
      <c r="HT71" s="773"/>
      <c r="HU71" s="773"/>
      <c r="HV71" s="773"/>
      <c r="HW71" s="773"/>
      <c r="HX71" s="773"/>
      <c r="HY71" s="773"/>
    </row>
    <row r="72" spans="1:233" s="617" customFormat="1" ht="15.95" customHeight="1">
      <c r="B72" s="850" t="s">
        <v>71</v>
      </c>
      <c r="C72" s="1961" t="s">
        <v>88</v>
      </c>
      <c r="D72" s="1961"/>
      <c r="E72" s="734"/>
      <c r="F72" s="734">
        <f>+F70-F71</f>
        <v>0</v>
      </c>
      <c r="G72" s="734">
        <f t="shared" ref="G72:O72" si="12">+G70-G71</f>
        <v>0</v>
      </c>
      <c r="H72" s="734">
        <f t="shared" si="12"/>
        <v>0</v>
      </c>
      <c r="I72" s="734">
        <f t="shared" si="12"/>
        <v>0</v>
      </c>
      <c r="J72" s="734">
        <f t="shared" si="12"/>
        <v>0</v>
      </c>
      <c r="K72" s="734">
        <f t="shared" si="12"/>
        <v>0</v>
      </c>
      <c r="L72" s="734">
        <f t="shared" si="12"/>
        <v>0</v>
      </c>
      <c r="M72" s="734">
        <f t="shared" si="12"/>
        <v>0</v>
      </c>
      <c r="N72" s="734">
        <f t="shared" si="12"/>
        <v>0</v>
      </c>
      <c r="O72" s="734">
        <f t="shared" si="12"/>
        <v>0</v>
      </c>
      <c r="P72" s="734">
        <f>+P70-P71</f>
        <v>0</v>
      </c>
      <c r="Q72" s="773"/>
      <c r="R72" s="773"/>
      <c r="S72" s="773"/>
      <c r="T72" s="773"/>
      <c r="U72" s="773"/>
      <c r="V72" s="773"/>
      <c r="W72" s="773"/>
      <c r="X72" s="773"/>
      <c r="Y72" s="773"/>
      <c r="Z72" s="773"/>
      <c r="AA72" s="773"/>
      <c r="AB72" s="773"/>
      <c r="AC72" s="773"/>
      <c r="AD72" s="773"/>
      <c r="AE72" s="773"/>
      <c r="AF72" s="773"/>
      <c r="AG72" s="773"/>
      <c r="AH72" s="773"/>
      <c r="AI72" s="773"/>
      <c r="AJ72" s="773"/>
      <c r="AK72" s="773"/>
      <c r="AL72" s="773"/>
      <c r="AM72" s="773"/>
      <c r="AN72" s="773"/>
      <c r="AO72" s="773"/>
      <c r="AP72" s="773"/>
      <c r="AQ72" s="773"/>
      <c r="AR72" s="773"/>
      <c r="AS72" s="773"/>
      <c r="AT72" s="773"/>
      <c r="AU72" s="773"/>
      <c r="AV72" s="773"/>
      <c r="AW72" s="773"/>
      <c r="AX72" s="773"/>
      <c r="AY72" s="773"/>
      <c r="AZ72" s="773"/>
      <c r="BA72" s="773"/>
      <c r="BB72" s="773"/>
      <c r="BC72" s="773"/>
      <c r="BD72" s="773"/>
      <c r="BE72" s="773"/>
      <c r="BF72" s="773"/>
      <c r="BG72" s="773"/>
      <c r="BH72" s="773"/>
      <c r="BI72" s="773"/>
      <c r="BJ72" s="773"/>
      <c r="BK72" s="773"/>
      <c r="BL72" s="773"/>
      <c r="BM72" s="773"/>
      <c r="BN72" s="773"/>
      <c r="BO72" s="773"/>
      <c r="BP72" s="773"/>
      <c r="BQ72" s="773"/>
      <c r="BR72" s="773"/>
      <c r="BS72" s="773"/>
      <c r="BT72" s="773"/>
      <c r="BU72" s="773"/>
      <c r="BV72" s="773"/>
      <c r="BW72" s="773"/>
      <c r="BX72" s="773"/>
      <c r="BY72" s="773"/>
      <c r="BZ72" s="773"/>
      <c r="CA72" s="773"/>
      <c r="CB72" s="773"/>
      <c r="CC72" s="773"/>
      <c r="CD72" s="773"/>
      <c r="CE72" s="773"/>
      <c r="CF72" s="773"/>
      <c r="CG72" s="773"/>
      <c r="CH72" s="773"/>
      <c r="CI72" s="773"/>
      <c r="CJ72" s="773"/>
      <c r="CK72" s="773"/>
      <c r="CL72" s="773"/>
      <c r="CM72" s="773"/>
      <c r="CN72" s="773"/>
      <c r="CO72" s="773"/>
      <c r="CP72" s="773"/>
      <c r="CQ72" s="773"/>
      <c r="CR72" s="773"/>
      <c r="CS72" s="773"/>
      <c r="CT72" s="773"/>
      <c r="CU72" s="773"/>
      <c r="CV72" s="773"/>
      <c r="CW72" s="773"/>
      <c r="CX72" s="773"/>
      <c r="CY72" s="773"/>
      <c r="CZ72" s="773"/>
      <c r="DA72" s="773"/>
      <c r="DB72" s="773"/>
      <c r="DC72" s="773"/>
      <c r="DD72" s="773"/>
      <c r="DE72" s="773"/>
      <c r="DF72" s="773"/>
      <c r="DG72" s="773"/>
      <c r="DH72" s="773"/>
      <c r="DI72" s="773"/>
      <c r="DJ72" s="773"/>
      <c r="DK72" s="773"/>
      <c r="DL72" s="773"/>
      <c r="DM72" s="773"/>
      <c r="DN72" s="773"/>
      <c r="DO72" s="773"/>
      <c r="DP72" s="773"/>
      <c r="DQ72" s="773"/>
      <c r="DR72" s="773"/>
      <c r="DS72" s="773"/>
      <c r="DT72" s="773"/>
      <c r="DU72" s="773"/>
      <c r="DV72" s="773"/>
      <c r="DW72" s="773"/>
      <c r="DX72" s="773"/>
      <c r="DY72" s="773"/>
      <c r="DZ72" s="773"/>
      <c r="EA72" s="773"/>
      <c r="EB72" s="773"/>
      <c r="EC72" s="773"/>
      <c r="ED72" s="773"/>
      <c r="EE72" s="773"/>
      <c r="EF72" s="773"/>
      <c r="EG72" s="773"/>
      <c r="EH72" s="773"/>
      <c r="EI72" s="773"/>
      <c r="EJ72" s="773"/>
      <c r="EK72" s="773"/>
      <c r="EL72" s="773"/>
      <c r="EM72" s="773"/>
      <c r="EN72" s="773"/>
      <c r="EO72" s="773"/>
      <c r="EP72" s="773"/>
      <c r="EQ72" s="773"/>
      <c r="ER72" s="773"/>
      <c r="ES72" s="773"/>
      <c r="ET72" s="773"/>
      <c r="EU72" s="773"/>
      <c r="EV72" s="773"/>
      <c r="EW72" s="773"/>
      <c r="EX72" s="773"/>
      <c r="EY72" s="773"/>
      <c r="EZ72" s="773"/>
      <c r="FA72" s="773"/>
      <c r="FB72" s="773"/>
      <c r="FC72" s="773"/>
      <c r="FD72" s="773"/>
      <c r="FE72" s="773"/>
      <c r="FF72" s="773"/>
      <c r="FG72" s="773"/>
      <c r="FH72" s="773"/>
      <c r="FI72" s="773"/>
      <c r="FJ72" s="773"/>
      <c r="FK72" s="773"/>
      <c r="FL72" s="773"/>
      <c r="FM72" s="773"/>
      <c r="FN72" s="773"/>
      <c r="FO72" s="773"/>
      <c r="FP72" s="773"/>
      <c r="FQ72" s="773"/>
      <c r="FR72" s="773"/>
      <c r="FS72" s="773"/>
      <c r="FT72" s="773"/>
      <c r="FU72" s="773"/>
      <c r="FV72" s="773"/>
      <c r="FW72" s="773"/>
      <c r="FX72" s="773"/>
      <c r="FY72" s="773"/>
      <c r="FZ72" s="773"/>
      <c r="GA72" s="773"/>
      <c r="GB72" s="773"/>
      <c r="GC72" s="773"/>
      <c r="GD72" s="773"/>
      <c r="GE72" s="773"/>
      <c r="GF72" s="773"/>
      <c r="GG72" s="773"/>
      <c r="GH72" s="773"/>
      <c r="GI72" s="773"/>
      <c r="GJ72" s="773"/>
      <c r="GK72" s="773"/>
      <c r="GL72" s="773"/>
      <c r="GM72" s="773"/>
      <c r="GN72" s="773"/>
      <c r="GO72" s="773"/>
      <c r="GP72" s="773"/>
      <c r="GQ72" s="773"/>
      <c r="GR72" s="773"/>
      <c r="GS72" s="773"/>
      <c r="GT72" s="773"/>
      <c r="GU72" s="773"/>
      <c r="GV72" s="773"/>
      <c r="GW72" s="773"/>
      <c r="GX72" s="773"/>
      <c r="GY72" s="773"/>
      <c r="GZ72" s="773"/>
      <c r="HA72" s="773"/>
      <c r="HB72" s="773"/>
      <c r="HC72" s="773"/>
      <c r="HD72" s="773"/>
      <c r="HE72" s="773"/>
      <c r="HF72" s="773"/>
      <c r="HG72" s="773"/>
      <c r="HH72" s="773"/>
      <c r="HI72" s="773"/>
      <c r="HJ72" s="773"/>
      <c r="HK72" s="773"/>
      <c r="HL72" s="773"/>
      <c r="HM72" s="773"/>
      <c r="HN72" s="773"/>
      <c r="HO72" s="773"/>
      <c r="HP72" s="773"/>
      <c r="HQ72" s="773"/>
      <c r="HR72" s="773"/>
      <c r="HS72" s="773"/>
      <c r="HT72" s="773"/>
      <c r="HU72" s="773"/>
      <c r="HV72" s="773"/>
      <c r="HW72" s="773"/>
      <c r="HX72" s="773"/>
      <c r="HY72" s="773"/>
    </row>
    <row r="73" spans="1:233" s="617" customFormat="1" ht="15.95" customHeight="1">
      <c r="B73" s="854"/>
      <c r="C73" s="704"/>
      <c r="D73" s="704"/>
      <c r="E73" s="736"/>
      <c r="F73" s="736"/>
      <c r="G73" s="736"/>
      <c r="H73" s="736"/>
      <c r="I73" s="736"/>
      <c r="J73" s="736"/>
      <c r="K73" s="736"/>
      <c r="L73" s="736"/>
      <c r="M73" s="736"/>
      <c r="N73" s="736"/>
      <c r="O73" s="736"/>
      <c r="P73" s="736"/>
      <c r="Q73" s="773"/>
      <c r="R73" s="773"/>
      <c r="S73" s="773"/>
      <c r="T73" s="773"/>
      <c r="U73" s="773"/>
      <c r="V73" s="773"/>
      <c r="W73" s="773"/>
      <c r="X73" s="773"/>
      <c r="Y73" s="773"/>
      <c r="Z73" s="773"/>
      <c r="AA73" s="773"/>
      <c r="AB73" s="773"/>
      <c r="AC73" s="773"/>
      <c r="AD73" s="773"/>
      <c r="AE73" s="773"/>
      <c r="AF73" s="773"/>
      <c r="AG73" s="773"/>
      <c r="AH73" s="773"/>
      <c r="AI73" s="773"/>
      <c r="AJ73" s="773"/>
      <c r="AK73" s="773"/>
      <c r="AL73" s="773"/>
      <c r="AM73" s="773"/>
      <c r="AN73" s="773"/>
      <c r="AO73" s="773"/>
      <c r="AP73" s="773"/>
      <c r="AQ73" s="773"/>
      <c r="AR73" s="773"/>
      <c r="AS73" s="773"/>
      <c r="AT73" s="773"/>
      <c r="AU73" s="773"/>
      <c r="AV73" s="773"/>
      <c r="AW73" s="773"/>
      <c r="AX73" s="773"/>
      <c r="AY73" s="773"/>
      <c r="AZ73" s="773"/>
      <c r="BA73" s="773"/>
      <c r="BB73" s="773"/>
      <c r="BC73" s="773"/>
      <c r="BD73" s="773"/>
      <c r="BE73" s="773"/>
      <c r="BF73" s="773"/>
      <c r="BG73" s="773"/>
      <c r="BH73" s="773"/>
      <c r="BI73" s="773"/>
      <c r="BJ73" s="773"/>
      <c r="BK73" s="773"/>
      <c r="BL73" s="773"/>
      <c r="BM73" s="773"/>
      <c r="BN73" s="773"/>
      <c r="BO73" s="773"/>
      <c r="BP73" s="773"/>
      <c r="BQ73" s="773"/>
      <c r="BR73" s="773"/>
      <c r="BS73" s="773"/>
      <c r="BT73" s="773"/>
      <c r="BU73" s="773"/>
      <c r="BV73" s="773"/>
      <c r="BW73" s="773"/>
      <c r="BX73" s="773"/>
      <c r="BY73" s="773"/>
      <c r="BZ73" s="773"/>
      <c r="CA73" s="773"/>
      <c r="CB73" s="773"/>
      <c r="CC73" s="773"/>
      <c r="CD73" s="773"/>
      <c r="CE73" s="773"/>
      <c r="CF73" s="773"/>
      <c r="CG73" s="773"/>
      <c r="CH73" s="773"/>
      <c r="CI73" s="773"/>
      <c r="CJ73" s="773"/>
      <c r="CK73" s="773"/>
      <c r="CL73" s="773"/>
      <c r="CM73" s="773"/>
      <c r="CN73" s="773"/>
      <c r="CO73" s="773"/>
      <c r="CP73" s="773"/>
      <c r="CQ73" s="773"/>
      <c r="CR73" s="773"/>
      <c r="CS73" s="773"/>
      <c r="CT73" s="773"/>
      <c r="CU73" s="773"/>
      <c r="CV73" s="773"/>
      <c r="CW73" s="773"/>
      <c r="CX73" s="773"/>
      <c r="CY73" s="773"/>
      <c r="CZ73" s="773"/>
      <c r="DA73" s="773"/>
      <c r="DB73" s="773"/>
      <c r="DC73" s="773"/>
      <c r="DD73" s="773"/>
      <c r="DE73" s="773"/>
      <c r="DF73" s="773"/>
      <c r="DG73" s="773"/>
      <c r="DH73" s="773"/>
      <c r="DI73" s="773"/>
      <c r="DJ73" s="773"/>
      <c r="DK73" s="773"/>
      <c r="DL73" s="773"/>
      <c r="DM73" s="773"/>
      <c r="DN73" s="773"/>
      <c r="DO73" s="773"/>
      <c r="DP73" s="773"/>
      <c r="DQ73" s="773"/>
      <c r="DR73" s="773"/>
      <c r="DS73" s="773"/>
      <c r="DT73" s="773"/>
      <c r="DU73" s="773"/>
      <c r="DV73" s="773"/>
      <c r="DW73" s="773"/>
      <c r="DX73" s="773"/>
      <c r="DY73" s="773"/>
      <c r="DZ73" s="773"/>
      <c r="EA73" s="773"/>
      <c r="EB73" s="773"/>
      <c r="EC73" s="773"/>
      <c r="ED73" s="773"/>
      <c r="EE73" s="773"/>
      <c r="EF73" s="773"/>
      <c r="EG73" s="773"/>
      <c r="EH73" s="773"/>
      <c r="EI73" s="773"/>
      <c r="EJ73" s="773"/>
      <c r="EK73" s="773"/>
      <c r="EL73" s="773"/>
      <c r="EM73" s="773"/>
      <c r="EN73" s="773"/>
      <c r="EO73" s="773"/>
      <c r="EP73" s="773"/>
      <c r="EQ73" s="773"/>
      <c r="ER73" s="773"/>
      <c r="ES73" s="773"/>
      <c r="ET73" s="773"/>
      <c r="EU73" s="773"/>
      <c r="EV73" s="773"/>
      <c r="EW73" s="773"/>
      <c r="EX73" s="773"/>
      <c r="EY73" s="773"/>
      <c r="EZ73" s="773"/>
      <c r="FA73" s="773"/>
      <c r="FB73" s="773"/>
      <c r="FC73" s="773"/>
      <c r="FD73" s="773"/>
      <c r="FE73" s="773"/>
      <c r="FF73" s="773"/>
      <c r="FG73" s="773"/>
      <c r="FH73" s="773"/>
      <c r="FI73" s="773"/>
      <c r="FJ73" s="773"/>
      <c r="FK73" s="773"/>
      <c r="FL73" s="773"/>
      <c r="FM73" s="773"/>
      <c r="FN73" s="773"/>
      <c r="FO73" s="773"/>
      <c r="FP73" s="773"/>
      <c r="FQ73" s="773"/>
      <c r="FR73" s="773"/>
      <c r="FS73" s="773"/>
      <c r="FT73" s="773"/>
      <c r="FU73" s="773"/>
      <c r="FV73" s="773"/>
      <c r="FW73" s="773"/>
      <c r="FX73" s="773"/>
      <c r="FY73" s="773"/>
      <c r="FZ73" s="773"/>
      <c r="GA73" s="773"/>
      <c r="GB73" s="773"/>
      <c r="GC73" s="773"/>
      <c r="GD73" s="773"/>
      <c r="GE73" s="773"/>
      <c r="GF73" s="773"/>
      <c r="GG73" s="773"/>
      <c r="GH73" s="773"/>
      <c r="GI73" s="773"/>
      <c r="GJ73" s="773"/>
      <c r="GK73" s="773"/>
      <c r="GL73" s="773"/>
      <c r="GM73" s="773"/>
      <c r="GN73" s="773"/>
      <c r="GO73" s="773"/>
      <c r="GP73" s="773"/>
      <c r="GQ73" s="773"/>
      <c r="GR73" s="773"/>
      <c r="GS73" s="773"/>
      <c r="GT73" s="773"/>
      <c r="GU73" s="773"/>
      <c r="GV73" s="773"/>
      <c r="GW73" s="773"/>
      <c r="GX73" s="773"/>
      <c r="GY73" s="773"/>
      <c r="GZ73" s="773"/>
      <c r="HA73" s="773"/>
      <c r="HB73" s="773"/>
      <c r="HC73" s="773"/>
      <c r="HD73" s="773"/>
      <c r="HE73" s="773"/>
      <c r="HF73" s="773"/>
      <c r="HG73" s="773"/>
      <c r="HH73" s="773"/>
      <c r="HI73" s="773"/>
      <c r="HJ73" s="773"/>
      <c r="HK73" s="773"/>
      <c r="HL73" s="773"/>
      <c r="HM73" s="773"/>
      <c r="HN73" s="773"/>
      <c r="HO73" s="773"/>
      <c r="HP73" s="773"/>
      <c r="HQ73" s="773"/>
      <c r="HR73" s="773"/>
      <c r="HS73" s="773"/>
      <c r="HT73" s="773"/>
      <c r="HU73" s="773"/>
      <c r="HV73" s="773"/>
      <c r="HW73" s="773"/>
      <c r="HX73" s="773"/>
      <c r="HY73" s="773"/>
    </row>
    <row r="74" spans="1:233" ht="30" customHeight="1">
      <c r="B74" s="1960" t="s">
        <v>161</v>
      </c>
      <c r="C74" s="1960"/>
      <c r="D74" s="1960"/>
      <c r="E74" s="1960"/>
      <c r="F74" s="1960"/>
      <c r="G74" s="1960"/>
      <c r="H74" s="1960"/>
      <c r="I74" s="1960"/>
      <c r="J74" s="1960"/>
      <c r="K74" s="1960"/>
      <c r="L74" s="1960"/>
      <c r="M74" s="1960"/>
      <c r="N74" s="1960"/>
      <c r="O74" s="1960"/>
      <c r="P74" s="1960"/>
    </row>
    <row r="75" spans="1:233" ht="15" customHeight="1"/>
    <row r="76" spans="1:233" ht="15.75" hidden="1" customHeight="1">
      <c r="B76" s="1850"/>
      <c r="C76" s="1850"/>
      <c r="D76" s="1145"/>
      <c r="E76" s="1129"/>
      <c r="F76" s="1129"/>
      <c r="G76" s="1129"/>
      <c r="H76" s="1129"/>
      <c r="I76" s="1129"/>
      <c r="J76" s="1129"/>
      <c r="K76" s="1129"/>
      <c r="L76" s="1129"/>
      <c r="M76" s="1129"/>
      <c r="N76" s="1129"/>
      <c r="O76" s="1129"/>
      <c r="P76" s="1129"/>
    </row>
    <row r="77" spans="1:233" ht="15.95" customHeight="1">
      <c r="B77" s="699"/>
      <c r="C77" s="608"/>
      <c r="D77" s="608"/>
    </row>
    <row r="78" spans="1:233" s="618" customFormat="1" ht="15.95" customHeight="1">
      <c r="A78" s="617"/>
      <c r="B78" s="608"/>
      <c r="C78" s="1143" t="s">
        <v>3281</v>
      </c>
      <c r="D78" s="853" t="s">
        <v>28</v>
      </c>
      <c r="E78" s="853" t="s">
        <v>32</v>
      </c>
      <c r="F78" s="853" t="s">
        <v>33</v>
      </c>
      <c r="G78" s="852" t="s">
        <v>34</v>
      </c>
      <c r="H78" s="852" t="s">
        <v>35</v>
      </c>
      <c r="I78" s="852" t="s">
        <v>36</v>
      </c>
      <c r="J78" s="852" t="s">
        <v>37</v>
      </c>
      <c r="K78" s="852" t="s">
        <v>38</v>
      </c>
      <c r="L78" s="852" t="s">
        <v>39</v>
      </c>
      <c r="M78" s="852" t="s">
        <v>40</v>
      </c>
      <c r="N78" s="852" t="s">
        <v>25</v>
      </c>
      <c r="O78" s="852" t="s">
        <v>3273</v>
      </c>
    </row>
    <row r="79" spans="1:233" s="618" customFormat="1" ht="15.95" customHeight="1">
      <c r="B79" s="608"/>
      <c r="C79" s="542" t="s">
        <v>167</v>
      </c>
      <c r="D79" s="709">
        <f>E65</f>
        <v>0</v>
      </c>
      <c r="E79" s="709">
        <f>'Costos Alter.'!F70</f>
        <v>0</v>
      </c>
      <c r="F79" s="709">
        <f>'Costos Alter.'!G70</f>
        <v>0</v>
      </c>
      <c r="G79" s="709">
        <f>'Costos Alter.'!H70</f>
        <v>0</v>
      </c>
      <c r="H79" s="709">
        <f>'Costos Alter.'!I70</f>
        <v>0</v>
      </c>
      <c r="I79" s="709">
        <f>'Costos Alter.'!J70</f>
        <v>0</v>
      </c>
      <c r="J79" s="709">
        <f>'Costos Alter.'!K70</f>
        <v>0</v>
      </c>
      <c r="K79" s="709">
        <f>'Costos Alter.'!L70</f>
        <v>0</v>
      </c>
      <c r="L79" s="709">
        <f>'Costos Alter.'!M70</f>
        <v>0</v>
      </c>
      <c r="M79" s="709">
        <f>'Costos Alter.'!N70</f>
        <v>0</v>
      </c>
      <c r="N79" s="709">
        <f>'Costos Alter.'!O70</f>
        <v>0</v>
      </c>
      <c r="O79" s="709">
        <f>SUM(D79:N79)</f>
        <v>0</v>
      </c>
    </row>
    <row r="80" spans="1:233" s="405" customFormat="1" ht="15.95" customHeight="1">
      <c r="A80" s="618"/>
      <c r="B80" s="699"/>
      <c r="C80" s="895" t="s">
        <v>68</v>
      </c>
      <c r="D80" s="734"/>
      <c r="E80" s="734">
        <f>((DATOS!$W$192+DATOS!$W$264)*(1+D76))*D99</f>
        <v>0</v>
      </c>
      <c r="F80" s="734">
        <f>E80*(1+$D$76)</f>
        <v>0</v>
      </c>
      <c r="G80" s="734">
        <f t="shared" ref="G80:N80" si="13">F80*(1+$D$76)</f>
        <v>0</v>
      </c>
      <c r="H80" s="734">
        <f t="shared" si="13"/>
        <v>0</v>
      </c>
      <c r="I80" s="734">
        <f t="shared" si="13"/>
        <v>0</v>
      </c>
      <c r="J80" s="734">
        <f t="shared" si="13"/>
        <v>0</v>
      </c>
      <c r="K80" s="734">
        <f t="shared" si="13"/>
        <v>0</v>
      </c>
      <c r="L80" s="734">
        <f t="shared" si="13"/>
        <v>0</v>
      </c>
      <c r="M80" s="734">
        <f t="shared" si="13"/>
        <v>0</v>
      </c>
      <c r="N80" s="734">
        <f t="shared" si="13"/>
        <v>0</v>
      </c>
      <c r="O80" s="734">
        <f>SUM(D80:N80)</f>
        <v>0</v>
      </c>
    </row>
    <row r="81" spans="1:15" s="618" customFormat="1" ht="15.95" customHeight="1">
      <c r="A81" s="405"/>
      <c r="B81" s="608"/>
      <c r="C81" s="542" t="s">
        <v>168</v>
      </c>
      <c r="D81" s="709">
        <f t="shared" ref="D81:N81" si="14">D79-D80</f>
        <v>0</v>
      </c>
      <c r="E81" s="709">
        <f t="shared" si="14"/>
        <v>0</v>
      </c>
      <c r="F81" s="709">
        <f t="shared" si="14"/>
        <v>0</v>
      </c>
      <c r="G81" s="709">
        <f t="shared" si="14"/>
        <v>0</v>
      </c>
      <c r="H81" s="709">
        <f t="shared" si="14"/>
        <v>0</v>
      </c>
      <c r="I81" s="709">
        <f t="shared" si="14"/>
        <v>0</v>
      </c>
      <c r="J81" s="709">
        <f t="shared" si="14"/>
        <v>0</v>
      </c>
      <c r="K81" s="709">
        <f t="shared" si="14"/>
        <v>0</v>
      </c>
      <c r="L81" s="709">
        <f t="shared" si="14"/>
        <v>0</v>
      </c>
      <c r="M81" s="709">
        <f t="shared" si="14"/>
        <v>0</v>
      </c>
      <c r="N81" s="709">
        <f t="shared" si="14"/>
        <v>0</v>
      </c>
      <c r="O81" s="709">
        <f>SUM(D81:N81)</f>
        <v>0</v>
      </c>
    </row>
    <row r="82" spans="1:15" ht="1.5" customHeight="1">
      <c r="F82" s="1144"/>
    </row>
    <row r="83" spans="1:15" ht="1.5" customHeight="1"/>
    <row r="85" spans="1:15" ht="35.25" customHeight="1">
      <c r="C85" s="852" t="s">
        <v>173</v>
      </c>
      <c r="D85" s="852" t="s">
        <v>31</v>
      </c>
    </row>
    <row r="86" spans="1:15">
      <c r="C86" s="1146" t="s">
        <v>174</v>
      </c>
      <c r="D86" s="1147"/>
    </row>
    <row r="87" spans="1:15">
      <c r="C87" s="1147" t="s">
        <v>175</v>
      </c>
      <c r="D87" s="849">
        <v>0.84</v>
      </c>
    </row>
    <row r="88" spans="1:15">
      <c r="C88" s="1147" t="s">
        <v>176</v>
      </c>
      <c r="D88" s="849">
        <v>0.82</v>
      </c>
    </row>
    <row r="89" spans="1:15">
      <c r="C89" s="1147" t="s">
        <v>177</v>
      </c>
      <c r="D89" s="849">
        <v>0.82</v>
      </c>
    </row>
    <row r="90" spans="1:15">
      <c r="C90" s="1147" t="s">
        <v>178</v>
      </c>
      <c r="D90" s="849">
        <v>0.82</v>
      </c>
    </row>
    <row r="91" spans="1:15">
      <c r="C91" s="1147" t="s">
        <v>179</v>
      </c>
      <c r="D91" s="849">
        <v>0.81</v>
      </c>
    </row>
    <row r="92" spans="1:15">
      <c r="C92" s="1147" t="s">
        <v>180</v>
      </c>
      <c r="D92" s="849">
        <v>0.85</v>
      </c>
    </row>
    <row r="93" spans="1:15">
      <c r="C93" s="1147" t="s">
        <v>181</v>
      </c>
      <c r="D93" s="849">
        <v>0.84</v>
      </c>
    </row>
    <row r="94" spans="1:15">
      <c r="C94" s="1146" t="s">
        <v>182</v>
      </c>
      <c r="D94" s="849">
        <v>0.83</v>
      </c>
    </row>
    <row r="95" spans="1:15">
      <c r="C95" s="1146" t="s">
        <v>183</v>
      </c>
      <c r="D95" s="849">
        <v>0.83</v>
      </c>
    </row>
    <row r="96" spans="1:15">
      <c r="C96" s="1146" t="s">
        <v>184</v>
      </c>
      <c r="D96" s="849">
        <v>0.83</v>
      </c>
    </row>
    <row r="97" spans="2:16">
      <c r="C97" s="1146" t="s">
        <v>185</v>
      </c>
      <c r="D97" s="849">
        <v>0.83</v>
      </c>
    </row>
    <row r="98" spans="2:16">
      <c r="C98" s="1146" t="s">
        <v>186</v>
      </c>
      <c r="D98" s="849">
        <v>0.85</v>
      </c>
    </row>
    <row r="99" spans="2:16">
      <c r="C99" s="1147" t="s">
        <v>187</v>
      </c>
      <c r="D99" s="849">
        <v>0.77</v>
      </c>
    </row>
    <row r="100" spans="2:16">
      <c r="C100" s="633"/>
      <c r="D100" s="756"/>
    </row>
    <row r="101" spans="2:16" ht="8.25" customHeight="1">
      <c r="B101" s="650"/>
      <c r="C101" s="1148"/>
      <c r="D101" s="1149"/>
      <c r="E101" s="894"/>
      <c r="F101" s="894"/>
      <c r="G101" s="894"/>
      <c r="H101" s="894"/>
      <c r="I101" s="894"/>
      <c r="J101" s="894"/>
      <c r="K101" s="894"/>
      <c r="L101" s="894"/>
      <c r="M101" s="894"/>
      <c r="N101" s="894"/>
      <c r="O101" s="894"/>
      <c r="P101" s="894"/>
    </row>
    <row r="102" spans="2:16" ht="27" customHeight="1">
      <c r="B102" s="650"/>
      <c r="C102" s="1148"/>
      <c r="D102" s="1149"/>
      <c r="E102" s="894"/>
      <c r="F102" s="894"/>
      <c r="G102" s="894"/>
      <c r="H102" s="894"/>
      <c r="I102" s="894"/>
      <c r="J102" s="894"/>
      <c r="K102" s="894"/>
      <c r="L102" s="894"/>
      <c r="M102" s="894"/>
      <c r="N102" s="894"/>
      <c r="O102" s="894"/>
      <c r="P102" s="894"/>
    </row>
    <row r="103" spans="2:16" ht="8.25" customHeight="1">
      <c r="B103" s="650"/>
      <c r="C103" s="613"/>
      <c r="D103" s="894"/>
      <c r="E103" s="894"/>
      <c r="F103" s="894"/>
      <c r="G103" s="894"/>
      <c r="H103" s="894"/>
      <c r="I103" s="894"/>
      <c r="J103" s="894"/>
      <c r="K103" s="894"/>
      <c r="L103" s="894"/>
      <c r="M103" s="894"/>
      <c r="N103" s="894"/>
      <c r="O103" s="894"/>
      <c r="P103" s="894"/>
    </row>
  </sheetData>
  <mergeCells count="61">
    <mergeCell ref="B37:C37"/>
    <mergeCell ref="E49:E50"/>
    <mergeCell ref="F49:O49"/>
    <mergeCell ref="C28:D28"/>
    <mergeCell ref="C29:D29"/>
    <mergeCell ref="C30:D30"/>
    <mergeCell ref="C31:D31"/>
    <mergeCell ref="B35:P35"/>
    <mergeCell ref="B1:P1"/>
    <mergeCell ref="B8:B9"/>
    <mergeCell ref="C8:D9"/>
    <mergeCell ref="E8:E9"/>
    <mergeCell ref="F8:O8"/>
    <mergeCell ref="P8:P9"/>
    <mergeCell ref="B3:P3"/>
    <mergeCell ref="C10:D10"/>
    <mergeCell ref="C11:D11"/>
    <mergeCell ref="C12:D12"/>
    <mergeCell ref="C14:D14"/>
    <mergeCell ref="C59:D59"/>
    <mergeCell ref="C15:D15"/>
    <mergeCell ref="C13:D13"/>
    <mergeCell ref="C52:D52"/>
    <mergeCell ref="C51:D51"/>
    <mergeCell ref="C58:D58"/>
    <mergeCell ref="C21:D21"/>
    <mergeCell ref="C22:D22"/>
    <mergeCell ref="C23:D23"/>
    <mergeCell ref="C16:D16"/>
    <mergeCell ref="C17:D17"/>
    <mergeCell ref="C49:D50"/>
    <mergeCell ref="C18:D18"/>
    <mergeCell ref="C24:D24"/>
    <mergeCell ref="C25:D25"/>
    <mergeCell ref="C26:D26"/>
    <mergeCell ref="C27:D27"/>
    <mergeCell ref="C19:D19"/>
    <mergeCell ref="C20:D20"/>
    <mergeCell ref="B74:P74"/>
    <mergeCell ref="B76:C76"/>
    <mergeCell ref="B46:P46"/>
    <mergeCell ref="C69:D69"/>
    <mergeCell ref="C70:D70"/>
    <mergeCell ref="C71:D71"/>
    <mergeCell ref="C72:D72"/>
    <mergeCell ref="C62:D62"/>
    <mergeCell ref="C65:D65"/>
    <mergeCell ref="C63:D63"/>
    <mergeCell ref="C66:D66"/>
    <mergeCell ref="C54:D54"/>
    <mergeCell ref="C61:D61"/>
    <mergeCell ref="P49:P50"/>
    <mergeCell ref="B49:B50"/>
    <mergeCell ref="C67:D67"/>
    <mergeCell ref="C68:D68"/>
    <mergeCell ref="C53:D53"/>
    <mergeCell ref="C55:D55"/>
    <mergeCell ref="C56:D56"/>
    <mergeCell ref="C57:D57"/>
    <mergeCell ref="C64:D64"/>
    <mergeCell ref="C60:D60"/>
  </mergeCells>
  <printOptions horizontalCentered="1"/>
  <pageMargins left="0.70866141732283472" right="0.70866141732283472" top="0.74803149606299213" bottom="0.74803149606299213" header="0.31496062992125984" footer="0.31496062992125984"/>
  <pageSetup paperSize="9" scale="27" orientation="landscape" r:id="rId1"/>
  <drawing r:id="rId2"/>
  <legacyDrawing r:id="rId3"/>
  <controls>
    <mc:AlternateContent xmlns:mc="http://schemas.openxmlformats.org/markup-compatibility/2006">
      <mc:Choice Requires="x14">
        <control shapeId="133121" r:id="rId4" name="CommandButton1">
          <controlPr defaultSize="0" autoLine="0" autoPict="0" r:id="rId5">
            <anchor moveWithCells="1" sizeWithCells="1">
              <from>
                <xdr:col>1</xdr:col>
                <xdr:colOff>114300</xdr:colOff>
                <xdr:row>0</xdr:row>
                <xdr:rowOff>57150</xdr:rowOff>
              </from>
              <to>
                <xdr:col>2</xdr:col>
                <xdr:colOff>619125</xdr:colOff>
                <xdr:row>1</xdr:row>
                <xdr:rowOff>180975</xdr:rowOff>
              </to>
            </anchor>
          </controlPr>
        </control>
      </mc:Choice>
      <mc:Fallback>
        <control shapeId="133121" r:id="rId4" name="CommandButton1"/>
      </mc:Fallback>
    </mc:AlternateContent>
    <mc:AlternateContent xmlns:mc="http://schemas.openxmlformats.org/markup-compatibility/2006">
      <mc:Choice Requires="x14">
        <control shapeId="133123" r:id="rId6" name="CommandButton3">
          <controlPr defaultSize="0" autoLine="0" r:id="rId7">
            <anchor moveWithCells="1" sizeWithCells="1">
              <from>
                <xdr:col>1</xdr:col>
                <xdr:colOff>104775</xdr:colOff>
                <xdr:row>100</xdr:row>
                <xdr:rowOff>66675</xdr:rowOff>
              </from>
              <to>
                <xdr:col>2</xdr:col>
                <xdr:colOff>609600</xdr:colOff>
                <xdr:row>101</xdr:row>
                <xdr:rowOff>257175</xdr:rowOff>
              </to>
            </anchor>
          </controlPr>
        </control>
      </mc:Choice>
      <mc:Fallback>
        <control shapeId="133123" r:id="rId6" name="CommandButton3"/>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9">
    <tabColor theme="0"/>
  </sheetPr>
  <dimension ref="A1:Z112"/>
  <sheetViews>
    <sheetView showZeros="0" view="pageBreakPreview" topLeftCell="A51" zoomScale="85" zoomScaleNormal="85" zoomScaleSheetLayoutView="85" workbookViewId="0">
      <selection activeCell="A21" sqref="A21"/>
    </sheetView>
  </sheetViews>
  <sheetFormatPr baseColWidth="10" defaultColWidth="11.42578125" defaultRowHeight="12.75"/>
  <cols>
    <col min="1" max="1" width="3.140625" style="1007" customWidth="1"/>
    <col min="2" max="2" width="52.42578125" style="1030" bestFit="1" customWidth="1"/>
    <col min="3" max="3" width="16.140625" style="1043" customWidth="1"/>
    <col min="4" max="4" width="11.28515625" style="1043" customWidth="1"/>
    <col min="5" max="5" width="11.140625" style="1043" customWidth="1"/>
    <col min="6" max="7" width="11.28515625" style="1043" customWidth="1"/>
    <col min="8" max="8" width="13.42578125" style="1043" bestFit="1" customWidth="1"/>
    <col min="9" max="9" width="11.5703125" style="1043" customWidth="1"/>
    <col min="10" max="10" width="12.140625" style="1043" customWidth="1"/>
    <col min="11" max="11" width="11.7109375" style="1043" customWidth="1"/>
    <col min="12" max="12" width="11" style="1043" customWidth="1"/>
    <col min="13" max="13" width="10.85546875" style="1043" customWidth="1"/>
    <col min="14" max="14" width="7.5703125" style="1007" customWidth="1"/>
    <col min="15" max="15" width="25.85546875" style="1007" customWidth="1"/>
    <col min="16" max="16" width="14" style="1007" customWidth="1"/>
    <col min="17" max="17" width="10.140625" style="1007" customWidth="1"/>
    <col min="18" max="18" width="9.42578125" style="1007" customWidth="1"/>
    <col min="19" max="19" width="10.28515625" style="1006" customWidth="1"/>
    <col min="20" max="20" width="18" style="1006" customWidth="1"/>
    <col min="21" max="21" width="19.5703125" style="1006" customWidth="1"/>
    <col min="22" max="22" width="25.42578125" style="1006" customWidth="1"/>
    <col min="23" max="26" width="11.42578125" style="1006"/>
    <col min="27" max="27" width="11.42578125" style="1007" customWidth="1"/>
    <col min="28" max="16384" width="11.42578125" style="1007"/>
  </cols>
  <sheetData>
    <row r="1" spans="2:26" ht="30" customHeight="1">
      <c r="B1" s="1976" t="s">
        <v>3274</v>
      </c>
      <c r="C1" s="1976"/>
      <c r="D1" s="1976"/>
      <c r="E1" s="1976"/>
      <c r="F1" s="1976"/>
      <c r="G1" s="1976"/>
      <c r="H1" s="1976"/>
      <c r="I1" s="1976"/>
      <c r="J1" s="1976"/>
      <c r="K1" s="1976"/>
      <c r="L1" s="1976"/>
      <c r="M1" s="1976"/>
      <c r="N1" s="1976"/>
      <c r="O1" s="1976"/>
      <c r="P1" s="1976"/>
      <c r="Q1" s="1150"/>
      <c r="R1" s="1150"/>
    </row>
    <row r="2" spans="2:26" ht="12.75" customHeight="1">
      <c r="B2" s="1008"/>
      <c r="C2" s="1008"/>
      <c r="D2" s="1008"/>
      <c r="E2" s="1008"/>
      <c r="F2" s="1008"/>
      <c r="G2" s="1008"/>
      <c r="H2" s="1008"/>
      <c r="I2" s="1008"/>
      <c r="J2" s="1008"/>
      <c r="K2" s="1008"/>
      <c r="L2" s="1008"/>
      <c r="M2" s="1008"/>
      <c r="N2" s="1008"/>
      <c r="O2" s="1008"/>
      <c r="P2" s="1008"/>
      <c r="Q2" s="1008"/>
      <c r="R2" s="1008"/>
    </row>
    <row r="3" spans="2:26" ht="12.75" customHeight="1">
      <c r="B3" s="1008"/>
      <c r="C3" s="1008"/>
      <c r="D3" s="1008"/>
      <c r="E3" s="1008"/>
      <c r="F3" s="1008"/>
      <c r="G3" s="1008"/>
      <c r="H3" s="1008"/>
      <c r="I3" s="1008"/>
      <c r="J3" s="1008"/>
      <c r="K3" s="1008"/>
      <c r="L3" s="1008"/>
      <c r="M3" s="1008"/>
      <c r="N3" s="1008"/>
      <c r="O3" s="1008"/>
      <c r="P3" s="1008"/>
      <c r="Q3" s="1008"/>
      <c r="R3" s="1008"/>
    </row>
    <row r="4" spans="2:26" s="1006" customFormat="1" ht="20.100000000000001" customHeight="1">
      <c r="B4" s="1009"/>
      <c r="C4" s="1010"/>
      <c r="D4" s="1011"/>
      <c r="E4" s="1011"/>
      <c r="F4" s="1011"/>
      <c r="G4" s="1011"/>
      <c r="H4" s="1011"/>
      <c r="I4" s="1011"/>
      <c r="J4" s="1011"/>
      <c r="K4" s="1011"/>
      <c r="L4" s="1011"/>
      <c r="M4" s="1011"/>
      <c r="O4" s="1007"/>
      <c r="P4" s="1012"/>
      <c r="Q4" s="1012"/>
      <c r="R4" s="1012"/>
      <c r="S4" s="1012"/>
      <c r="T4" s="1012"/>
      <c r="U4" s="1012"/>
      <c r="X4" s="1013"/>
    </row>
    <row r="5" spans="2:26" ht="20.100000000000001" customHeight="1">
      <c r="B5" s="1983" t="s">
        <v>112</v>
      </c>
      <c r="C5" s="1983"/>
      <c r="D5" s="1983"/>
      <c r="E5" s="1983"/>
      <c r="F5" s="1983"/>
      <c r="G5" s="1983"/>
      <c r="H5" s="1983"/>
      <c r="I5" s="1983"/>
      <c r="J5" s="1983"/>
      <c r="K5" s="1983"/>
      <c r="L5" s="1983"/>
      <c r="M5" s="1983"/>
      <c r="V5" s="1014"/>
      <c r="W5" s="1015"/>
    </row>
    <row r="6" spans="2:26">
      <c r="B6" s="1009"/>
      <c r="C6" s="1011"/>
      <c r="D6" s="1016"/>
      <c r="E6" s="1016"/>
      <c r="F6" s="1016"/>
      <c r="G6" s="1016"/>
      <c r="H6" s="1016"/>
      <c r="I6" s="1016"/>
      <c r="J6" s="1016"/>
      <c r="K6" s="1016"/>
      <c r="L6" s="1016"/>
      <c r="M6" s="1016"/>
      <c r="V6" s="1012"/>
      <c r="W6" s="1012"/>
    </row>
    <row r="7" spans="2:26" ht="15" customHeight="1">
      <c r="B7" s="1984" t="s">
        <v>608</v>
      </c>
      <c r="C7" s="1017" t="s">
        <v>1</v>
      </c>
      <c r="D7" s="1018"/>
      <c r="E7" s="1018"/>
      <c r="F7" s="1018"/>
      <c r="G7" s="1018"/>
      <c r="H7" s="1018"/>
      <c r="I7" s="1018"/>
      <c r="J7" s="1018"/>
      <c r="K7" s="1018"/>
      <c r="L7" s="1018"/>
      <c r="M7" s="1018"/>
    </row>
    <row r="8" spans="2:26">
      <c r="B8" s="1984"/>
      <c r="C8" s="1017">
        <v>0</v>
      </c>
      <c r="D8" s="1018"/>
      <c r="E8" s="1018"/>
      <c r="F8" s="1018"/>
      <c r="G8" s="1018"/>
      <c r="H8" s="1018"/>
      <c r="I8" s="1018"/>
      <c r="J8" s="1018"/>
      <c r="K8" s="1018"/>
      <c r="L8" s="1018"/>
      <c r="M8" s="1018"/>
    </row>
    <row r="9" spans="2:26" ht="21.75" customHeight="1">
      <c r="B9" s="1019" t="s">
        <v>3195</v>
      </c>
      <c r="C9" s="1020">
        <f>'Costos Alter.'!E24</f>
        <v>0</v>
      </c>
      <c r="D9" s="1010"/>
      <c r="E9" s="1010"/>
      <c r="F9" s="1010"/>
      <c r="G9" s="1010"/>
      <c r="H9" s="1010"/>
      <c r="I9" s="1010"/>
      <c r="J9" s="1010"/>
      <c r="K9" s="1010"/>
      <c r="L9" s="1010"/>
      <c r="M9" s="1010"/>
    </row>
    <row r="10" spans="2:26" ht="21.75" customHeight="1">
      <c r="B10" s="1021" t="s">
        <v>2616</v>
      </c>
      <c r="C10" s="1022"/>
      <c r="D10" s="1010"/>
      <c r="E10" s="1010"/>
      <c r="F10" s="1010"/>
      <c r="G10" s="1010"/>
      <c r="H10" s="1010"/>
      <c r="I10" s="1010"/>
      <c r="J10" s="1010"/>
      <c r="K10" s="1010"/>
      <c r="L10" s="1010"/>
      <c r="M10" s="1010"/>
      <c r="O10" s="1023" t="s">
        <v>3275</v>
      </c>
      <c r="P10" s="1024">
        <f>'Disp Final'!H33</f>
        <v>0</v>
      </c>
    </row>
    <row r="11" spans="2:26" ht="21.75" customHeight="1">
      <c r="B11" s="1025" t="s">
        <v>3196</v>
      </c>
      <c r="C11" s="1026">
        <f>NPV(C10,D9:M9)+C9</f>
        <v>0</v>
      </c>
      <c r="D11" s="1011"/>
      <c r="E11" s="1011"/>
      <c r="F11" s="1011"/>
      <c r="G11" s="1011"/>
      <c r="H11" s="1011"/>
      <c r="I11" s="1011"/>
      <c r="J11" s="1011"/>
      <c r="K11" s="1011"/>
      <c r="L11" s="1011"/>
      <c r="M11" s="1011"/>
      <c r="O11" s="1027"/>
      <c r="P11" s="1028"/>
    </row>
    <row r="12" spans="2:26" ht="21.75" customHeight="1">
      <c r="B12" s="1029" t="s">
        <v>3275</v>
      </c>
      <c r="C12" s="1026">
        <f>P10</f>
        <v>0</v>
      </c>
      <c r="D12" s="1011"/>
      <c r="E12" s="1011"/>
      <c r="F12" s="1011"/>
      <c r="G12" s="1011"/>
      <c r="H12" s="1011"/>
      <c r="I12" s="1011"/>
      <c r="J12" s="1011"/>
      <c r="K12" s="1011"/>
      <c r="L12" s="1011"/>
      <c r="M12" s="1011"/>
      <c r="O12" s="1030"/>
      <c r="P12" s="1030"/>
    </row>
    <row r="13" spans="2:26" s="1006" customFormat="1" ht="21.75" customHeight="1">
      <c r="B13" s="1029" t="s">
        <v>3277</v>
      </c>
      <c r="C13" s="1031">
        <f>IFERROR(+C11/C12,0)</f>
        <v>0</v>
      </c>
      <c r="D13" s="1011"/>
      <c r="E13" s="1011"/>
      <c r="F13" s="1011"/>
      <c r="G13" s="1011"/>
      <c r="H13" s="1011"/>
      <c r="I13" s="1011"/>
      <c r="J13" s="1011"/>
      <c r="K13" s="1011"/>
      <c r="L13" s="1011"/>
      <c r="M13" s="1011"/>
    </row>
    <row r="14" spans="2:26">
      <c r="B14" s="1032"/>
      <c r="C14" s="1033"/>
      <c r="D14" s="1033"/>
      <c r="E14" s="1033"/>
      <c r="F14" s="1033"/>
      <c r="G14" s="1033"/>
      <c r="H14" s="1033"/>
      <c r="I14" s="1033"/>
      <c r="J14" s="1033"/>
      <c r="K14" s="1033"/>
      <c r="L14" s="1033"/>
      <c r="M14" s="1033"/>
      <c r="Q14" s="1034"/>
      <c r="R14" s="1034"/>
      <c r="S14" s="1015"/>
      <c r="T14" s="1015"/>
      <c r="U14" s="1015"/>
      <c r="V14" s="1015"/>
      <c r="W14" s="1015"/>
      <c r="X14" s="1015"/>
      <c r="Y14" s="1015"/>
      <c r="Z14" s="1015"/>
    </row>
    <row r="15" spans="2:26" ht="16.5" customHeight="1">
      <c r="B15" s="1984" t="s">
        <v>608</v>
      </c>
      <c r="C15" s="1971" t="s">
        <v>110</v>
      </c>
      <c r="D15" s="1971"/>
      <c r="E15" s="1971"/>
      <c r="F15" s="1971"/>
      <c r="G15" s="1971"/>
      <c r="H15" s="1971"/>
      <c r="I15" s="1971"/>
      <c r="J15" s="1971"/>
      <c r="K15" s="1971"/>
      <c r="L15" s="1971"/>
      <c r="M15" s="1971"/>
    </row>
    <row r="16" spans="2:26" ht="16.5" customHeight="1">
      <c r="B16" s="1984"/>
      <c r="C16" s="1035">
        <v>0</v>
      </c>
      <c r="D16" s="1035">
        <v>1</v>
      </c>
      <c r="E16" s="1035">
        <v>2</v>
      </c>
      <c r="F16" s="1035">
        <v>3</v>
      </c>
      <c r="G16" s="1035">
        <v>4</v>
      </c>
      <c r="H16" s="1035">
        <v>5</v>
      </c>
      <c r="I16" s="1035">
        <v>6</v>
      </c>
      <c r="J16" s="1035">
        <v>7</v>
      </c>
      <c r="K16" s="1035">
        <v>8</v>
      </c>
      <c r="L16" s="1035">
        <v>9</v>
      </c>
      <c r="M16" s="1035">
        <v>10</v>
      </c>
    </row>
    <row r="17" spans="1:15" ht="16.5" customHeight="1">
      <c r="B17" s="1036" t="s">
        <v>3197</v>
      </c>
      <c r="C17" s="1037">
        <f>C9</f>
        <v>0</v>
      </c>
      <c r="D17" s="1020">
        <f>'Costos Alter.'!F29</f>
        <v>0</v>
      </c>
      <c r="E17" s="1020">
        <f>'Costos Alter.'!G29</f>
        <v>0</v>
      </c>
      <c r="F17" s="1020">
        <f>'Costos Alter.'!H29</f>
        <v>0</v>
      </c>
      <c r="G17" s="1020">
        <f>'Costos Alter.'!I29</f>
        <v>0</v>
      </c>
      <c r="H17" s="1020">
        <f>'Costos Alter.'!J29</f>
        <v>0</v>
      </c>
      <c r="I17" s="1020">
        <f>'Costos Alter.'!K29</f>
        <v>0</v>
      </c>
      <c r="J17" s="1020">
        <f>'Costos Alter.'!L29</f>
        <v>0</v>
      </c>
      <c r="K17" s="1020">
        <f>'Costos Alter.'!M29</f>
        <v>0</v>
      </c>
      <c r="L17" s="1020">
        <f>'Costos Alter.'!N29</f>
        <v>0</v>
      </c>
      <c r="M17" s="1020">
        <f>'Costos Alter.'!O29</f>
        <v>0</v>
      </c>
    </row>
    <row r="18" spans="1:15" ht="16.5" customHeight="1">
      <c r="B18" s="1038" t="s">
        <v>109</v>
      </c>
      <c r="C18" s="1037"/>
      <c r="D18" s="1020">
        <f>'Costos Alter.'!E41</f>
        <v>0</v>
      </c>
      <c r="E18" s="1020">
        <f>'Costos Alter.'!F41</f>
        <v>0</v>
      </c>
      <c r="F18" s="1020">
        <f>'Costos Alter.'!G41</f>
        <v>0</v>
      </c>
      <c r="G18" s="1020">
        <f>'Costos Alter.'!H41</f>
        <v>0</v>
      </c>
      <c r="H18" s="1020">
        <f>'Costos Alter.'!I41</f>
        <v>0</v>
      </c>
      <c r="I18" s="1020">
        <f>'Costos Alter.'!J41</f>
        <v>0</v>
      </c>
      <c r="J18" s="1020">
        <f>'Costos Alter.'!K41</f>
        <v>0</v>
      </c>
      <c r="K18" s="1020">
        <f>'Costos Alter.'!L41</f>
        <v>0</v>
      </c>
      <c r="L18" s="1020">
        <f>'Costos Alter.'!M41</f>
        <v>0</v>
      </c>
      <c r="M18" s="1020">
        <f>'Costos Alter.'!N41</f>
        <v>0</v>
      </c>
    </row>
    <row r="19" spans="1:15" ht="16.5" customHeight="1">
      <c r="B19" s="1039" t="s">
        <v>108</v>
      </c>
      <c r="C19" s="1040"/>
      <c r="D19" s="1041">
        <f>D17-D18</f>
        <v>0</v>
      </c>
      <c r="E19" s="1041">
        <f>E17-E18</f>
        <v>0</v>
      </c>
      <c r="F19" s="1041">
        <f>F17-F18</f>
        <v>0</v>
      </c>
      <c r="G19" s="1041">
        <f t="shared" ref="G19:M19" si="0">G17-G18</f>
        <v>0</v>
      </c>
      <c r="H19" s="1041">
        <f t="shared" si="0"/>
        <v>0</v>
      </c>
      <c r="I19" s="1041">
        <f t="shared" si="0"/>
        <v>0</v>
      </c>
      <c r="J19" s="1041">
        <f t="shared" si="0"/>
        <v>0</v>
      </c>
      <c r="K19" s="1041">
        <f t="shared" si="0"/>
        <v>0</v>
      </c>
      <c r="L19" s="1041">
        <f t="shared" si="0"/>
        <v>0</v>
      </c>
      <c r="M19" s="1041">
        <f t="shared" si="0"/>
        <v>0</v>
      </c>
    </row>
    <row r="20" spans="1:15" ht="16.5" customHeight="1">
      <c r="B20" s="1021" t="s">
        <v>2616</v>
      </c>
      <c r="C20" s="1042">
        <f>C10</f>
        <v>0</v>
      </c>
      <c r="D20" s="1010"/>
      <c r="E20" s="1010"/>
      <c r="F20" s="1010"/>
      <c r="G20" s="1010"/>
      <c r="H20" s="1010"/>
      <c r="I20" s="1010"/>
      <c r="J20" s="1010"/>
      <c r="K20" s="1010"/>
      <c r="L20" s="1010"/>
      <c r="M20" s="1010"/>
    </row>
    <row r="21" spans="1:15" s="1006" customFormat="1" ht="16.5" customHeight="1">
      <c r="B21" s="1029" t="s">
        <v>363</v>
      </c>
      <c r="C21" s="1026">
        <f>NPV(C20,D19:M19)+C19</f>
        <v>0</v>
      </c>
      <c r="D21" s="1011"/>
      <c r="E21" s="1011"/>
      <c r="F21" s="1011"/>
      <c r="G21" s="1011"/>
      <c r="H21" s="1011"/>
      <c r="I21" s="1011"/>
      <c r="J21" s="1011"/>
      <c r="K21" s="1011"/>
      <c r="L21" s="1011"/>
      <c r="M21" s="1011"/>
    </row>
    <row r="22" spans="1:15" ht="16.5" customHeight="1">
      <c r="B22" s="1029" t="s">
        <v>3275</v>
      </c>
      <c r="C22" s="1026">
        <f>+C12</f>
        <v>0</v>
      </c>
      <c r="D22" s="1011"/>
      <c r="E22" s="1011"/>
      <c r="F22" s="1011"/>
      <c r="G22" s="1011"/>
      <c r="H22" s="1011"/>
      <c r="I22" s="1011"/>
      <c r="J22" s="1011"/>
      <c r="K22" s="1011"/>
      <c r="L22" s="1011"/>
      <c r="M22" s="1011"/>
    </row>
    <row r="23" spans="1:15" ht="16.5" customHeight="1">
      <c r="B23" s="1029" t="s">
        <v>3277</v>
      </c>
      <c r="C23" s="1031">
        <f>IFERROR(C21/C22,0)</f>
        <v>0</v>
      </c>
      <c r="D23" s="1011"/>
      <c r="E23" s="1011"/>
      <c r="F23" s="1011"/>
      <c r="G23" s="1011"/>
      <c r="H23" s="1011"/>
      <c r="I23" s="1011"/>
      <c r="J23" s="1011"/>
      <c r="K23" s="1011"/>
      <c r="L23" s="1011"/>
      <c r="M23" s="1011"/>
    </row>
    <row r="24" spans="1:15" ht="15" customHeight="1"/>
    <row r="25" spans="1:15" s="1006" customFormat="1" ht="20.100000000000001" customHeight="1">
      <c r="B25" s="1044"/>
      <c r="C25" s="1045"/>
      <c r="D25" s="1011"/>
      <c r="E25" s="1011"/>
      <c r="F25" s="1011"/>
      <c r="G25" s="1011"/>
      <c r="H25" s="1011"/>
      <c r="I25" s="1011"/>
      <c r="J25" s="1011"/>
      <c r="K25" s="1011"/>
      <c r="L25" s="1011"/>
      <c r="M25" s="1011"/>
    </row>
    <row r="26" spans="1:15" ht="15.75">
      <c r="A26" s="1046"/>
      <c r="B26" s="1979" t="s">
        <v>111</v>
      </c>
      <c r="C26" s="1979"/>
      <c r="D26" s="1979"/>
      <c r="E26" s="1979"/>
      <c r="F26" s="1979"/>
      <c r="G26" s="1979"/>
      <c r="H26" s="1979"/>
      <c r="I26" s="1979"/>
      <c r="J26" s="1979"/>
      <c r="K26" s="1979"/>
      <c r="L26" s="1979"/>
      <c r="M26" s="1979"/>
      <c r="N26" s="1046"/>
      <c r="O26" s="1046"/>
    </row>
    <row r="27" spans="1:15">
      <c r="A27" s="1046"/>
      <c r="B27" s="1009"/>
      <c r="C27" s="1011"/>
      <c r="D27" s="1018"/>
      <c r="E27" s="1018"/>
      <c r="F27" s="1018"/>
      <c r="G27" s="1018"/>
      <c r="H27" s="1018"/>
      <c r="I27" s="1018"/>
      <c r="J27" s="1018"/>
      <c r="K27" s="1018"/>
      <c r="L27" s="1018"/>
      <c r="M27" s="1018"/>
      <c r="N27" s="1046"/>
      <c r="O27" s="1046"/>
    </row>
    <row r="28" spans="1:15">
      <c r="A28" s="1046"/>
      <c r="B28" s="1980" t="s">
        <v>608</v>
      </c>
      <c r="C28" s="1035" t="s">
        <v>110</v>
      </c>
      <c r="D28" s="1018"/>
      <c r="E28" s="1018"/>
      <c r="F28" s="1018"/>
      <c r="G28" s="1018"/>
      <c r="H28" s="1018"/>
      <c r="I28" s="1018"/>
      <c r="J28" s="1018"/>
      <c r="K28" s="1018"/>
      <c r="L28" s="1018"/>
      <c r="M28" s="1018"/>
      <c r="N28" s="1046"/>
      <c r="O28" s="1046"/>
    </row>
    <row r="29" spans="1:15">
      <c r="A29" s="1046"/>
      <c r="B29" s="1981"/>
      <c r="C29" s="1035">
        <v>0</v>
      </c>
      <c r="D29" s="1018"/>
      <c r="E29" s="1018"/>
      <c r="F29" s="1018"/>
      <c r="G29" s="1018"/>
      <c r="H29" s="1018"/>
      <c r="I29" s="1018"/>
      <c r="J29" s="1018"/>
      <c r="K29" s="1018"/>
      <c r="L29" s="1018"/>
      <c r="M29" s="1018"/>
      <c r="N29" s="1046"/>
      <c r="O29" s="1046"/>
    </row>
    <row r="30" spans="1:15" ht="15" customHeight="1">
      <c r="A30" s="1046"/>
      <c r="B30" s="1019" t="s">
        <v>3195</v>
      </c>
      <c r="C30" s="1037">
        <f>'Costos Alter.'!E65</f>
        <v>0</v>
      </c>
      <c r="D30" s="1011"/>
      <c r="E30" s="1011"/>
      <c r="F30" s="1011"/>
      <c r="G30" s="1011"/>
      <c r="H30" s="1011"/>
      <c r="I30" s="1011"/>
      <c r="J30" s="1011"/>
      <c r="K30" s="1011"/>
      <c r="L30" s="1011"/>
      <c r="M30" s="1011"/>
      <c r="N30" s="1046"/>
      <c r="O30" s="1046"/>
    </row>
    <row r="31" spans="1:15" ht="15" customHeight="1">
      <c r="A31" s="1046"/>
      <c r="B31" s="1021" t="str">
        <f>B10</f>
        <v>TASA DE DESCUENTO SOCIAL (%)</v>
      </c>
      <c r="C31" s="1042">
        <f>+C10</f>
        <v>0</v>
      </c>
      <c r="D31" s="1047"/>
      <c r="E31" s="1047"/>
      <c r="F31" s="1047"/>
      <c r="G31" s="1047"/>
      <c r="H31" s="1047"/>
      <c r="I31" s="1047"/>
      <c r="J31" s="1047"/>
      <c r="K31" s="1047"/>
      <c r="L31" s="1047"/>
      <c r="M31" s="1047"/>
      <c r="N31" s="1046"/>
      <c r="O31" s="1046"/>
    </row>
    <row r="32" spans="1:15" ht="15" customHeight="1">
      <c r="A32" s="1046"/>
      <c r="B32" s="1029" t="s">
        <v>107</v>
      </c>
      <c r="C32" s="1031">
        <f>NPV(C31,D30:M30)+C30</f>
        <v>0</v>
      </c>
      <c r="D32" s="1048"/>
      <c r="E32" s="1048"/>
      <c r="F32" s="1048"/>
      <c r="G32" s="1048"/>
      <c r="H32" s="1048"/>
      <c r="I32" s="1048"/>
      <c r="J32" s="1048"/>
      <c r="K32" s="1048"/>
      <c r="L32" s="1048"/>
      <c r="M32" s="1048"/>
      <c r="N32" s="1046"/>
      <c r="O32" s="1046"/>
    </row>
    <row r="33" spans="1:16" ht="15" customHeight="1">
      <c r="A33" s="1046"/>
      <c r="B33" s="1029" t="s">
        <v>3276</v>
      </c>
      <c r="C33" s="1031">
        <f>P10</f>
        <v>0</v>
      </c>
      <c r="D33" s="1048"/>
      <c r="E33" s="1048"/>
      <c r="F33" s="1048"/>
      <c r="G33" s="1048"/>
      <c r="H33" s="1048"/>
      <c r="I33" s="1048"/>
      <c r="J33" s="1048"/>
      <c r="K33" s="1048"/>
      <c r="L33" s="1048"/>
      <c r="M33" s="1048"/>
      <c r="N33" s="1046"/>
      <c r="O33" s="1046"/>
    </row>
    <row r="34" spans="1:16" s="1006" customFormat="1" ht="15" customHeight="1">
      <c r="A34" s="1012"/>
      <c r="B34" s="1029" t="s">
        <v>3277</v>
      </c>
      <c r="C34" s="1031">
        <f>IFERROR(+C32/C33,0)</f>
        <v>0</v>
      </c>
      <c r="D34" s="1048"/>
      <c r="E34" s="1048"/>
      <c r="F34" s="1048"/>
      <c r="G34" s="1048"/>
      <c r="H34" s="1048"/>
      <c r="I34" s="1048"/>
      <c r="J34" s="1048"/>
      <c r="K34" s="1048"/>
      <c r="L34" s="1048"/>
      <c r="M34" s="1048"/>
      <c r="N34" s="1012"/>
      <c r="O34" s="1012"/>
    </row>
    <row r="35" spans="1:16" s="1006" customFormat="1" ht="15" customHeight="1">
      <c r="A35" s="1012"/>
      <c r="B35" s="1049"/>
      <c r="C35" s="1048"/>
      <c r="D35" s="1048"/>
      <c r="E35" s="1048"/>
      <c r="F35" s="1048"/>
      <c r="G35" s="1048"/>
      <c r="H35" s="1048"/>
      <c r="I35" s="1048"/>
      <c r="J35" s="1048"/>
      <c r="K35" s="1048"/>
      <c r="L35" s="1048"/>
      <c r="M35" s="1048"/>
      <c r="N35" s="1012"/>
      <c r="O35" s="1012"/>
    </row>
    <row r="36" spans="1:16" ht="15" customHeight="1">
      <c r="A36" s="1046"/>
      <c r="B36" s="1980" t="s">
        <v>608</v>
      </c>
      <c r="C36" s="1974" t="s">
        <v>110</v>
      </c>
      <c r="D36" s="1982"/>
      <c r="E36" s="1982"/>
      <c r="F36" s="1982"/>
      <c r="G36" s="1982"/>
      <c r="H36" s="1982"/>
      <c r="I36" s="1982"/>
      <c r="J36" s="1982"/>
      <c r="K36" s="1982"/>
      <c r="L36" s="1982"/>
      <c r="M36" s="1975"/>
      <c r="N36" s="1046"/>
      <c r="O36" s="1046"/>
    </row>
    <row r="37" spans="1:16" ht="15" customHeight="1">
      <c r="A37" s="1046"/>
      <c r="B37" s="1981"/>
      <c r="C37" s="1035">
        <v>0</v>
      </c>
      <c r="D37" s="1035">
        <v>1</v>
      </c>
      <c r="E37" s="1035">
        <v>2</v>
      </c>
      <c r="F37" s="1035">
        <v>3</v>
      </c>
      <c r="G37" s="1035">
        <v>4</v>
      </c>
      <c r="H37" s="1035">
        <v>5</v>
      </c>
      <c r="I37" s="1035">
        <v>6</v>
      </c>
      <c r="J37" s="1035">
        <v>7</v>
      </c>
      <c r="K37" s="1035">
        <v>8</v>
      </c>
      <c r="L37" s="1035">
        <v>9</v>
      </c>
      <c r="M37" s="1035">
        <v>10</v>
      </c>
      <c r="N37" s="1046"/>
      <c r="O37" s="1046"/>
    </row>
    <row r="38" spans="1:16" ht="15" customHeight="1">
      <c r="A38" s="1046"/>
      <c r="B38" s="1036" t="s">
        <v>3197</v>
      </c>
      <c r="C38" s="1037">
        <v>0</v>
      </c>
      <c r="D38" s="1020">
        <f>'Costos Alter.'!F70</f>
        <v>0</v>
      </c>
      <c r="E38" s="1020">
        <f>'Costos Alter.'!G70</f>
        <v>0</v>
      </c>
      <c r="F38" s="1020">
        <f>'Costos Alter.'!H70</f>
        <v>0</v>
      </c>
      <c r="G38" s="1020">
        <f>'Costos Alter.'!I70</f>
        <v>0</v>
      </c>
      <c r="H38" s="1020">
        <f>'Costos Alter.'!J70</f>
        <v>0</v>
      </c>
      <c r="I38" s="1020">
        <f>'Costos Alter.'!K70</f>
        <v>0</v>
      </c>
      <c r="J38" s="1020">
        <f>'Costos Alter.'!L70</f>
        <v>0</v>
      </c>
      <c r="K38" s="1020">
        <f>'Costos Alter.'!M70</f>
        <v>0</v>
      </c>
      <c r="L38" s="1020">
        <f>'Costos Alter.'!N70</f>
        <v>0</v>
      </c>
      <c r="M38" s="1020">
        <f>'Costos Alter.'!O67</f>
        <v>0</v>
      </c>
      <c r="N38" s="1046"/>
      <c r="O38" s="1046"/>
    </row>
    <row r="39" spans="1:16" ht="15" customHeight="1">
      <c r="A39" s="1046"/>
      <c r="B39" s="1036" t="s">
        <v>109</v>
      </c>
      <c r="C39" s="1037">
        <v>0</v>
      </c>
      <c r="D39" s="1020">
        <f>'Costos Alter.'!E80</f>
        <v>0</v>
      </c>
      <c r="E39" s="1020">
        <f>'Costos Alter.'!F80</f>
        <v>0</v>
      </c>
      <c r="F39" s="1020">
        <f>'Costos Alter.'!G80</f>
        <v>0</v>
      </c>
      <c r="G39" s="1020">
        <f>'Costos Alter.'!H80</f>
        <v>0</v>
      </c>
      <c r="H39" s="1020">
        <f>'Costos Alter.'!I80</f>
        <v>0</v>
      </c>
      <c r="I39" s="1020">
        <f>'Costos Alter.'!J80</f>
        <v>0</v>
      </c>
      <c r="J39" s="1020">
        <f>'Costos Alter.'!K80</f>
        <v>0</v>
      </c>
      <c r="K39" s="1020">
        <f>'Costos Alter.'!L80</f>
        <v>0</v>
      </c>
      <c r="L39" s="1020">
        <f>'Costos Alter.'!M80</f>
        <v>0</v>
      </c>
      <c r="M39" s="1020">
        <f>'Costos Alter.'!N80</f>
        <v>0</v>
      </c>
      <c r="N39" s="1046"/>
      <c r="O39" s="1046"/>
    </row>
    <row r="40" spans="1:16" ht="15" customHeight="1">
      <c r="A40" s="1046"/>
      <c r="B40" s="1023" t="s">
        <v>108</v>
      </c>
      <c r="C40" s="1040"/>
      <c r="D40" s="1041">
        <f>+ROUND(D38-D39,0)</f>
        <v>0</v>
      </c>
      <c r="E40" s="1041">
        <f t="shared" ref="E40:M40" si="1">+ROUND(E38-E39,0)</f>
        <v>0</v>
      </c>
      <c r="F40" s="1041">
        <f t="shared" si="1"/>
        <v>0</v>
      </c>
      <c r="G40" s="1041">
        <f t="shared" si="1"/>
        <v>0</v>
      </c>
      <c r="H40" s="1041">
        <f t="shared" si="1"/>
        <v>0</v>
      </c>
      <c r="I40" s="1041">
        <f t="shared" si="1"/>
        <v>0</v>
      </c>
      <c r="J40" s="1041">
        <f t="shared" si="1"/>
        <v>0</v>
      </c>
      <c r="K40" s="1041">
        <f t="shared" si="1"/>
        <v>0</v>
      </c>
      <c r="L40" s="1041">
        <f t="shared" si="1"/>
        <v>0</v>
      </c>
      <c r="M40" s="1041">
        <f t="shared" si="1"/>
        <v>0</v>
      </c>
      <c r="N40" s="1046"/>
      <c r="O40" s="1046"/>
    </row>
    <row r="41" spans="1:16" ht="15" customHeight="1">
      <c r="A41" s="1046"/>
      <c r="B41" s="1021" t="str">
        <f>B31</f>
        <v>TASA DE DESCUENTO SOCIAL (%)</v>
      </c>
      <c r="C41" s="1031">
        <f>C31</f>
        <v>0</v>
      </c>
      <c r="D41" s="1047"/>
      <c r="E41" s="1047"/>
      <c r="F41" s="1047"/>
      <c r="G41" s="1047"/>
      <c r="H41" s="1047"/>
      <c r="I41" s="1047"/>
      <c r="J41" s="1047"/>
      <c r="K41" s="1047"/>
      <c r="L41" s="1047"/>
      <c r="M41" s="1047"/>
      <c r="N41" s="1046"/>
      <c r="O41" s="1046"/>
    </row>
    <row r="42" spans="1:16" s="1006" customFormat="1" ht="15" customHeight="1">
      <c r="A42" s="1012"/>
      <c r="B42" s="1029" t="s">
        <v>364</v>
      </c>
      <c r="C42" s="1026">
        <f>NPV(C41,D40:M40)+C40</f>
        <v>0</v>
      </c>
      <c r="D42" s="1048"/>
      <c r="E42" s="1048"/>
      <c r="F42" s="1048"/>
      <c r="G42" s="1048"/>
      <c r="H42" s="1048"/>
      <c r="I42" s="1048"/>
      <c r="J42" s="1048"/>
      <c r="K42" s="1048"/>
      <c r="L42" s="1048"/>
      <c r="M42" s="1048"/>
      <c r="O42" s="1012"/>
      <c r="P42" s="1015"/>
    </row>
    <row r="43" spans="1:16" ht="15" customHeight="1">
      <c r="A43" s="1046"/>
      <c r="B43" s="1029" t="s">
        <v>3276</v>
      </c>
      <c r="C43" s="1026">
        <f>P10</f>
        <v>0</v>
      </c>
      <c r="D43" s="1048"/>
      <c r="E43" s="1048"/>
      <c r="F43" s="1018"/>
      <c r="G43" s="1050"/>
      <c r="H43" s="1051"/>
      <c r="I43" s="1018"/>
      <c r="J43" s="1048"/>
      <c r="K43" s="1048"/>
      <c r="L43" s="1048"/>
      <c r="M43" s="1048"/>
      <c r="N43" s="1046"/>
      <c r="O43" s="1012"/>
      <c r="P43" s="1052"/>
    </row>
    <row r="44" spans="1:16" s="1006" customFormat="1" ht="15" customHeight="1">
      <c r="A44" s="1012"/>
      <c r="B44" s="1029" t="s">
        <v>3278</v>
      </c>
      <c r="C44" s="1031">
        <f>IFERROR(+C42/C43,0)</f>
        <v>0</v>
      </c>
      <c r="D44" s="1048"/>
      <c r="E44" s="1048"/>
      <c r="F44" s="1018"/>
      <c r="G44" s="1053"/>
      <c r="H44" s="1053"/>
      <c r="I44" s="1053"/>
      <c r="J44" s="1048"/>
      <c r="K44" s="1048"/>
      <c r="L44" s="1048"/>
      <c r="M44" s="1048"/>
      <c r="N44" s="1012"/>
      <c r="O44" s="1012"/>
    </row>
    <row r="45" spans="1:16" s="1006" customFormat="1" ht="15" customHeight="1">
      <c r="B45" s="1044"/>
      <c r="C45" s="1045"/>
      <c r="D45" s="1011"/>
      <c r="E45" s="1011"/>
      <c r="F45" s="1011"/>
      <c r="G45" s="1011"/>
      <c r="H45" s="1011"/>
      <c r="I45" s="1011"/>
      <c r="J45" s="1011"/>
      <c r="K45" s="1011"/>
      <c r="L45" s="1011"/>
      <c r="M45" s="1011"/>
    </row>
    <row r="46" spans="1:16">
      <c r="B46" s="1054"/>
      <c r="C46" s="1055"/>
      <c r="D46" s="1055"/>
      <c r="E46" s="1055"/>
      <c r="F46" s="1055"/>
      <c r="G46" s="1055"/>
      <c r="H46" s="1055"/>
      <c r="I46" s="1055"/>
      <c r="J46" s="1055"/>
      <c r="K46" s="1055"/>
      <c r="L46" s="1055"/>
      <c r="M46" s="1055"/>
      <c r="N46" s="1046"/>
    </row>
    <row r="47" spans="1:16" s="1006" customFormat="1" ht="20.100000000000001" customHeight="1">
      <c r="A47" s="1012"/>
      <c r="B47" s="1009"/>
      <c r="C47" s="1010"/>
      <c r="D47" s="1011"/>
      <c r="E47" s="1011"/>
      <c r="F47" s="1011"/>
      <c r="G47" s="1011"/>
      <c r="H47" s="1011"/>
      <c r="I47" s="1011"/>
      <c r="J47" s="1011"/>
      <c r="K47" s="1011"/>
      <c r="L47" s="1011"/>
      <c r="M47" s="1011"/>
      <c r="N47" s="1012"/>
      <c r="O47" s="1012"/>
    </row>
    <row r="48" spans="1:16" s="1006" customFormat="1">
      <c r="A48" s="1012"/>
      <c r="B48" s="1027"/>
      <c r="C48" s="1056"/>
      <c r="D48" s="1057"/>
      <c r="E48" s="1057"/>
      <c r="F48" s="1058"/>
      <c r="G48" s="1059"/>
      <c r="H48" s="1059"/>
      <c r="I48" s="1059"/>
      <c r="J48" s="1057"/>
      <c r="K48" s="1057"/>
      <c r="L48" s="1057"/>
      <c r="M48" s="1057"/>
      <c r="N48" s="1012"/>
      <c r="O48" s="1012"/>
    </row>
    <row r="49" spans="2:23">
      <c r="B49" s="1060" t="s">
        <v>106</v>
      </c>
      <c r="C49" s="1061"/>
      <c r="D49" s="1062"/>
      <c r="F49" s="1063"/>
      <c r="G49" s="1059"/>
      <c r="H49" s="1059"/>
      <c r="I49" s="1059"/>
      <c r="J49" s="1058"/>
      <c r="K49" s="1058"/>
      <c r="L49" s="1058"/>
      <c r="M49" s="1058"/>
      <c r="N49" s="1046"/>
      <c r="O49" s="1064"/>
      <c r="P49" s="1065"/>
      <c r="Q49" s="1066"/>
      <c r="R49" s="1066"/>
      <c r="S49" s="1067"/>
      <c r="T49" s="1067"/>
    </row>
    <row r="50" spans="2:23" s="1006" customFormat="1" ht="20.100000000000001" customHeight="1">
      <c r="B50" s="1068" t="s">
        <v>105</v>
      </c>
      <c r="C50" s="1069"/>
      <c r="D50" s="1057"/>
      <c r="F50" s="1058"/>
      <c r="G50" s="1059"/>
      <c r="H50" s="1059"/>
      <c r="I50" s="1059"/>
      <c r="J50" s="1057"/>
      <c r="K50" s="1057"/>
      <c r="L50" s="1057"/>
      <c r="M50" s="1057"/>
      <c r="N50" s="1012"/>
      <c r="P50" s="1012"/>
      <c r="Q50" s="1012"/>
      <c r="R50" s="1012"/>
      <c r="S50" s="1012"/>
      <c r="T50" s="1012"/>
      <c r="U50" s="1012"/>
      <c r="V50" s="1012"/>
      <c r="W50" s="1012"/>
    </row>
    <row r="51" spans="2:23" s="1006" customFormat="1" ht="20.100000000000001" customHeight="1">
      <c r="B51" s="1068" t="s">
        <v>104</v>
      </c>
      <c r="C51" s="1069"/>
      <c r="D51" s="1057"/>
      <c r="F51" s="1057"/>
      <c r="G51" s="1057"/>
      <c r="H51" s="1057"/>
      <c r="I51" s="1057"/>
      <c r="J51" s="1057"/>
      <c r="K51" s="1057"/>
      <c r="L51" s="1057"/>
      <c r="M51" s="1057"/>
      <c r="P51" s="1012"/>
      <c r="Q51" s="1012"/>
      <c r="R51" s="1012"/>
      <c r="S51" s="1012"/>
      <c r="T51" s="1012"/>
      <c r="U51" s="1012"/>
      <c r="V51" s="1012"/>
      <c r="W51" s="1012"/>
    </row>
    <row r="52" spans="2:23" s="1006" customFormat="1" ht="20.100000000000001" customHeight="1">
      <c r="B52" s="1068" t="s">
        <v>3280</v>
      </c>
      <c r="C52" s="1069"/>
      <c r="D52" s="1057"/>
      <c r="F52" s="1057"/>
      <c r="G52" s="1057"/>
      <c r="H52" s="1057"/>
      <c r="I52" s="1057"/>
      <c r="J52" s="1057"/>
      <c r="K52" s="1057"/>
      <c r="L52" s="1057"/>
      <c r="M52" s="1057"/>
      <c r="P52" s="1012"/>
      <c r="Q52" s="1012"/>
      <c r="R52" s="1012"/>
      <c r="S52" s="1012"/>
      <c r="T52" s="1012"/>
      <c r="U52" s="1012"/>
      <c r="V52" s="1012"/>
      <c r="W52" s="1012"/>
    </row>
    <row r="53" spans="2:23">
      <c r="B53" s="1068" t="s">
        <v>3279</v>
      </c>
      <c r="F53" s="1058"/>
      <c r="G53" s="1058"/>
      <c r="H53" s="1058"/>
      <c r="I53" s="1058"/>
      <c r="J53" s="1058"/>
      <c r="K53" s="1058"/>
      <c r="L53" s="1058"/>
      <c r="M53" s="1058"/>
      <c r="O53" s="1064"/>
      <c r="P53" s="1065"/>
      <c r="Q53" s="1066"/>
      <c r="R53" s="1066"/>
      <c r="S53" s="1067"/>
      <c r="T53" s="1067"/>
    </row>
    <row r="54" spans="2:23">
      <c r="C54" s="1971" t="s">
        <v>7</v>
      </c>
      <c r="D54" s="1971" t="s">
        <v>169</v>
      </c>
      <c r="E54" s="1971"/>
      <c r="J54" s="1058"/>
      <c r="K54" s="1058"/>
      <c r="L54" s="1058"/>
      <c r="M54" s="1058"/>
      <c r="O54" s="1064"/>
      <c r="P54" s="1065"/>
      <c r="Q54" s="1066"/>
      <c r="R54" s="1066"/>
      <c r="S54" s="1067"/>
      <c r="T54" s="1067"/>
    </row>
    <row r="55" spans="2:23" ht="29.25" customHeight="1">
      <c r="C55" s="1971"/>
      <c r="D55" s="1035" t="s">
        <v>103</v>
      </c>
      <c r="E55" s="1035" t="s">
        <v>102</v>
      </c>
      <c r="J55" s="1058"/>
      <c r="K55" s="1058"/>
      <c r="L55" s="1058"/>
      <c r="M55" s="1058"/>
      <c r="O55" s="1064"/>
      <c r="P55" s="1065"/>
      <c r="Q55" s="1066"/>
      <c r="R55" s="1066"/>
      <c r="S55" s="1067"/>
      <c r="T55" s="1067"/>
    </row>
    <row r="56" spans="2:23">
      <c r="C56" s="1070" t="s">
        <v>94</v>
      </c>
      <c r="D56" s="1020">
        <f>C9</f>
        <v>0</v>
      </c>
      <c r="E56" s="1020">
        <f>C30</f>
        <v>0</v>
      </c>
      <c r="J56" s="1058"/>
      <c r="K56" s="1058"/>
      <c r="L56" s="1058"/>
      <c r="M56" s="1058"/>
      <c r="O56" s="1064"/>
      <c r="P56" s="1065"/>
      <c r="Q56" s="1066"/>
      <c r="R56" s="1066"/>
      <c r="S56" s="1067"/>
      <c r="T56" s="1067"/>
    </row>
    <row r="57" spans="2:23">
      <c r="C57" s="1070" t="s">
        <v>101</v>
      </c>
      <c r="D57" s="1020">
        <f>+C21</f>
        <v>0</v>
      </c>
      <c r="E57" s="1020">
        <f>+C42</f>
        <v>0</v>
      </c>
      <c r="F57" s="1071"/>
      <c r="G57" s="1071"/>
      <c r="H57" s="1071"/>
      <c r="I57" s="1072"/>
      <c r="J57" s="1058"/>
      <c r="K57" s="1058"/>
      <c r="L57" s="1058"/>
      <c r="M57" s="1058"/>
      <c r="O57" s="1064"/>
      <c r="P57" s="1065"/>
      <c r="Q57" s="1066"/>
      <c r="R57" s="1066"/>
      <c r="S57" s="1067"/>
      <c r="T57" s="1067"/>
    </row>
    <row r="58" spans="2:23">
      <c r="C58" s="1070" t="s">
        <v>6</v>
      </c>
      <c r="D58" s="1020">
        <f>SUM(D56:D57)</f>
        <v>0</v>
      </c>
      <c r="E58" s="1020">
        <f>SUM(E56:E57)</f>
        <v>0</v>
      </c>
      <c r="F58" s="1071"/>
      <c r="G58" s="1071"/>
      <c r="H58" s="1071"/>
      <c r="I58" s="1072"/>
      <c r="J58" s="1058"/>
      <c r="K58" s="1058"/>
      <c r="L58" s="1058"/>
      <c r="M58" s="1058"/>
      <c r="O58" s="1064"/>
      <c r="P58" s="1065"/>
      <c r="Q58" s="1066"/>
      <c r="R58" s="1066"/>
      <c r="S58" s="1067"/>
      <c r="T58" s="1067"/>
    </row>
    <row r="59" spans="2:23" ht="25.5" customHeight="1">
      <c r="C59" s="1070" t="s">
        <v>3276</v>
      </c>
      <c r="D59" s="1037">
        <f>P10</f>
        <v>0</v>
      </c>
      <c r="E59" s="1037">
        <f>D59</f>
        <v>0</v>
      </c>
      <c r="J59" s="1058"/>
      <c r="K59" s="1058"/>
      <c r="L59" s="1058"/>
      <c r="M59" s="1058"/>
      <c r="O59" s="1064"/>
      <c r="P59" s="1073"/>
      <c r="Q59" s="1066"/>
      <c r="R59" s="1066"/>
      <c r="S59" s="1074"/>
      <c r="T59" s="1075"/>
      <c r="U59" s="1076"/>
    </row>
    <row r="60" spans="2:23">
      <c r="C60" s="1070" t="s">
        <v>100</v>
      </c>
      <c r="D60" s="1020">
        <f>IFERROR(+D58/D59,0)</f>
        <v>0</v>
      </c>
      <c r="E60" s="1020">
        <f>IFERROR(+E58/E59,0)</f>
        <v>0</v>
      </c>
      <c r="J60" s="1077"/>
      <c r="K60" s="1077"/>
      <c r="L60" s="1077"/>
      <c r="M60" s="1077"/>
      <c r="O60" s="1977"/>
      <c r="P60" s="1977"/>
      <c r="Q60" s="1078"/>
      <c r="R60" s="1046"/>
      <c r="S60" s="1074"/>
      <c r="T60" s="1012"/>
    </row>
    <row r="61" spans="2:23">
      <c r="D61" s="1071"/>
      <c r="E61" s="1072"/>
      <c r="F61" s="1077"/>
      <c r="G61" s="1072"/>
      <c r="H61" s="1077"/>
      <c r="I61" s="1077"/>
      <c r="J61" s="1077"/>
      <c r="K61" s="1077"/>
      <c r="L61" s="1077"/>
      <c r="M61" s="1077"/>
      <c r="O61" s="1064"/>
      <c r="P61" s="1065"/>
      <c r="Q61" s="1066"/>
      <c r="R61" s="1066"/>
      <c r="S61" s="1074"/>
      <c r="T61" s="1075"/>
    </row>
    <row r="62" spans="2:23">
      <c r="E62" s="1079"/>
      <c r="F62" s="1080"/>
      <c r="G62" s="1079"/>
      <c r="H62" s="1077"/>
      <c r="I62" s="1057"/>
      <c r="J62" s="1058"/>
      <c r="K62" s="1077"/>
      <c r="L62" s="1077"/>
      <c r="M62" s="1077"/>
      <c r="O62" s="1064"/>
      <c r="P62" s="1065"/>
      <c r="Q62" s="1066"/>
      <c r="R62" s="1081"/>
      <c r="S62" s="1074"/>
      <c r="T62" s="1012"/>
    </row>
    <row r="63" spans="2:23" ht="30.75" customHeight="1">
      <c r="B63" s="1082"/>
      <c r="C63" s="1970" t="s">
        <v>99</v>
      </c>
      <c r="D63" s="1970"/>
      <c r="E63" s="1970"/>
      <c r="F63" s="1970"/>
      <c r="G63" s="1077"/>
      <c r="H63" s="1077"/>
      <c r="I63" s="1058"/>
      <c r="J63" s="1058"/>
      <c r="K63" s="1077"/>
      <c r="L63" s="1077"/>
      <c r="M63" s="1077"/>
      <c r="O63" s="1064"/>
      <c r="P63" s="1065"/>
      <c r="Q63" s="1066"/>
      <c r="R63" s="1081"/>
      <c r="S63" s="1074"/>
      <c r="T63" s="1012"/>
    </row>
    <row r="64" spans="2:23" ht="38.25">
      <c r="C64" s="1035" t="s">
        <v>98</v>
      </c>
      <c r="D64" s="1035" t="s">
        <v>162</v>
      </c>
      <c r="E64" s="1017" t="s">
        <v>163</v>
      </c>
      <c r="F64" s="1035" t="s">
        <v>164</v>
      </c>
      <c r="I64" s="1083"/>
      <c r="J64" s="1058"/>
      <c r="O64" s="1012"/>
      <c r="P64" s="1012"/>
      <c r="Q64" s="1012"/>
      <c r="R64" s="1012"/>
      <c r="S64" s="1012"/>
      <c r="T64" s="1012"/>
    </row>
    <row r="65" spans="2:10">
      <c r="B65" s="1084"/>
      <c r="C65" s="1085">
        <v>0.8</v>
      </c>
      <c r="D65" s="1086">
        <f>+D67*C65</f>
        <v>0</v>
      </c>
      <c r="E65" s="1086">
        <f>+E67</f>
        <v>0</v>
      </c>
      <c r="F65" s="1087">
        <f>IFERROR(+E65/D65,0)</f>
        <v>0</v>
      </c>
      <c r="I65" s="1088"/>
      <c r="J65" s="1058"/>
    </row>
    <row r="66" spans="2:10">
      <c r="B66" s="1084"/>
      <c r="C66" s="1085">
        <v>0.9</v>
      </c>
      <c r="D66" s="1086">
        <f>+D67*C66</f>
        <v>0</v>
      </c>
      <c r="E66" s="1086">
        <f>+E67</f>
        <v>0</v>
      </c>
      <c r="F66" s="1087">
        <f>IFERROR(+E66/D66,0)</f>
        <v>0</v>
      </c>
      <c r="I66" s="1088"/>
      <c r="J66" s="1058"/>
    </row>
    <row r="67" spans="2:10">
      <c r="B67" s="1084"/>
      <c r="C67" s="1089">
        <v>1</v>
      </c>
      <c r="D67" s="1086">
        <f>+D59*C67</f>
        <v>0</v>
      </c>
      <c r="E67" s="1086">
        <f>+E58</f>
        <v>0</v>
      </c>
      <c r="F67" s="1087">
        <f>IFERROR(+E67/D67,0)</f>
        <v>0</v>
      </c>
      <c r="I67" s="1088"/>
      <c r="J67" s="1058"/>
    </row>
    <row r="68" spans="2:10">
      <c r="B68" s="1084"/>
      <c r="C68" s="1085">
        <v>1.1000000000000001</v>
      </c>
      <c r="D68" s="1086">
        <f>+D67*C68</f>
        <v>0</v>
      </c>
      <c r="E68" s="1086">
        <f>+E67</f>
        <v>0</v>
      </c>
      <c r="F68" s="1087">
        <f>IFERROR(+E68/D68,0)</f>
        <v>0</v>
      </c>
      <c r="I68" s="1088"/>
      <c r="J68" s="1058"/>
    </row>
    <row r="69" spans="2:10">
      <c r="B69" s="1084"/>
      <c r="C69" s="1085">
        <v>1.2</v>
      </c>
      <c r="D69" s="1086">
        <f>+D67*C69</f>
        <v>0</v>
      </c>
      <c r="E69" s="1086">
        <f>+E68</f>
        <v>0</v>
      </c>
      <c r="F69" s="1087">
        <f>IFERROR(+E69/D69,0)</f>
        <v>0</v>
      </c>
      <c r="I69" s="1088"/>
      <c r="J69" s="1058"/>
    </row>
    <row r="70" spans="2:10">
      <c r="B70" s="1084"/>
      <c r="C70" s="1090"/>
      <c r="D70" s="1091"/>
      <c r="E70" s="1091"/>
      <c r="F70" s="1092"/>
      <c r="I70" s="1088"/>
      <c r="J70" s="1058"/>
    </row>
    <row r="71" spans="2:10" ht="24" customHeight="1">
      <c r="C71" s="1970" t="s">
        <v>97</v>
      </c>
      <c r="D71" s="1970"/>
      <c r="E71" s="1970"/>
      <c r="F71" s="1970"/>
      <c r="I71" s="1058"/>
      <c r="J71" s="1058"/>
    </row>
    <row r="72" spans="2:10" ht="34.5" customHeight="1">
      <c r="C72" s="1035" t="s">
        <v>96</v>
      </c>
      <c r="D72" s="1035" t="s">
        <v>170</v>
      </c>
      <c r="E72" s="1035" t="s">
        <v>188</v>
      </c>
      <c r="F72" s="1035" t="s">
        <v>189</v>
      </c>
      <c r="I72" s="1083"/>
      <c r="J72" s="1058"/>
    </row>
    <row r="73" spans="2:10">
      <c r="B73" s="1084"/>
      <c r="C73" s="1089">
        <v>0.8</v>
      </c>
      <c r="D73" s="1086">
        <f>+E65*C65</f>
        <v>0</v>
      </c>
      <c r="E73" s="1093">
        <f>D67</f>
        <v>0</v>
      </c>
      <c r="F73" s="1087">
        <f>IFERROR(+D73/E73,0)</f>
        <v>0</v>
      </c>
      <c r="I73" s="1088"/>
      <c r="J73" s="1058"/>
    </row>
    <row r="74" spans="2:10">
      <c r="B74" s="1084"/>
      <c r="C74" s="1089">
        <v>0.9</v>
      </c>
      <c r="D74" s="1086">
        <f>+E66*C66</f>
        <v>0</v>
      </c>
      <c r="E74" s="1093">
        <f>E73</f>
        <v>0</v>
      </c>
      <c r="F74" s="1087">
        <f>IFERROR(+D74/E74,0)</f>
        <v>0</v>
      </c>
      <c r="I74" s="1088"/>
      <c r="J74" s="1058"/>
    </row>
    <row r="75" spans="2:10">
      <c r="B75" s="1084"/>
      <c r="C75" s="1089">
        <v>1</v>
      </c>
      <c r="D75" s="1086">
        <f>+E67*C67</f>
        <v>0</v>
      </c>
      <c r="E75" s="1093">
        <f>E74</f>
        <v>0</v>
      </c>
      <c r="F75" s="1087">
        <f>IFERROR(+D75/E75,0)</f>
        <v>0</v>
      </c>
      <c r="I75" s="1088"/>
      <c r="J75" s="1058"/>
    </row>
    <row r="76" spans="2:10">
      <c r="B76" s="1084"/>
      <c r="C76" s="1089">
        <v>1.1000000000000001</v>
      </c>
      <c r="D76" s="1086">
        <f>+E68*C68</f>
        <v>0</v>
      </c>
      <c r="E76" s="1093">
        <f>E75</f>
        <v>0</v>
      </c>
      <c r="F76" s="1087">
        <f>IFERROR(+D76/E76,0)</f>
        <v>0</v>
      </c>
      <c r="I76" s="1088"/>
      <c r="J76" s="1058"/>
    </row>
    <row r="77" spans="2:10">
      <c r="B77" s="1084"/>
      <c r="C77" s="1089">
        <v>1.2</v>
      </c>
      <c r="D77" s="1086">
        <f>+E69*C69</f>
        <v>0</v>
      </c>
      <c r="E77" s="1093">
        <f>E76</f>
        <v>0</v>
      </c>
      <c r="F77" s="1087">
        <f>IFERROR(+D77/E77,0)</f>
        <v>0</v>
      </c>
      <c r="I77" s="1088"/>
      <c r="J77" s="1058"/>
    </row>
    <row r="78" spans="2:10">
      <c r="I78" s="1058"/>
      <c r="J78" s="1058"/>
    </row>
    <row r="81" spans="1:26" s="1006" customFormat="1" ht="12" customHeight="1">
      <c r="A81" s="1094"/>
      <c r="B81" s="1095"/>
      <c r="C81" s="1096"/>
      <c r="D81" s="1097"/>
      <c r="E81" s="1096"/>
      <c r="F81" s="1096"/>
      <c r="G81" s="1096"/>
      <c r="H81" s="1096"/>
      <c r="I81" s="1096"/>
      <c r="J81" s="1096"/>
      <c r="K81" s="1096"/>
      <c r="L81" s="1096"/>
      <c r="O81" s="1012"/>
      <c r="P81" s="1012"/>
      <c r="Q81" s="1012"/>
      <c r="R81" s="1012"/>
      <c r="S81" s="1012"/>
      <c r="T81" s="1012"/>
      <c r="U81" s="1012"/>
      <c r="V81" s="1012"/>
    </row>
    <row r="82" spans="1:26" ht="29.25" customHeight="1">
      <c r="B82" s="1978" t="s">
        <v>3198</v>
      </c>
      <c r="C82" s="1978"/>
      <c r="D82" s="1978"/>
      <c r="E82" s="1978"/>
      <c r="F82" s="1978"/>
      <c r="G82" s="1978"/>
      <c r="H82" s="1978"/>
      <c r="I82" s="1978"/>
      <c r="J82" s="1978"/>
      <c r="K82" s="1978"/>
      <c r="L82" s="1978"/>
      <c r="M82" s="1978"/>
      <c r="N82" s="1978"/>
      <c r="O82" s="1978"/>
      <c r="P82" s="1978"/>
      <c r="Q82" s="1978"/>
      <c r="R82" s="1978"/>
      <c r="S82" s="1066"/>
      <c r="T82" s="1012"/>
      <c r="U82" s="1012"/>
      <c r="V82" s="1007"/>
      <c r="W82" s="1007"/>
      <c r="X82" s="1007"/>
      <c r="Y82" s="1007"/>
      <c r="Z82" s="1007"/>
    </row>
    <row r="83" spans="1:26">
      <c r="B83" s="1007"/>
      <c r="C83" s="1007"/>
      <c r="D83" s="1007"/>
      <c r="E83" s="1012"/>
      <c r="F83" s="1012"/>
      <c r="G83" s="1012"/>
      <c r="H83" s="1015"/>
      <c r="I83" s="1012"/>
      <c r="J83" s="1012"/>
      <c r="K83" s="1012"/>
      <c r="L83" s="1012"/>
      <c r="M83" s="1007"/>
      <c r="N83" s="1064"/>
      <c r="O83" s="1065"/>
      <c r="P83" s="1066"/>
      <c r="Q83" s="1066"/>
      <c r="R83" s="1066"/>
      <c r="S83" s="1066"/>
      <c r="T83" s="1012"/>
      <c r="U83" s="1012"/>
      <c r="V83" s="1007"/>
      <c r="W83" s="1007"/>
      <c r="X83" s="1007"/>
      <c r="Y83" s="1007"/>
      <c r="Z83" s="1007"/>
    </row>
    <row r="84" spans="1:26">
      <c r="B84" s="1007"/>
      <c r="C84" s="1007"/>
      <c r="D84" s="1007"/>
      <c r="E84" s="1012"/>
      <c r="F84" s="1012"/>
      <c r="G84" s="1012"/>
      <c r="H84" s="1015"/>
      <c r="I84" s="1012"/>
      <c r="J84" s="1012"/>
      <c r="K84" s="1012"/>
      <c r="L84" s="1012"/>
      <c r="M84" s="1007"/>
      <c r="N84" s="1064"/>
      <c r="O84" s="1065"/>
      <c r="P84" s="1066"/>
      <c r="Q84" s="1066"/>
      <c r="R84" s="1066"/>
      <c r="S84" s="1066"/>
      <c r="T84" s="1012"/>
      <c r="U84" s="1012"/>
      <c r="V84" s="1007"/>
      <c r="W84" s="1007"/>
      <c r="X84" s="1007"/>
      <c r="Y84" s="1007"/>
      <c r="Z84" s="1007"/>
    </row>
    <row r="85" spans="1:26" ht="30" customHeight="1">
      <c r="B85" s="1971" t="s">
        <v>122</v>
      </c>
      <c r="C85" s="1972" t="s">
        <v>166</v>
      </c>
      <c r="D85" s="1973"/>
      <c r="E85" s="1974" t="s">
        <v>121</v>
      </c>
      <c r="F85" s="1975"/>
      <c r="G85" s="1012"/>
      <c r="H85" s="1012"/>
      <c r="I85" s="1012"/>
      <c r="J85" s="1012"/>
      <c r="K85" s="1012"/>
      <c r="L85" s="1012"/>
      <c r="M85" s="1007"/>
      <c r="N85" s="1064"/>
      <c r="O85" s="1065"/>
      <c r="P85" s="1066"/>
      <c r="Q85" s="1066"/>
      <c r="R85" s="1066"/>
      <c r="S85" s="1066"/>
      <c r="T85" s="1012"/>
      <c r="U85" s="1012"/>
      <c r="V85" s="1007"/>
      <c r="W85" s="1007"/>
      <c r="X85" s="1007"/>
      <c r="Y85" s="1007"/>
      <c r="Z85" s="1007"/>
    </row>
    <row r="86" spans="1:26" ht="13.5" customHeight="1">
      <c r="B86" s="1971"/>
      <c r="C86" s="1098" t="s">
        <v>120</v>
      </c>
      <c r="D86" s="1098" t="s">
        <v>101</v>
      </c>
      <c r="E86" s="1098" t="s">
        <v>120</v>
      </c>
      <c r="F86" s="1098" t="s">
        <v>101</v>
      </c>
      <c r="G86" s="1012"/>
      <c r="H86" s="1012"/>
      <c r="I86" s="1012"/>
      <c r="J86" s="1012"/>
      <c r="K86" s="1012"/>
      <c r="L86" s="1012"/>
      <c r="M86" s="1007"/>
      <c r="N86" s="1064"/>
      <c r="O86" s="1065"/>
      <c r="P86" s="1066"/>
      <c r="Q86" s="1066"/>
      <c r="R86" s="1066"/>
      <c r="S86" s="1066"/>
      <c r="T86" s="1012"/>
      <c r="U86" s="1012"/>
      <c r="V86" s="1007"/>
      <c r="W86" s="1007"/>
      <c r="X86" s="1007"/>
      <c r="Y86" s="1007"/>
      <c r="Z86" s="1007"/>
    </row>
    <row r="87" spans="1:26" ht="14.25" customHeight="1">
      <c r="B87" s="1099" t="s">
        <v>94</v>
      </c>
      <c r="C87" s="1100">
        <f>C9</f>
        <v>0</v>
      </c>
      <c r="D87" s="1100"/>
      <c r="E87" s="1101"/>
      <c r="F87" s="1101"/>
      <c r="G87" s="1012"/>
      <c r="H87" s="1012"/>
      <c r="I87" s="1012"/>
      <c r="J87" s="1012"/>
      <c r="K87" s="1012"/>
      <c r="L87" s="1012"/>
      <c r="M87" s="1007"/>
      <c r="N87" s="1064"/>
      <c r="O87" s="1065"/>
      <c r="P87" s="1066"/>
      <c r="Q87" s="1066"/>
      <c r="R87" s="1066"/>
      <c r="S87" s="1066"/>
      <c r="V87" s="1007"/>
      <c r="W87" s="1007"/>
      <c r="X87" s="1007"/>
      <c r="Y87" s="1007"/>
      <c r="Z87" s="1007"/>
    </row>
    <row r="88" spans="1:26" ht="14.25" customHeight="1">
      <c r="B88" s="1019" t="s">
        <v>101</v>
      </c>
      <c r="C88" s="1102">
        <f>C21</f>
        <v>0</v>
      </c>
      <c r="D88" s="1102">
        <f>C88</f>
        <v>0</v>
      </c>
      <c r="E88" s="1102"/>
      <c r="F88" s="1102"/>
      <c r="G88" s="1012"/>
      <c r="H88" s="1012"/>
      <c r="I88" s="1012"/>
      <c r="J88" s="1012"/>
      <c r="K88" s="1012"/>
      <c r="L88" s="1012"/>
      <c r="M88" s="1007"/>
      <c r="N88" s="1064"/>
      <c r="O88" s="1065"/>
      <c r="P88" s="1066"/>
      <c r="Q88" s="1066"/>
      <c r="R88" s="1066"/>
      <c r="S88" s="1066"/>
      <c r="V88" s="1007"/>
      <c r="W88" s="1007"/>
      <c r="X88" s="1007"/>
      <c r="Y88" s="1007"/>
      <c r="Z88" s="1007"/>
    </row>
    <row r="89" spans="1:26" ht="14.25" customHeight="1">
      <c r="B89" s="1019" t="s">
        <v>6</v>
      </c>
      <c r="C89" s="1102">
        <f>SUM(C87:C88)</f>
        <v>0</v>
      </c>
      <c r="D89" s="1102">
        <f>SUM(D87:D88)</f>
        <v>0</v>
      </c>
      <c r="E89" s="1102"/>
      <c r="F89" s="1102"/>
      <c r="G89" s="1012"/>
      <c r="H89" s="1012"/>
      <c r="I89" s="1012"/>
      <c r="J89" s="1012"/>
      <c r="K89" s="1012"/>
      <c r="L89" s="1012"/>
      <c r="M89" s="1007"/>
      <c r="N89" s="1064"/>
      <c r="O89" s="1065"/>
      <c r="P89" s="1066"/>
      <c r="Q89" s="1066"/>
      <c r="R89" s="1066"/>
      <c r="S89" s="1066"/>
      <c r="V89" s="1007"/>
      <c r="W89" s="1007"/>
      <c r="X89" s="1007"/>
      <c r="Y89" s="1007"/>
      <c r="Z89" s="1007"/>
    </row>
    <row r="90" spans="1:26" ht="14.25" customHeight="1">
      <c r="B90" s="1036" t="s">
        <v>3276</v>
      </c>
      <c r="C90" s="1102">
        <f>'Disp Final'!H33</f>
        <v>0</v>
      </c>
      <c r="D90" s="1102">
        <f>+C90</f>
        <v>0</v>
      </c>
      <c r="E90" s="1102"/>
      <c r="F90" s="1102"/>
      <c r="G90" s="1012"/>
      <c r="H90" s="1012"/>
      <c r="I90" s="1012"/>
      <c r="J90" s="1012"/>
      <c r="K90" s="1012"/>
      <c r="L90" s="1012"/>
      <c r="M90" s="1007"/>
      <c r="N90" s="1064"/>
      <c r="O90" s="1073"/>
      <c r="P90" s="1066"/>
      <c r="Q90" s="1066"/>
      <c r="R90" s="1081"/>
      <c r="S90" s="1103"/>
      <c r="T90" s="1104"/>
      <c r="U90" s="1007"/>
      <c r="V90" s="1007"/>
      <c r="W90" s="1007"/>
      <c r="X90" s="1007"/>
      <c r="Y90" s="1007"/>
      <c r="Z90" s="1007"/>
    </row>
    <row r="91" spans="1:26" ht="13.5" customHeight="1">
      <c r="B91" s="1019" t="s">
        <v>119</v>
      </c>
      <c r="C91" s="1105">
        <f>IFERROR(+C89/C90,0)</f>
        <v>0</v>
      </c>
      <c r="D91" s="1105">
        <f>IFERROR(+D89/D90,0)</f>
        <v>0</v>
      </c>
      <c r="E91" s="1102"/>
      <c r="F91" s="1102"/>
      <c r="G91" s="1006"/>
      <c r="H91" s="1006"/>
      <c r="I91" s="1006"/>
      <c r="J91" s="1006"/>
      <c r="K91" s="1006"/>
      <c r="L91" s="1006"/>
      <c r="M91" s="1007"/>
      <c r="N91" s="1977"/>
      <c r="O91" s="1977"/>
      <c r="P91" s="1078"/>
      <c r="Q91" s="1046"/>
      <c r="R91" s="1074"/>
      <c r="S91" s="1046"/>
      <c r="V91" s="1007"/>
      <c r="W91" s="1007"/>
      <c r="X91" s="1007"/>
      <c r="Y91" s="1007"/>
      <c r="Z91" s="1007"/>
    </row>
    <row r="92" spans="1:26">
      <c r="B92" s="1021" t="s">
        <v>113</v>
      </c>
      <c r="C92" s="1024"/>
      <c r="D92" s="1024"/>
      <c r="E92" s="1106">
        <f>IFERROR(+C91*D100,0)</f>
        <v>0</v>
      </c>
      <c r="F92" s="1106">
        <f>IFERROR(+D91*D100,0)</f>
        <v>0</v>
      </c>
      <c r="G92" s="1006"/>
      <c r="H92" s="1006"/>
      <c r="I92" s="1006"/>
      <c r="J92" s="1006"/>
      <c r="K92" s="1006"/>
      <c r="L92" s="1006"/>
      <c r="M92" s="1007"/>
      <c r="N92" s="1977"/>
      <c r="O92" s="1977"/>
      <c r="P92" s="1078"/>
      <c r="Q92" s="1046"/>
      <c r="R92" s="1074"/>
      <c r="S92" s="1046"/>
      <c r="V92" s="1007"/>
      <c r="W92" s="1007"/>
      <c r="X92" s="1007"/>
      <c r="Y92" s="1007"/>
      <c r="Z92" s="1007"/>
    </row>
    <row r="93" spans="1:26">
      <c r="B93" s="1107"/>
      <c r="C93" s="1107"/>
      <c r="D93" s="1107"/>
      <c r="E93" s="1107"/>
      <c r="F93" s="1107"/>
      <c r="G93" s="1006"/>
      <c r="H93" s="1006"/>
      <c r="I93" s="1006"/>
      <c r="J93" s="1006"/>
      <c r="K93" s="1006"/>
      <c r="L93" s="1006"/>
      <c r="M93" s="1007"/>
      <c r="N93" s="1064"/>
      <c r="O93" s="1065"/>
      <c r="P93" s="1066"/>
      <c r="Q93" s="1066"/>
      <c r="R93" s="1074"/>
      <c r="S93" s="1103"/>
      <c r="T93" s="1007"/>
      <c r="U93" s="1007"/>
      <c r="V93" s="1007"/>
      <c r="W93" s="1007"/>
      <c r="X93" s="1007"/>
      <c r="Y93" s="1007"/>
      <c r="Z93" s="1007"/>
    </row>
    <row r="94" spans="1:26">
      <c r="B94" s="1108"/>
      <c r="C94" s="1108"/>
      <c r="D94" s="1108"/>
      <c r="E94" s="1108"/>
      <c r="F94" s="1108"/>
      <c r="G94" s="1006"/>
      <c r="H94" s="1006"/>
      <c r="I94" s="1006"/>
      <c r="J94" s="1006"/>
      <c r="K94" s="1006"/>
      <c r="L94" s="1006"/>
      <c r="M94" s="1007"/>
      <c r="N94" s="1064"/>
      <c r="O94" s="1065"/>
      <c r="P94" s="1066"/>
      <c r="Q94" s="1066"/>
      <c r="R94" s="1074"/>
      <c r="S94" s="1103"/>
      <c r="T94" s="1007"/>
      <c r="U94" s="1007"/>
      <c r="V94" s="1007"/>
      <c r="W94" s="1007"/>
      <c r="X94" s="1007"/>
      <c r="Y94" s="1007"/>
      <c r="Z94" s="1007"/>
    </row>
    <row r="95" spans="1:26">
      <c r="B95" s="1109" t="s">
        <v>165</v>
      </c>
      <c r="C95" s="1108"/>
      <c r="D95" s="1108"/>
      <c r="E95" s="1108"/>
      <c r="F95" s="1108"/>
      <c r="G95" s="1006"/>
      <c r="H95" s="1007"/>
      <c r="I95" s="1007"/>
      <c r="J95" s="1007"/>
      <c r="K95" s="1007"/>
      <c r="L95" s="1007"/>
      <c r="M95" s="1007"/>
      <c r="R95" s="1074"/>
      <c r="S95" s="1103"/>
      <c r="T95" s="1007"/>
      <c r="U95" s="1007"/>
      <c r="V95" s="1007"/>
      <c r="W95" s="1007"/>
      <c r="X95" s="1007"/>
      <c r="Y95" s="1007"/>
      <c r="Z95" s="1007"/>
    </row>
    <row r="96" spans="1:26">
      <c r="A96" s="1110"/>
      <c r="B96" s="1967" t="s">
        <v>118</v>
      </c>
      <c r="C96" s="1967"/>
      <c r="D96" s="1111">
        <f>'Demanda Oferta'!D16</f>
        <v>0</v>
      </c>
      <c r="E96" s="1968" t="s">
        <v>95</v>
      </c>
      <c r="F96" s="1968"/>
      <c r="G96" s="1006"/>
      <c r="H96" s="1007"/>
      <c r="I96" s="1007"/>
      <c r="J96" s="1007"/>
      <c r="K96" s="1007"/>
      <c r="L96" s="1007"/>
      <c r="M96" s="1007"/>
      <c r="R96" s="1081"/>
      <c r="S96" s="1046"/>
      <c r="T96" s="1007"/>
      <c r="U96" s="1007"/>
      <c r="V96" s="1007"/>
      <c r="W96" s="1007"/>
      <c r="X96" s="1007"/>
      <c r="Y96" s="1007"/>
      <c r="Z96" s="1007"/>
    </row>
    <row r="97" spans="2:26">
      <c r="B97" s="1967" t="s">
        <v>69</v>
      </c>
      <c r="C97" s="1967"/>
      <c r="D97" s="1112" t="str">
        <f>DATOS!Q17</f>
        <v/>
      </c>
      <c r="E97" s="1968" t="s">
        <v>78</v>
      </c>
      <c r="F97" s="1968"/>
      <c r="G97" s="1007"/>
      <c r="H97" s="1007"/>
      <c r="I97" s="1007"/>
      <c r="J97" s="1007"/>
      <c r="K97" s="1007"/>
      <c r="L97" s="1007"/>
      <c r="M97" s="1007"/>
      <c r="R97" s="1012"/>
      <c r="S97" s="1012"/>
      <c r="T97" s="1007"/>
      <c r="U97" s="1007"/>
      <c r="V97" s="1007"/>
      <c r="W97" s="1007"/>
      <c r="X97" s="1007"/>
      <c r="Y97" s="1007"/>
      <c r="Z97" s="1007"/>
    </row>
    <row r="98" spans="2:26">
      <c r="B98" s="1967" t="s">
        <v>115</v>
      </c>
      <c r="C98" s="1967"/>
      <c r="D98" s="1113">
        <f>IFERROR(D96*D97,0)</f>
        <v>0</v>
      </c>
      <c r="E98" s="1968" t="s">
        <v>117</v>
      </c>
      <c r="F98" s="1968"/>
      <c r="G98" s="1007"/>
      <c r="H98" s="1007"/>
      <c r="I98" s="1007"/>
      <c r="J98" s="1007"/>
      <c r="K98" s="1007"/>
      <c r="L98" s="1007"/>
      <c r="M98" s="1007"/>
      <c r="S98" s="1007"/>
      <c r="T98" s="1007"/>
      <c r="U98" s="1007"/>
      <c r="V98" s="1007"/>
      <c r="W98" s="1007"/>
      <c r="X98" s="1007"/>
      <c r="Y98" s="1007"/>
      <c r="Z98" s="1007"/>
    </row>
    <row r="99" spans="2:26">
      <c r="B99" s="1967" t="s">
        <v>115</v>
      </c>
      <c r="C99" s="1967"/>
      <c r="D99" s="1114">
        <f>D98*30</f>
        <v>0</v>
      </c>
      <c r="E99" s="1968" t="s">
        <v>116</v>
      </c>
      <c r="F99" s="1968"/>
      <c r="G99" s="1007"/>
      <c r="H99" s="1007"/>
      <c r="I99" s="1007"/>
      <c r="J99" s="1007"/>
      <c r="K99" s="1007"/>
      <c r="L99" s="1007"/>
      <c r="M99" s="1007"/>
      <c r="S99" s="1007"/>
      <c r="T99" s="1007"/>
      <c r="U99" s="1007"/>
      <c r="V99" s="1007"/>
      <c r="W99" s="1007"/>
      <c r="X99" s="1007"/>
      <c r="Y99" s="1007"/>
      <c r="Z99" s="1007"/>
    </row>
    <row r="100" spans="2:26">
      <c r="B100" s="1969" t="s">
        <v>115</v>
      </c>
      <c r="C100" s="1969"/>
      <c r="D100" s="1115">
        <f>D99/1000</f>
        <v>0</v>
      </c>
      <c r="E100" s="1968" t="s">
        <v>114</v>
      </c>
      <c r="F100" s="1968"/>
      <c r="G100" s="1007"/>
      <c r="H100" s="1007"/>
      <c r="I100" s="1007"/>
      <c r="J100" s="1007"/>
      <c r="K100" s="1007"/>
      <c r="L100" s="1007"/>
      <c r="M100" s="1007"/>
      <c r="S100" s="1007"/>
      <c r="T100" s="1007"/>
      <c r="U100" s="1007"/>
      <c r="V100" s="1007"/>
      <c r="W100" s="1007"/>
      <c r="X100" s="1007"/>
      <c r="Y100" s="1007"/>
      <c r="Z100" s="1007"/>
    </row>
    <row r="101" spans="2:26">
      <c r="B101" s="1116"/>
      <c r="C101" s="1117"/>
      <c r="D101" s="1118"/>
      <c r="E101" s="1119"/>
      <c r="F101" s="1120"/>
      <c r="G101" s="1007"/>
      <c r="H101" s="1007"/>
      <c r="I101" s="1007"/>
      <c r="J101" s="1007"/>
      <c r="K101" s="1007"/>
      <c r="L101" s="1007"/>
      <c r="M101" s="1007"/>
      <c r="S101" s="1007"/>
      <c r="T101" s="1007"/>
      <c r="U101" s="1007"/>
      <c r="V101" s="1007"/>
      <c r="W101" s="1007"/>
      <c r="X101" s="1007"/>
      <c r="Y101" s="1007"/>
      <c r="Z101" s="1007"/>
    </row>
    <row r="102" spans="2:26" ht="15" customHeight="1">
      <c r="B102" s="1121" t="s">
        <v>113</v>
      </c>
      <c r="C102" s="1122"/>
      <c r="D102" s="1123"/>
      <c r="E102" s="1124">
        <f>+D91*D100</f>
        <v>0</v>
      </c>
      <c r="F102" s="1125"/>
      <c r="G102" s="1007"/>
      <c r="H102" s="1007"/>
      <c r="I102" s="1007"/>
      <c r="J102" s="1007"/>
      <c r="K102" s="1007"/>
      <c r="L102" s="1007"/>
      <c r="M102" s="1007"/>
      <c r="S102" s="1007"/>
      <c r="T102" s="1007"/>
      <c r="U102" s="1007"/>
      <c r="V102" s="1007"/>
      <c r="W102" s="1007"/>
      <c r="X102" s="1007"/>
      <c r="Y102" s="1007"/>
      <c r="Z102" s="1007"/>
    </row>
    <row r="103" spans="2:26">
      <c r="B103" s="1007"/>
      <c r="C103" s="1007"/>
      <c r="D103" s="1007"/>
      <c r="E103" s="1007"/>
      <c r="F103" s="1007"/>
      <c r="G103" s="1007"/>
      <c r="H103" s="1007"/>
      <c r="I103" s="1007"/>
      <c r="J103" s="1007"/>
      <c r="K103" s="1007"/>
      <c r="L103" s="1007"/>
      <c r="M103" s="1007"/>
      <c r="S103" s="1007"/>
      <c r="T103" s="1007"/>
      <c r="U103" s="1007"/>
      <c r="V103" s="1007"/>
      <c r="W103" s="1007"/>
      <c r="X103" s="1007"/>
      <c r="Y103" s="1007"/>
      <c r="Z103" s="1007"/>
    </row>
    <row r="104" spans="2:26">
      <c r="B104" s="1126"/>
      <c r="C104" s="1126"/>
      <c r="D104" s="1126"/>
      <c r="E104" s="1126"/>
      <c r="F104" s="1126"/>
      <c r="G104" s="1126"/>
      <c r="H104" s="1126"/>
      <c r="I104" s="1126"/>
      <c r="J104" s="1126"/>
      <c r="K104" s="1126"/>
      <c r="L104" s="1126"/>
      <c r="M104" s="1126"/>
      <c r="N104" s="1126"/>
      <c r="O104" s="1126"/>
      <c r="P104" s="1126"/>
      <c r="Q104" s="1126"/>
      <c r="R104" s="1126"/>
      <c r="S104" s="1007"/>
      <c r="T104" s="1007"/>
      <c r="U104" s="1007"/>
      <c r="V104" s="1007"/>
      <c r="W104" s="1007"/>
      <c r="X104" s="1007"/>
      <c r="Y104" s="1007"/>
      <c r="Z104" s="1007"/>
    </row>
    <row r="105" spans="2:26">
      <c r="B105" s="1126"/>
      <c r="C105" s="1126"/>
      <c r="D105" s="1126"/>
      <c r="E105" s="1126"/>
      <c r="F105" s="1126"/>
      <c r="G105" s="1126"/>
      <c r="H105" s="1126"/>
      <c r="I105" s="1126"/>
      <c r="J105" s="1126"/>
      <c r="K105" s="1126"/>
      <c r="L105" s="1126"/>
      <c r="M105" s="1126"/>
      <c r="N105" s="1126"/>
      <c r="O105" s="1126"/>
      <c r="P105" s="1126"/>
      <c r="Q105" s="1126"/>
      <c r="R105" s="1126"/>
      <c r="S105" s="1007"/>
      <c r="T105" s="1007"/>
      <c r="U105" s="1007"/>
      <c r="V105" s="1007"/>
      <c r="W105" s="1007"/>
      <c r="X105" s="1007"/>
      <c r="Y105" s="1007"/>
      <c r="Z105" s="1007"/>
    </row>
    <row r="106" spans="2:26" ht="17.25" customHeight="1">
      <c r="B106" s="1127"/>
      <c r="C106" s="1128"/>
      <c r="D106" s="1128"/>
      <c r="E106" s="1128"/>
      <c r="F106" s="1128"/>
      <c r="G106" s="1128"/>
      <c r="H106" s="1128"/>
      <c r="I106" s="1128"/>
      <c r="J106" s="1128"/>
      <c r="K106" s="1128"/>
      <c r="L106" s="1128"/>
      <c r="M106" s="1128"/>
      <c r="N106" s="1126"/>
      <c r="O106" s="1126"/>
      <c r="P106" s="1126"/>
      <c r="Q106" s="1126"/>
      <c r="R106" s="1126"/>
    </row>
    <row r="112" spans="2:26">
      <c r="G112" s="1043" t="s">
        <v>382</v>
      </c>
    </row>
  </sheetData>
  <mergeCells count="30">
    <mergeCell ref="B1:P1"/>
    <mergeCell ref="N92:O92"/>
    <mergeCell ref="B82:R82"/>
    <mergeCell ref="N91:O91"/>
    <mergeCell ref="B26:M26"/>
    <mergeCell ref="B28:B29"/>
    <mergeCell ref="B36:B37"/>
    <mergeCell ref="C36:M36"/>
    <mergeCell ref="B5:M5"/>
    <mergeCell ref="B7:B8"/>
    <mergeCell ref="B15:B16"/>
    <mergeCell ref="C15:M15"/>
    <mergeCell ref="C71:F71"/>
    <mergeCell ref="O60:P60"/>
    <mergeCell ref="C54:C55"/>
    <mergeCell ref="D54:E54"/>
    <mergeCell ref="C63:F63"/>
    <mergeCell ref="B96:C96"/>
    <mergeCell ref="E96:F96"/>
    <mergeCell ref="B97:C97"/>
    <mergeCell ref="E97:F97"/>
    <mergeCell ref="B85:B86"/>
    <mergeCell ref="C85:D85"/>
    <mergeCell ref="E85:F85"/>
    <mergeCell ref="B98:C98"/>
    <mergeCell ref="E98:F98"/>
    <mergeCell ref="B99:C99"/>
    <mergeCell ref="E99:F99"/>
    <mergeCell ref="B100:C100"/>
    <mergeCell ref="E100:F100"/>
  </mergeCells>
  <printOptions horizontalCentered="1" verticalCentered="1"/>
  <pageMargins left="0.39370078740157483" right="0.39370078740157483" top="0.39370078740157483" bottom="0.39370078740157483" header="0" footer="0"/>
  <pageSetup paperSize="9" scale="55" orientation="landscape" horizontalDpi="300" verticalDpi="300" r:id="rId1"/>
  <headerFooter alignWithMargins="0"/>
  <rowBreaks count="1" manualBreakCount="1">
    <brk id="47" min="1" max="15" man="1"/>
  </rowBreaks>
  <colBreaks count="1" manualBreakCount="1">
    <brk id="18" max="131" man="1"/>
  </colBreaks>
  <drawing r:id="rId2"/>
  <legacyDrawing r:id="rId3"/>
  <controls>
    <mc:AlternateContent xmlns:mc="http://schemas.openxmlformats.org/markup-compatibility/2006">
      <mc:Choice Requires="x14">
        <control shapeId="103425" r:id="rId4" name="CommandButton1">
          <controlPr defaultSize="0" autoLine="0" r:id="rId5">
            <anchor moveWithCells="1" sizeWithCells="1">
              <from>
                <xdr:col>1</xdr:col>
                <xdr:colOff>38100</xdr:colOff>
                <xdr:row>0</xdr:row>
                <xdr:rowOff>361950</xdr:rowOff>
              </from>
              <to>
                <xdr:col>1</xdr:col>
                <xdr:colOff>1943100</xdr:colOff>
                <xdr:row>2</xdr:row>
                <xdr:rowOff>133350</xdr:rowOff>
              </to>
            </anchor>
          </controlPr>
        </control>
      </mc:Choice>
      <mc:Fallback>
        <control shapeId="103425" r:id="rId4" name="CommandButton1"/>
      </mc:Fallback>
    </mc:AlternateContent>
    <mc:AlternateContent xmlns:mc="http://schemas.openxmlformats.org/markup-compatibility/2006">
      <mc:Choice Requires="x14">
        <control shapeId="103428" r:id="rId6" name="CommandButton3">
          <controlPr defaultSize="0" autoLine="0" r:id="rId7">
            <anchor moveWithCells="1" sizeWithCells="1">
              <from>
                <xdr:col>1</xdr:col>
                <xdr:colOff>38100</xdr:colOff>
                <xdr:row>78</xdr:row>
                <xdr:rowOff>95250</xdr:rowOff>
              </from>
              <to>
                <xdr:col>1</xdr:col>
                <xdr:colOff>1943100</xdr:colOff>
                <xdr:row>80</xdr:row>
                <xdr:rowOff>85725</xdr:rowOff>
              </to>
            </anchor>
          </controlPr>
        </control>
      </mc:Choice>
      <mc:Fallback>
        <control shapeId="103428" r:id="rId6" name="CommandButton3"/>
      </mc:Fallback>
    </mc:AlternateContent>
    <mc:AlternateContent xmlns:mc="http://schemas.openxmlformats.org/markup-compatibility/2006">
      <mc:Choice Requires="x14">
        <control shapeId="103430" r:id="rId8" name="CommandButton4">
          <controlPr defaultSize="0" autoLine="0" r:id="rId9">
            <anchor moveWithCells="1" sizeWithCells="1">
              <from>
                <xdr:col>1</xdr:col>
                <xdr:colOff>66675</xdr:colOff>
                <xdr:row>104</xdr:row>
                <xdr:rowOff>0</xdr:rowOff>
              </from>
              <to>
                <xdr:col>1</xdr:col>
                <xdr:colOff>1971675</xdr:colOff>
                <xdr:row>105</xdr:row>
                <xdr:rowOff>152400</xdr:rowOff>
              </to>
            </anchor>
          </controlPr>
        </control>
      </mc:Choice>
      <mc:Fallback>
        <control shapeId="103430" r:id="rId8" name="CommandButton4"/>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15</vt:i4>
      </vt:variant>
    </vt:vector>
  </HeadingPairs>
  <TitlesOfParts>
    <vt:vector size="35" baseType="lpstr">
      <vt:lpstr>FICHA</vt:lpstr>
      <vt:lpstr>BASE</vt:lpstr>
      <vt:lpstr>Condiciones Estándar</vt:lpstr>
      <vt:lpstr>DATOS</vt:lpstr>
      <vt:lpstr>Criterios Técnicos</vt:lpstr>
      <vt:lpstr>Estudios Básicos</vt:lpstr>
      <vt:lpstr>REQ. EJECU</vt:lpstr>
      <vt:lpstr>Población Y RR.SS</vt:lpstr>
      <vt:lpstr>Demanda Oferta</vt:lpstr>
      <vt:lpstr>Disp Final</vt:lpstr>
      <vt:lpstr>Planteamiento Técnico</vt:lpstr>
      <vt:lpstr>Costos Equip y Consul</vt:lpstr>
      <vt:lpstr>P. Val. Inor</vt:lpstr>
      <vt:lpstr>P.Val. Orgánico</vt:lpstr>
      <vt:lpstr>P. Relleno Sanitario</vt:lpstr>
      <vt:lpstr>Exp Técnico y otros</vt:lpstr>
      <vt:lpstr>O&amp;M</vt:lpstr>
      <vt:lpstr>REINV</vt:lpstr>
      <vt:lpstr>Costos Alter.</vt:lpstr>
      <vt:lpstr>CEF-Tarifa</vt:lpstr>
      <vt:lpstr>BASE!Área_de_impresión</vt:lpstr>
      <vt:lpstr>'CEF-Tarifa'!Área_de_impresión</vt:lpstr>
      <vt:lpstr>'Condiciones Estándar'!Área_de_impresión</vt:lpstr>
      <vt:lpstr>'Costos Alter.'!Área_de_impresión</vt:lpstr>
      <vt:lpstr>'Costos Equip y Consul'!Área_de_impresión</vt:lpstr>
      <vt:lpstr>DATOS!Área_de_impresión</vt:lpstr>
      <vt:lpstr>'Demanda Oferta'!Área_de_impresión</vt:lpstr>
      <vt:lpstr>'Disp Final'!Área_de_impresión</vt:lpstr>
      <vt:lpstr>'Exp Técnico y otros'!Área_de_impresión</vt:lpstr>
      <vt:lpstr>FICHA!Área_de_impresión</vt:lpstr>
      <vt:lpstr>'P.Val. Orgánico'!Área_de_impresión</vt:lpstr>
      <vt:lpstr>'Planteamiento Técnico'!Área_de_impresión</vt:lpstr>
      <vt:lpstr>'Población Y RR.SS'!Área_de_impresión</vt:lpstr>
      <vt:lpstr>REINV!Área_de_impresión</vt:lpstr>
      <vt:lpstr>'REQ. EJECU'!Área_de_impresión</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TOSHIBA</dc:creator>
  <cp:lastModifiedBy>MINAM</cp:lastModifiedBy>
  <cp:lastPrinted>2018-03-06T21:08:14Z</cp:lastPrinted>
  <dcterms:created xsi:type="dcterms:W3CDTF">2010-04-17T19:30:13Z</dcterms:created>
  <dcterms:modified xsi:type="dcterms:W3CDTF">2019-08-28T21:43:57Z</dcterms:modified>
</cp:coreProperties>
</file>