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155" windowHeight="5700" activeTab="6"/>
  </bookViews>
  <sheets>
    <sheet name="Parametros_FNM" sheetId="3" r:id="rId1"/>
    <sheet name="Parametros_FM" sheetId="1" r:id="rId2"/>
    <sheet name="Parametros_FM2" sheetId="5" r:id="rId3"/>
    <sheet name="Parametros_FNM2" sheetId="7" r:id="rId4"/>
    <sheet name="Parametros_FM3" sheetId="8" r:id="rId5"/>
    <sheet name="Parametros_FNM3" sheetId="9" r:id="rId6"/>
    <sheet name="Parametros_FNM4" sheetId="10" r:id="rId7"/>
  </sheets>
  <calcPr calcId="145621"/>
</workbook>
</file>

<file path=xl/calcChain.xml><?xml version="1.0" encoding="utf-8"?>
<calcChain xmlns="http://schemas.openxmlformats.org/spreadsheetml/2006/main">
  <c r="C30" i="10" l="1"/>
  <c r="G24" i="10"/>
  <c r="J21" i="10"/>
  <c r="G21" i="10"/>
  <c r="J20" i="10"/>
  <c r="I20" i="10"/>
  <c r="I21" i="10" s="1"/>
  <c r="G20" i="10"/>
  <c r="C19" i="10"/>
  <c r="C18" i="10"/>
  <c r="C17" i="10"/>
  <c r="C16" i="10"/>
  <c r="E14" i="10"/>
  <c r="E13" i="10"/>
  <c r="C13" i="10"/>
  <c r="E15" i="10" s="1"/>
  <c r="C12" i="10"/>
  <c r="C11" i="10"/>
  <c r="C10" i="10"/>
  <c r="B9" i="10"/>
  <c r="B23" i="10" s="1"/>
  <c r="C23" i="10" s="1"/>
  <c r="E8" i="10"/>
  <c r="B8" i="10"/>
  <c r="C8" i="10" s="1"/>
  <c r="B7" i="10"/>
  <c r="C7" i="10" s="1"/>
  <c r="B6" i="10"/>
  <c r="C6" i="10" s="1"/>
  <c r="C5" i="10"/>
  <c r="C4" i="10"/>
  <c r="C3" i="10"/>
  <c r="C2" i="10"/>
  <c r="C9" i="10" l="1"/>
  <c r="B20" i="10"/>
  <c r="B15" i="10"/>
  <c r="B21" i="10"/>
  <c r="B14" i="10"/>
  <c r="B22" i="10"/>
  <c r="C22" i="10" s="1"/>
  <c r="I20" i="9"/>
  <c r="I21" i="9" s="1"/>
  <c r="B24" i="10" l="1"/>
  <c r="C20" i="10"/>
  <c r="C14" i="10"/>
  <c r="E2" i="10" s="1"/>
  <c r="B31" i="10"/>
  <c r="C31" i="10" s="1"/>
  <c r="E9" i="10" s="1"/>
  <c r="C21" i="10"/>
  <c r="B25" i="10"/>
  <c r="B32" i="10"/>
  <c r="C32" i="10" s="1"/>
  <c r="E10" i="10" s="1"/>
  <c r="C15" i="10"/>
  <c r="E3" i="10" s="1"/>
  <c r="B6" i="9"/>
  <c r="C6" i="9" s="1"/>
  <c r="C30" i="9"/>
  <c r="E8" i="9" s="1"/>
  <c r="G24" i="9"/>
  <c r="J20" i="9"/>
  <c r="J21" i="9" s="1"/>
  <c r="G20" i="9"/>
  <c r="G21" i="9" s="1"/>
  <c r="C19" i="9"/>
  <c r="C18" i="9"/>
  <c r="C17" i="9"/>
  <c r="C16" i="9"/>
  <c r="E14" i="9"/>
  <c r="E13" i="9"/>
  <c r="C13" i="9"/>
  <c r="C12" i="9"/>
  <c r="C11" i="9"/>
  <c r="C10" i="9"/>
  <c r="B9" i="9"/>
  <c r="B23" i="9" s="1"/>
  <c r="C23" i="9" s="1"/>
  <c r="B8" i="9"/>
  <c r="B22" i="9" s="1"/>
  <c r="C22" i="9" s="1"/>
  <c r="B7" i="9"/>
  <c r="B21" i="9" s="1"/>
  <c r="C5" i="9"/>
  <c r="C4" i="9"/>
  <c r="C3" i="9"/>
  <c r="C2" i="9"/>
  <c r="C24" i="10" l="1"/>
  <c r="E6" i="10" s="1"/>
  <c r="B27" i="10"/>
  <c r="B26" i="10"/>
  <c r="C25" i="10"/>
  <c r="E7" i="10" s="1"/>
  <c r="E15" i="9"/>
  <c r="C9" i="9"/>
  <c r="C8" i="9"/>
  <c r="C21" i="9"/>
  <c r="B15" i="9"/>
  <c r="C7" i="9"/>
  <c r="B20" i="9"/>
  <c r="B14" i="9"/>
  <c r="C30" i="8"/>
  <c r="G24" i="8"/>
  <c r="J20" i="8"/>
  <c r="J21" i="8" s="1"/>
  <c r="I20" i="8"/>
  <c r="I21" i="8" s="1"/>
  <c r="G20" i="8"/>
  <c r="G21" i="8" s="1"/>
  <c r="C19" i="8"/>
  <c r="C18" i="8"/>
  <c r="C17" i="8"/>
  <c r="C16" i="8"/>
  <c r="E14" i="8"/>
  <c r="E13" i="8"/>
  <c r="C13" i="8"/>
  <c r="C12" i="8"/>
  <c r="E15" i="8" s="1"/>
  <c r="C11" i="8"/>
  <c r="C10" i="8"/>
  <c r="C9" i="8"/>
  <c r="B9" i="8"/>
  <c r="B23" i="8" s="1"/>
  <c r="C23" i="8" s="1"/>
  <c r="E8" i="8"/>
  <c r="B8" i="8"/>
  <c r="B22" i="8" s="1"/>
  <c r="C22" i="8" s="1"/>
  <c r="B7" i="8"/>
  <c r="C7" i="8" s="1"/>
  <c r="B6" i="8"/>
  <c r="C6" i="8" s="1"/>
  <c r="C5" i="8"/>
  <c r="C4" i="8"/>
  <c r="C3" i="8"/>
  <c r="C2" i="8"/>
  <c r="B34" i="10" l="1"/>
  <c r="C34" i="10" s="1"/>
  <c r="E12" i="10" s="1"/>
  <c r="C27" i="10"/>
  <c r="E5" i="10" s="1"/>
  <c r="B29" i="10"/>
  <c r="C29" i="10" s="1"/>
  <c r="B28" i="10"/>
  <c r="C28" i="10" s="1"/>
  <c r="B33" i="10"/>
  <c r="C33" i="10" s="1"/>
  <c r="E11" i="10" s="1"/>
  <c r="C26" i="10"/>
  <c r="E4" i="10" s="1"/>
  <c r="B24" i="9"/>
  <c r="C20" i="9"/>
  <c r="B32" i="9"/>
  <c r="C32" i="9" s="1"/>
  <c r="E10" i="9" s="1"/>
  <c r="C15" i="9"/>
  <c r="E3" i="9" s="1"/>
  <c r="C14" i="9"/>
  <c r="E2" i="9" s="1"/>
  <c r="B31" i="9"/>
  <c r="C31" i="9" s="1"/>
  <c r="E9" i="9" s="1"/>
  <c r="B25" i="9"/>
  <c r="B20" i="8"/>
  <c r="C8" i="8"/>
  <c r="B15" i="8"/>
  <c r="B21" i="8"/>
  <c r="B14" i="8"/>
  <c r="G18" i="7"/>
  <c r="G20" i="7"/>
  <c r="G21" i="7" s="1"/>
  <c r="C30" i="7"/>
  <c r="G24" i="7"/>
  <c r="J20" i="7"/>
  <c r="J21" i="7" s="1"/>
  <c r="I20" i="7"/>
  <c r="I21" i="7" s="1"/>
  <c r="C19" i="7"/>
  <c r="C18" i="7"/>
  <c r="C17" i="7"/>
  <c r="C16" i="7"/>
  <c r="E14" i="7"/>
  <c r="E13" i="7"/>
  <c r="C13" i="7"/>
  <c r="C12" i="7"/>
  <c r="C11" i="7"/>
  <c r="C10" i="7"/>
  <c r="E8" i="7"/>
  <c r="B7" i="7"/>
  <c r="B21" i="7" s="1"/>
  <c r="B6" i="7"/>
  <c r="C6" i="7" s="1"/>
  <c r="C5" i="7"/>
  <c r="C4" i="7"/>
  <c r="B8" i="7"/>
  <c r="C3" i="7"/>
  <c r="C2" i="7"/>
  <c r="C24" i="9" l="1"/>
  <c r="E6" i="9" s="1"/>
  <c r="B27" i="9"/>
  <c r="B26" i="9"/>
  <c r="C25" i="9"/>
  <c r="E7" i="9" s="1"/>
  <c r="C14" i="8"/>
  <c r="E2" i="8" s="1"/>
  <c r="B31" i="8"/>
  <c r="C31" i="8" s="1"/>
  <c r="E9" i="8" s="1"/>
  <c r="B24" i="8"/>
  <c r="C20" i="8"/>
  <c r="C21" i="8"/>
  <c r="B25" i="8"/>
  <c r="B32" i="8"/>
  <c r="C32" i="8" s="1"/>
  <c r="E10" i="8" s="1"/>
  <c r="C15" i="8"/>
  <c r="E3" i="8" s="1"/>
  <c r="E15" i="7"/>
  <c r="C7" i="7"/>
  <c r="C8" i="7"/>
  <c r="B22" i="7"/>
  <c r="C22" i="7" s="1"/>
  <c r="C21" i="7"/>
  <c r="B9" i="7"/>
  <c r="B20" i="7"/>
  <c r="B14" i="7"/>
  <c r="B15" i="7"/>
  <c r="C30" i="5"/>
  <c r="E8" i="5" s="1"/>
  <c r="G24" i="5"/>
  <c r="G21" i="5"/>
  <c r="J20" i="5"/>
  <c r="J21" i="5" s="1"/>
  <c r="I20" i="5"/>
  <c r="I21" i="5" s="1"/>
  <c r="G20" i="5"/>
  <c r="C19" i="5"/>
  <c r="C18" i="5"/>
  <c r="C17" i="5"/>
  <c r="C16" i="5"/>
  <c r="E14" i="5"/>
  <c r="E13" i="5"/>
  <c r="C13" i="5"/>
  <c r="C12" i="5"/>
  <c r="E15" i="5" s="1"/>
  <c r="C11" i="5"/>
  <c r="C10" i="5"/>
  <c r="B7" i="5"/>
  <c r="C7" i="5" s="1"/>
  <c r="B6" i="5"/>
  <c r="B14" i="5" s="1"/>
  <c r="C5" i="5"/>
  <c r="C4" i="5"/>
  <c r="C3" i="5"/>
  <c r="C2" i="5"/>
  <c r="J20" i="3"/>
  <c r="J21" i="3" s="1"/>
  <c r="I20" i="3"/>
  <c r="I21" i="3" s="1"/>
  <c r="G24" i="3"/>
  <c r="B4" i="3"/>
  <c r="B5" i="3"/>
  <c r="G20" i="3"/>
  <c r="G21" i="3" s="1"/>
  <c r="B28" i="9" l="1"/>
  <c r="C28" i="9" s="1"/>
  <c r="B33" i="9"/>
  <c r="C33" i="9" s="1"/>
  <c r="E11" i="9" s="1"/>
  <c r="C26" i="9"/>
  <c r="E4" i="9" s="1"/>
  <c r="B34" i="9"/>
  <c r="C34" i="9" s="1"/>
  <c r="E12" i="9" s="1"/>
  <c r="C27" i="9"/>
  <c r="E5" i="9" s="1"/>
  <c r="B29" i="9"/>
  <c r="C29" i="9" s="1"/>
  <c r="C24" i="8"/>
  <c r="E6" i="8" s="1"/>
  <c r="B27" i="8"/>
  <c r="B26" i="8"/>
  <c r="C25" i="8"/>
  <c r="E7" i="8" s="1"/>
  <c r="C15" i="7"/>
  <c r="E3" i="7" s="1"/>
  <c r="B32" i="7"/>
  <c r="C32" i="7" s="1"/>
  <c r="E10" i="7" s="1"/>
  <c r="B31" i="7"/>
  <c r="C31" i="7" s="1"/>
  <c r="E9" i="7" s="1"/>
  <c r="C14" i="7"/>
  <c r="E2" i="7" s="1"/>
  <c r="B25" i="7"/>
  <c r="C20" i="7"/>
  <c r="B24" i="7"/>
  <c r="B23" i="7"/>
  <c r="C23" i="7" s="1"/>
  <c r="C9" i="7"/>
  <c r="C6" i="5"/>
  <c r="B20" i="5"/>
  <c r="B24" i="5" s="1"/>
  <c r="B31" i="5"/>
  <c r="C31" i="5" s="1"/>
  <c r="E9" i="5" s="1"/>
  <c r="C14" i="5"/>
  <c r="E2" i="5" s="1"/>
  <c r="B9" i="5"/>
  <c r="B8" i="5"/>
  <c r="B15" i="5"/>
  <c r="B21" i="5"/>
  <c r="B6" i="3"/>
  <c r="B28" i="8" l="1"/>
  <c r="C28" i="8" s="1"/>
  <c r="B33" i="8"/>
  <c r="C33" i="8" s="1"/>
  <c r="E11" i="8" s="1"/>
  <c r="C26" i="8"/>
  <c r="E4" i="8" s="1"/>
  <c r="B34" i="8"/>
  <c r="C34" i="8" s="1"/>
  <c r="E12" i="8" s="1"/>
  <c r="C27" i="8"/>
  <c r="E5" i="8" s="1"/>
  <c r="B29" i="8"/>
  <c r="C29" i="8" s="1"/>
  <c r="C25" i="7"/>
  <c r="E7" i="7" s="1"/>
  <c r="B26" i="7"/>
  <c r="B27" i="7"/>
  <c r="C24" i="7"/>
  <c r="E6" i="7" s="1"/>
  <c r="C20" i="5"/>
  <c r="B22" i="5"/>
  <c r="C22" i="5" s="1"/>
  <c r="C8" i="5"/>
  <c r="C21" i="5"/>
  <c r="B25" i="5"/>
  <c r="B23" i="5"/>
  <c r="C23" i="5" s="1"/>
  <c r="C9" i="5"/>
  <c r="C24" i="5"/>
  <c r="E6" i="5" s="1"/>
  <c r="B32" i="5"/>
  <c r="C32" i="5" s="1"/>
  <c r="E10" i="5" s="1"/>
  <c r="C15" i="5"/>
  <c r="E3" i="5" s="1"/>
  <c r="C10" i="3"/>
  <c r="C11" i="3"/>
  <c r="C30" i="3"/>
  <c r="E8" i="3" s="1"/>
  <c r="C19" i="3"/>
  <c r="C18" i="3"/>
  <c r="C17" i="3"/>
  <c r="E14" i="3"/>
  <c r="C16" i="3"/>
  <c r="E13" i="3"/>
  <c r="C13" i="3"/>
  <c r="C12" i="3"/>
  <c r="B9" i="3"/>
  <c r="B8" i="3"/>
  <c r="B7" i="3"/>
  <c r="B15" i="3" s="1"/>
  <c r="C15" i="3" s="1"/>
  <c r="E3" i="3" s="1"/>
  <c r="C5" i="3"/>
  <c r="C4" i="3"/>
  <c r="C3" i="3"/>
  <c r="C2" i="3"/>
  <c r="B29" i="7" l="1"/>
  <c r="C29" i="7" s="1"/>
  <c r="B34" i="7"/>
  <c r="C34" i="7" s="1"/>
  <c r="E12" i="7" s="1"/>
  <c r="C27" i="7"/>
  <c r="E5" i="7" s="1"/>
  <c r="B33" i="7"/>
  <c r="C33" i="7" s="1"/>
  <c r="E11" i="7" s="1"/>
  <c r="C26" i="7"/>
  <c r="E4" i="7" s="1"/>
  <c r="B28" i="7"/>
  <c r="C28" i="7" s="1"/>
  <c r="B27" i="5"/>
  <c r="C25" i="5"/>
  <c r="E7" i="5" s="1"/>
  <c r="B26" i="5"/>
  <c r="C9" i="3"/>
  <c r="B23" i="3"/>
  <c r="C23" i="3" s="1"/>
  <c r="C8" i="3"/>
  <c r="B22" i="3"/>
  <c r="C22" i="3" s="1"/>
  <c r="B14" i="3"/>
  <c r="C14" i="3" s="1"/>
  <c r="E2" i="3" s="1"/>
  <c r="B32" i="3"/>
  <c r="C32" i="3" s="1"/>
  <c r="E10" i="3" s="1"/>
  <c r="E15" i="3"/>
  <c r="B20" i="3"/>
  <c r="C6" i="3"/>
  <c r="C7" i="3"/>
  <c r="B21" i="3"/>
  <c r="B6" i="1"/>
  <c r="B18" i="1" s="1"/>
  <c r="B22" i="1" s="1"/>
  <c r="B7" i="1"/>
  <c r="B21" i="1" s="1"/>
  <c r="B8" i="1"/>
  <c r="B9" i="1"/>
  <c r="B34" i="5" l="1"/>
  <c r="C34" i="5" s="1"/>
  <c r="E12" i="5" s="1"/>
  <c r="C27" i="5"/>
  <c r="E5" i="5" s="1"/>
  <c r="B29" i="5"/>
  <c r="C29" i="5" s="1"/>
  <c r="B33" i="5"/>
  <c r="C33" i="5" s="1"/>
  <c r="E11" i="5" s="1"/>
  <c r="C26" i="5"/>
  <c r="E4" i="5" s="1"/>
  <c r="B28" i="5"/>
  <c r="C28" i="5" s="1"/>
  <c r="B24" i="3"/>
  <c r="C24" i="3" s="1"/>
  <c r="E6" i="3" s="1"/>
  <c r="B31" i="3"/>
  <c r="C31" i="3" s="1"/>
  <c r="E9" i="3" s="1"/>
  <c r="C20" i="3"/>
  <c r="C21" i="3"/>
  <c r="B25" i="3"/>
  <c r="B29" i="1"/>
  <c r="B20" i="1"/>
  <c r="B25" i="1"/>
  <c r="B32" i="1" s="1"/>
  <c r="B19" i="1"/>
  <c r="B30" i="1"/>
  <c r="E13" i="1"/>
  <c r="E14" i="1"/>
  <c r="B27" i="3" l="1"/>
  <c r="B29" i="3" s="1"/>
  <c r="C29" i="3" s="1"/>
  <c r="B26" i="3"/>
  <c r="C25" i="3"/>
  <c r="E7" i="3" s="1"/>
  <c r="B23" i="1"/>
  <c r="B27" i="1"/>
  <c r="C28" i="1"/>
  <c r="E8" i="1" s="1"/>
  <c r="C27" i="3" l="1"/>
  <c r="E5" i="3" s="1"/>
  <c r="B34" i="3"/>
  <c r="C34" i="3" s="1"/>
  <c r="E12" i="3" s="1"/>
  <c r="B28" i="3"/>
  <c r="C28" i="3" s="1"/>
  <c r="B33" i="3"/>
  <c r="C33" i="3" s="1"/>
  <c r="E11" i="3" s="1"/>
  <c r="C26" i="3"/>
  <c r="E4" i="3" s="1"/>
  <c r="B24" i="1"/>
  <c r="C2" i="1"/>
  <c r="C3" i="1"/>
  <c r="C4" i="1"/>
  <c r="C5" i="1"/>
  <c r="B26" i="1" l="1"/>
  <c r="B31" i="1"/>
  <c r="C30" i="1"/>
  <c r="E10" i="1" s="1"/>
  <c r="C29" i="1"/>
  <c r="E9" i="1" s="1"/>
  <c r="C7" i="1"/>
  <c r="C8" i="1"/>
  <c r="C9" i="1"/>
  <c r="C10" i="1"/>
  <c r="C11" i="1"/>
  <c r="C12" i="1"/>
  <c r="E2" i="1" s="1"/>
  <c r="C13" i="1"/>
  <c r="E3" i="1" s="1"/>
  <c r="C14" i="1"/>
  <c r="C15" i="1"/>
  <c r="C16" i="1"/>
  <c r="C17" i="1"/>
  <c r="C6" i="1"/>
  <c r="C21" i="1"/>
  <c r="C20" i="1"/>
  <c r="E15" i="1" l="1"/>
  <c r="C19" i="1"/>
  <c r="C23" i="1"/>
  <c r="E7" i="1" s="1"/>
  <c r="C22" i="1"/>
  <c r="E6" i="1" s="1"/>
  <c r="C18" i="1"/>
  <c r="C27" i="1" l="1"/>
  <c r="C26" i="1"/>
  <c r="C24" i="1"/>
  <c r="E4" i="1" s="1"/>
  <c r="C25" i="1"/>
  <c r="E5" i="1" s="1"/>
  <c r="C31" i="1" l="1"/>
  <c r="E11" i="1" s="1"/>
  <c r="C32" i="1"/>
  <c r="E12" i="1" s="1"/>
</calcChain>
</file>

<file path=xl/sharedStrings.xml><?xml version="1.0" encoding="utf-8"?>
<sst xmlns="http://schemas.openxmlformats.org/spreadsheetml/2006/main" count="412" uniqueCount="97">
  <si>
    <t>T1</t>
  </si>
  <si>
    <t>T3</t>
  </si>
  <si>
    <t>T2</t>
  </si>
  <si>
    <t>T4</t>
  </si>
  <si>
    <t>gama1</t>
  </si>
  <si>
    <t>gama2</t>
  </si>
  <si>
    <t>k1</t>
  </si>
  <si>
    <t>k2</t>
  </si>
  <si>
    <t>A1</t>
  </si>
  <si>
    <t>A2</t>
  </si>
  <si>
    <t>A3</t>
  </si>
  <si>
    <t>A4</t>
  </si>
  <si>
    <t>A3/A1</t>
  </si>
  <si>
    <t>A4/A2</t>
  </si>
  <si>
    <t>k1/A1</t>
  </si>
  <si>
    <t>k2/A2</t>
  </si>
  <si>
    <t>k2/A3</t>
  </si>
  <si>
    <t>k1/A4</t>
  </si>
  <si>
    <t>Nome do Arquivo</t>
  </si>
  <si>
    <t>Descrição</t>
  </si>
  <si>
    <t>FM-Finsler</t>
  </si>
  <si>
    <t>FM-Descentralizado-IMC</t>
  </si>
  <si>
    <t>FM-Descentralizado-LGR</t>
  </si>
  <si>
    <t>FM-Descentralizado-Sdireta</t>
  </si>
  <si>
    <t>FM-DesacopladorSD-IMC</t>
  </si>
  <si>
    <t>FM-DesacopladorFTI</t>
  </si>
  <si>
    <t>FM-ControleLQR</t>
  </si>
  <si>
    <t>Fase Mínima - Controle LMI - Finsler</t>
  </si>
  <si>
    <t>Fase Mínima - Descentralizado-IMC</t>
  </si>
  <si>
    <t>Fase Mínima - Descentralizado LGR</t>
  </si>
  <si>
    <t>Fase Mínima - Descentralizado Sínteze Direta</t>
  </si>
  <si>
    <t>Fase Mínima - Desacoplado (siplified decoupling)</t>
  </si>
  <si>
    <t>Fase Mínima - Desacoplado (FT Invertida)</t>
  </si>
  <si>
    <t>Fase Mínima - Controle LQR</t>
  </si>
  <si>
    <t>FM-FinslerRobusto</t>
  </si>
  <si>
    <t>Fase Mínima - Controle LMI - Finsler Robusto aos gamas</t>
  </si>
  <si>
    <t>FM-ControleH2Robusto</t>
  </si>
  <si>
    <t>FM-ControleHinfRobusto</t>
  </si>
  <si>
    <t>Fase Mínima - Controle H2 Robusto</t>
  </si>
  <si>
    <t>Fase Mínima - Controle Hinf Robusto</t>
  </si>
  <si>
    <t>FNM-Finsler</t>
  </si>
  <si>
    <t>FNM-FinslerRobusto</t>
  </si>
  <si>
    <t>FNM-Descentralizado-IMC</t>
  </si>
  <si>
    <t>FNM-Descentralizado-LGR</t>
  </si>
  <si>
    <t>FNM-Descentralizado-Sdireta</t>
  </si>
  <si>
    <t>FNM-DesacopladorSD-IMC</t>
  </si>
  <si>
    <t>FNM-DesacopladorFTI</t>
  </si>
  <si>
    <t>FNM-ControleH2Robusto</t>
  </si>
  <si>
    <t>FNM-ControleHinfRobusto</t>
  </si>
  <si>
    <t>FNM-ControleLQR</t>
  </si>
  <si>
    <t>Fase Não Mínima - Controle LMI - Finsler</t>
  </si>
  <si>
    <t>Fase Não Mínima - Controle LMI - Finsler Robusto aos gamas</t>
  </si>
  <si>
    <t>Fase Não Mínima - Descentralizado-IMC</t>
  </si>
  <si>
    <t>Fase Não Mínima - Descentralizado LGR</t>
  </si>
  <si>
    <t>Fase Não Mínima - Descentralizado Sínteze Direta</t>
  </si>
  <si>
    <t>Fase Não Mínima - Desacoplado (siplified decoupling)</t>
  </si>
  <si>
    <t>Fase Não Mínima - Desacoplado (FT Invertida)</t>
  </si>
  <si>
    <t>Fase Não Mínima - Controle H2 Robusto</t>
  </si>
  <si>
    <t>Fase Não Mínima - Controle Hinf Robusto</t>
  </si>
  <si>
    <t>Fase Não Mínima - Controle LQR</t>
  </si>
  <si>
    <t>Controle N#</t>
  </si>
  <si>
    <t>Parametro Valor</t>
  </si>
  <si>
    <t>Valor</t>
  </si>
  <si>
    <t>gama1*T1*k1/A1</t>
  </si>
  <si>
    <t>gama2*T2*k2/A2</t>
  </si>
  <si>
    <t>(1-gama2)*T3*k2/A3</t>
  </si>
  <si>
    <t>(1-gama1)*T4*k1/A4</t>
  </si>
  <si>
    <t>Valor2</t>
  </si>
  <si>
    <t>Linearizaçao</t>
  </si>
  <si>
    <t>u1</t>
  </si>
  <si>
    <t>u2</t>
  </si>
  <si>
    <t>h1</t>
  </si>
  <si>
    <t>h2</t>
  </si>
  <si>
    <t>h3</t>
  </si>
  <si>
    <t>h4</t>
  </si>
  <si>
    <t>T1 lido</t>
  </si>
  <si>
    <t>T2 lido</t>
  </si>
  <si>
    <t>T4 lido</t>
  </si>
  <si>
    <t>T3 lido</t>
  </si>
  <si>
    <t>a1</t>
  </si>
  <si>
    <t>a2</t>
  </si>
  <si>
    <t>a3</t>
  </si>
  <si>
    <t>a4</t>
  </si>
  <si>
    <t>g</t>
  </si>
  <si>
    <t>% Settup Constants</t>
  </si>
  <si>
    <t>K-h1u2</t>
  </si>
  <si>
    <t>K-h2u1</t>
  </si>
  <si>
    <t>Step</t>
  </si>
  <si>
    <t>SS</t>
  </si>
  <si>
    <t>K</t>
  </si>
  <si>
    <t>Y</t>
  </si>
  <si>
    <t>T</t>
  </si>
  <si>
    <t>Tempo do Step</t>
  </si>
  <si>
    <t>Identificacao Primeira Ordem</t>
  </si>
  <si>
    <t>Gama</t>
  </si>
  <si>
    <t>Saturacao LMIS</t>
  </si>
  <si>
    <t>Delta Robusto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</si>
</sst>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2" borderId="0" xfId="0" applyNumberFormat="1" applyFill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3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 applyFill="1"/>
    <xf numFmtId="0" fontId="0" fillId="4" borderId="0" xfId="0" applyFill="1"/>
    <xf numFmtId="0" fontId="0" fillId="0" borderId="0" xfId="0" applyFill="1"/>
    <xf numFmtId="164" fontId="0" fillId="5" borderId="0" xfId="0" applyNumberFormat="1" applyFill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</dxf>
    <dxf>
      <numFmt numFmtId="164" formatCode="0.0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</dxf>
    <dxf>
      <numFmt numFmtId="164" formatCode="0.0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</dxf>
    <dxf>
      <numFmt numFmtId="164" formatCode="0.0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</dxf>
    <dxf>
      <numFmt numFmtId="164" formatCode="0.0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</dxf>
    <dxf>
      <numFmt numFmtId="164" formatCode="0.0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</dxf>
    <dxf>
      <numFmt numFmtId="164" formatCode="0.000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ela36" displayName="Tabela36" ref="A1:C34" totalsRowShown="0">
  <autoFilter ref="A1:C34"/>
  <tableColumns count="3">
    <tableColumn id="1" name="Parametro Valor"/>
    <tableColumn id="3" name="Valor" dataDxfId="48"/>
    <tableColumn id="2" name="Valor2" dataDxfId="47">
      <calculatedColumnFormula>ROUND(Tabela36[[#This Row],[Valor]],4)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8" name="Tabela36109" displayName="Tabela36109" ref="A1:C34" totalsRowShown="0">
  <autoFilter ref="A1:C34"/>
  <tableColumns count="3">
    <tableColumn id="1" name="Parametro Valor"/>
    <tableColumn id="3" name="Valor" dataDxfId="17"/>
    <tableColumn id="2" name="Valor2" dataDxfId="16">
      <calculatedColumnFormula>ROUND(Tabela36109[[#This Row],[Valor]],4)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Tabela171112" displayName="Tabela171112" ref="G1:H7" totalsRowShown="0" headerRowDxfId="15" dataDxfId="14">
  <tableColumns count="2">
    <tableColumn id="1" name="Linearizaçao" dataDxfId="13"/>
    <tableColumn id="2" name="Valor" dataDxfId="12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2" name="Tabela3610913" displayName="Tabela3610913" ref="A1:C34" totalsRowShown="0">
  <autoFilter ref="A1:C34"/>
  <tableColumns count="3">
    <tableColumn id="1" name="Parametro Valor"/>
    <tableColumn id="3" name="Valor" dataDxfId="11"/>
    <tableColumn id="2" name="Valor2" dataDxfId="10">
      <calculatedColumnFormula>ROUND(Tabela3610913[[#This Row],[Valor]],4)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3" name="Tabela17111214" displayName="Tabela17111214" ref="G1:H7" totalsRowShown="0" headerRowDxfId="9" dataDxfId="8">
  <tableColumns count="2">
    <tableColumn id="1" name="Linearizaçao" dataDxfId="7"/>
    <tableColumn id="2" name="Valor" dataDxfId="6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14" name="Tabela361091315" displayName="Tabela361091315" ref="A1:C34" totalsRowShown="0">
  <autoFilter ref="A1:C34"/>
  <tableColumns count="3">
    <tableColumn id="1" name="Parametro Valor"/>
    <tableColumn id="3" name="Valor" dataDxfId="5"/>
    <tableColumn id="2" name="Valor2" dataDxfId="4">
      <calculatedColumnFormula>ROUND(Tabela361091315[[#This Row],[Valor]],4)</calculatedColumnFormula>
    </tableColumn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15" name="Tabela1711121416" displayName="Tabela1711121416" ref="G1:H7" totalsRowShown="0" headerRowDxfId="3" dataDxfId="2">
  <tableColumns count="2">
    <tableColumn id="1" name="Linearizaçao" dataDxfId="1"/>
    <tableColumn id="2" name="Valor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6" name="Tabela17" displayName="Tabela17" ref="G1:H7" totalsRowShown="0" headerRowDxfId="46" dataDxfId="45">
  <tableColumns count="2">
    <tableColumn id="1" name="Linearizaçao" dataDxfId="44"/>
    <tableColumn id="2" name="Valor" dataDxfId="4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K1:M21" totalsRowShown="0" headerRowDxfId="42" headerRowBorderDxfId="41" tableBorderDxfId="40" totalsRowBorderDxfId="39">
  <autoFilter ref="K1:M21"/>
  <tableColumns count="3">
    <tableColumn id="4" name="Controle N#" dataDxfId="38"/>
    <tableColumn id="1" name="Nome do Arquivo" dataDxfId="37"/>
    <tableColumn id="2" name="Descrição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A1:C32" totalsRowShown="0">
  <autoFilter ref="A1:C32"/>
  <tableColumns count="3">
    <tableColumn id="1" name="Parametro Valor"/>
    <tableColumn id="3" name="Valor" dataDxfId="35"/>
    <tableColumn id="2" name="Valor2" dataDxfId="34">
      <calculatedColumnFormula>ROUND(Tabela3[[#This Row],[Valor]],4)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" name="Tabela1" displayName="Tabela1" ref="H1:I7" totalsRowShown="0" headerRowDxfId="33" dataDxfId="32">
  <tableColumns count="2">
    <tableColumn id="1" name="Linearizaçao" dataDxfId="31"/>
    <tableColumn id="2" name="Valor" dataDxfId="3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9" name="Tabela3610" displayName="Tabela3610" ref="A1:C34" totalsRowShown="0">
  <autoFilter ref="A1:C34"/>
  <tableColumns count="3">
    <tableColumn id="1" name="Parametro Valor"/>
    <tableColumn id="3" name="Valor" dataDxfId="29"/>
    <tableColumn id="2" name="Valor2" dataDxfId="28">
      <calculatedColumnFormula>ROUND(Tabela3610[[#This Row],[Valor]],4)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0" name="Tabela1711" displayName="Tabela1711" ref="G1:H7" totalsRowShown="0" headerRowDxfId="27" dataDxfId="26">
  <tableColumns count="2">
    <tableColumn id="1" name="Linearizaçao" dataDxfId="25"/>
    <tableColumn id="2" name="Valor" dataDxfId="24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Tabela365" displayName="Tabela365" ref="A1:C34" totalsRowShown="0">
  <autoFilter ref="A1:C34"/>
  <tableColumns count="3">
    <tableColumn id="1" name="Parametro Valor"/>
    <tableColumn id="3" name="Valor" dataDxfId="23"/>
    <tableColumn id="2" name="Valor2" dataDxfId="22">
      <calculatedColumnFormula>ROUND(Tabela365[[#This Row],[Valor]],4)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7" name="Tabela178" displayName="Tabela178" ref="G1:H7" totalsRowShown="0" headerRowDxfId="21" dataDxfId="20">
  <tableColumns count="2">
    <tableColumn id="1" name="Linearizaçao" dataDxfId="19"/>
    <tableColumn id="2" name="Valor" dataDxfId="1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115" zoomScaleNormal="115" workbookViewId="0">
      <selection activeCell="E22" sqref="E22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9.5703125" style="2" hidden="1" customWidth="1"/>
    <col min="4" max="4" width="5.140625" customWidth="1"/>
    <col min="5" max="5" width="27.5703125" bestFit="1" customWidth="1"/>
    <col min="6" max="6" width="14.42578125" bestFit="1" customWidth="1"/>
    <col min="7" max="7" width="11.7109375" customWidth="1"/>
    <col min="8" max="8" width="14" customWidth="1"/>
    <col min="9" max="9" width="11.85546875" customWidth="1"/>
  </cols>
  <sheetData>
    <row r="1" spans="1:8" x14ac:dyDescent="0.25">
      <c r="A1" t="s">
        <v>61</v>
      </c>
      <c r="B1" s="2" t="s">
        <v>62</v>
      </c>
      <c r="C1" s="2" t="s">
        <v>67</v>
      </c>
      <c r="E1" t="s">
        <v>84</v>
      </c>
      <c r="G1" s="13" t="s">
        <v>68</v>
      </c>
      <c r="H1" s="13" t="s">
        <v>62</v>
      </c>
    </row>
    <row r="2" spans="1:8" x14ac:dyDescent="0.25">
      <c r="A2" t="s">
        <v>75</v>
      </c>
      <c r="B2" s="12">
        <v>15050.65</v>
      </c>
      <c r="C2" s="2">
        <f>ROUND(Tabela36[[#This Row],[Valor]],4)</f>
        <v>15050.65</v>
      </c>
      <c r="E2" t="str">
        <f>"out.A1="&amp;C14&amp;";"</f>
        <v>out.A1=11.3437;</v>
      </c>
      <c r="G2" s="13" t="s">
        <v>69</v>
      </c>
      <c r="H2" s="13">
        <v>2.2999999999999998</v>
      </c>
    </row>
    <row r="3" spans="1:8" x14ac:dyDescent="0.25">
      <c r="A3" t="s">
        <v>76</v>
      </c>
      <c r="B3" s="12">
        <v>15330</v>
      </c>
      <c r="C3" s="2">
        <f>ROUND(Tabela36[[#This Row],[Valor]],4)</f>
        <v>15330</v>
      </c>
      <c r="E3" t="str">
        <f>"out.A2="&amp;C15&amp;";"</f>
        <v>out.A2=38.9483;</v>
      </c>
      <c r="G3" s="13" t="s">
        <v>70</v>
      </c>
      <c r="H3" s="13">
        <v>1.8</v>
      </c>
    </row>
    <row r="4" spans="1:8" x14ac:dyDescent="0.25">
      <c r="A4" t="s">
        <v>78</v>
      </c>
      <c r="B4" s="12">
        <f>33250-1800</f>
        <v>31450</v>
      </c>
      <c r="C4" s="2">
        <f>ROUND(Tabela36[[#This Row],[Valor]],4)</f>
        <v>31450</v>
      </c>
      <c r="E4" t="str">
        <f>"out.A3="&amp;C26&amp;";"</f>
        <v>out.A3=30.0709;</v>
      </c>
      <c r="G4" s="13" t="s">
        <v>71</v>
      </c>
      <c r="H4" s="13">
        <v>7.88</v>
      </c>
    </row>
    <row r="5" spans="1:8" x14ac:dyDescent="0.25">
      <c r="A5" t="s">
        <v>77</v>
      </c>
      <c r="B5" s="12">
        <f>29420-18000</f>
        <v>11420</v>
      </c>
      <c r="C5" s="2">
        <f>ROUND(Tabela36[[#This Row],[Valor]],4)</f>
        <v>11420</v>
      </c>
      <c r="E5" t="str">
        <f>"out.A4="&amp;C27&amp;";"</f>
        <v>out.A4=7.2317;</v>
      </c>
      <c r="G5" s="13" t="s">
        <v>72</v>
      </c>
      <c r="H5" s="13">
        <v>7.54</v>
      </c>
    </row>
    <row r="6" spans="1:8" x14ac:dyDescent="0.25">
      <c r="A6" t="s">
        <v>0</v>
      </c>
      <c r="B6" s="1">
        <f>B2/100</f>
        <v>150.50649999999999</v>
      </c>
      <c r="C6" s="12">
        <f>ROUND(Tabela36[[#This Row],[Valor]],4)</f>
        <v>150.50649999999999</v>
      </c>
      <c r="E6" t="str">
        <f>"out.k1="&amp;C24&amp;";"</f>
        <v>out.k1=3.0291;</v>
      </c>
      <c r="G6" s="13" t="s">
        <v>73</v>
      </c>
      <c r="H6" s="13">
        <v>6.82</v>
      </c>
    </row>
    <row r="7" spans="1:8" x14ac:dyDescent="0.25">
      <c r="A7" t="s">
        <v>2</v>
      </c>
      <c r="B7" s="1">
        <f t="shared" ref="B7:B9" si="0">B3/100</f>
        <v>153.30000000000001</v>
      </c>
      <c r="C7" s="12">
        <f>ROUND(Tabela36[[#This Row],[Valor]],4)</f>
        <v>153.30000000000001</v>
      </c>
      <c r="E7" t="str">
        <f>"out.k2="&amp;C25&amp;";"</f>
        <v>out.k2=5.2345;</v>
      </c>
      <c r="G7" s="13" t="s">
        <v>74</v>
      </c>
      <c r="H7" s="13">
        <v>8.2100000000000009</v>
      </c>
    </row>
    <row r="8" spans="1:8" x14ac:dyDescent="0.25">
      <c r="A8" t="s">
        <v>1</v>
      </c>
      <c r="B8" s="1">
        <f t="shared" si="0"/>
        <v>314.5</v>
      </c>
      <c r="C8" s="12">
        <f>ROUND(Tabela36[[#This Row],[Valor]],4)</f>
        <v>314.5</v>
      </c>
      <c r="E8" t="str">
        <f>"out.g="&amp;C30&amp;";"</f>
        <v>out.g=981;</v>
      </c>
    </row>
    <row r="9" spans="1:8" x14ac:dyDescent="0.25">
      <c r="A9" t="s">
        <v>3</v>
      </c>
      <c r="B9" s="1">
        <f t="shared" si="0"/>
        <v>114.2</v>
      </c>
      <c r="C9" s="12">
        <f>ROUND(Tabela36[[#This Row],[Valor]],4)</f>
        <v>114.2</v>
      </c>
      <c r="E9" t="str">
        <f>"out.a1="&amp;C31&amp;";"</f>
        <v>out.a1=0.0096;</v>
      </c>
    </row>
    <row r="10" spans="1:8" x14ac:dyDescent="0.25">
      <c r="A10" t="s">
        <v>85</v>
      </c>
      <c r="B10" s="12">
        <v>34.526600000000002</v>
      </c>
      <c r="C10" s="12">
        <f>ROUND(Tabela36[[#This Row],[Valor]],4)</f>
        <v>34.526600000000002</v>
      </c>
      <c r="E10" t="str">
        <f>"out.a2="&amp;C32&amp;";"</f>
        <v>out.a2=0.0315;</v>
      </c>
    </row>
    <row r="11" spans="1:8" x14ac:dyDescent="0.25">
      <c r="A11" t="s">
        <v>86</v>
      </c>
      <c r="B11" s="12">
        <v>25.8733</v>
      </c>
      <c r="C11" s="12">
        <f>ROUND(Tabela36[[#This Row],[Valor]],4)</f>
        <v>25.8733</v>
      </c>
      <c r="E11" t="str">
        <f>"out.a3="&amp;C33&amp;";"</f>
        <v>out.a3=0.0113;</v>
      </c>
    </row>
    <row r="12" spans="1:8" x14ac:dyDescent="0.25">
      <c r="A12" s="15" t="s">
        <v>4</v>
      </c>
      <c r="B12" s="17">
        <v>0.20599999999999999</v>
      </c>
      <c r="C12" s="12">
        <f>ROUND(Tabela36[[#This Row],[Valor]],4)</f>
        <v>0.20599999999999999</v>
      </c>
      <c r="E12" t="str">
        <f>"out.a4="&amp;C34&amp;";"</f>
        <v>out.a4=0.0082;</v>
      </c>
    </row>
    <row r="13" spans="1:8" x14ac:dyDescent="0.25">
      <c r="A13" s="15" t="s">
        <v>5</v>
      </c>
      <c r="B13" s="17">
        <v>0.14829999999999999</v>
      </c>
      <c r="C13" s="12">
        <f>ROUND(Tabela36[[#This Row],[Valor]],4)</f>
        <v>0.14829999999999999</v>
      </c>
      <c r="E13" t="str">
        <f>"out.hlin=["&amp;H4&amp;","&amp;H5&amp;","&amp;H6&amp;","&amp;H7&amp;"];"</f>
        <v>out.hlin=[7.88,7.54,6.82,8.21];</v>
      </c>
    </row>
    <row r="14" spans="1:8" x14ac:dyDescent="0.25">
      <c r="A14" s="16" t="s">
        <v>8</v>
      </c>
      <c r="B14" s="14">
        <f>(1-B13)*B6*B17/B10</f>
        <v>11.343737406439381</v>
      </c>
      <c r="C14" s="12">
        <f>ROUND(Tabela36[[#This Row],[Valor]],4)</f>
        <v>11.3437</v>
      </c>
      <c r="E14" t="str">
        <f>"out.vlin=["&amp;H2&amp;","&amp;H3&amp;"];"</f>
        <v>out.vlin=[2.3,1.8];</v>
      </c>
    </row>
    <row r="15" spans="1:8" x14ac:dyDescent="0.25">
      <c r="A15" s="16" t="s">
        <v>9</v>
      </c>
      <c r="B15" s="14">
        <f>(1-B12)*B7*B16/B11</f>
        <v>38.948318761039381</v>
      </c>
      <c r="C15" s="12">
        <f>ROUND(Tabela36[[#This Row],[Valor]],4)</f>
        <v>38.948300000000003</v>
      </c>
      <c r="E15" t="str">
        <f>"out.gama=["&amp;C12&amp;","&amp;C13&amp;"];"</f>
        <v>out.gama=[0.206,0.1483];</v>
      </c>
    </row>
    <row r="16" spans="1:8" x14ac:dyDescent="0.25">
      <c r="A16" t="s">
        <v>63</v>
      </c>
      <c r="B16" s="12">
        <v>8.2789999999999999</v>
      </c>
      <c r="C16" s="12">
        <f>ROUND(Tabela36[[#This Row],[Valor]],4)</f>
        <v>8.2789999999999999</v>
      </c>
    </row>
    <row r="17" spans="1:10" x14ac:dyDescent="0.25">
      <c r="A17" t="s">
        <v>64</v>
      </c>
      <c r="B17" s="12">
        <v>3.0554000000000001</v>
      </c>
      <c r="C17" s="12">
        <f>ROUND(Tabela36[[#This Row],[Valor]],4)</f>
        <v>3.0554000000000001</v>
      </c>
      <c r="F17" s="24" t="s">
        <v>93</v>
      </c>
      <c r="G17" s="24"/>
      <c r="I17" s="23" t="s">
        <v>94</v>
      </c>
      <c r="J17" s="23"/>
    </row>
    <row r="18" spans="1:10" x14ac:dyDescent="0.25">
      <c r="A18" t="s">
        <v>65</v>
      </c>
      <c r="B18" s="12">
        <v>46.626600000000003</v>
      </c>
      <c r="C18" s="12">
        <f>ROUND(Tabela36[[#This Row],[Valor]],4)</f>
        <v>46.626600000000003</v>
      </c>
      <c r="E18" s="2"/>
      <c r="F18" t="s">
        <v>88</v>
      </c>
      <c r="G18">
        <v>3.4510000000000001</v>
      </c>
      <c r="I18" s="7">
        <v>20.3</v>
      </c>
      <c r="J18" s="7">
        <v>15.4</v>
      </c>
    </row>
    <row r="19" spans="1:10" x14ac:dyDescent="0.25">
      <c r="A19" t="s">
        <v>66</v>
      </c>
      <c r="B19" s="12">
        <v>37.979999999999997</v>
      </c>
      <c r="C19" s="12">
        <f>ROUND(Tabela36[[#This Row],[Valor]],4)</f>
        <v>37.979999999999997</v>
      </c>
      <c r="F19" t="s">
        <v>87</v>
      </c>
      <c r="G19">
        <v>0.15</v>
      </c>
      <c r="I19" s="7">
        <v>3</v>
      </c>
      <c r="J19" s="7">
        <v>3.4</v>
      </c>
    </row>
    <row r="20" spans="1:10" x14ac:dyDescent="0.25">
      <c r="A20" t="s">
        <v>14</v>
      </c>
      <c r="B20" s="14">
        <f>B16/B12/B6</f>
        <v>0.267027140943079</v>
      </c>
      <c r="C20" s="12">
        <f>ROUND(Tabela36[[#This Row],[Valor]],4)</f>
        <v>0.26700000000000002</v>
      </c>
      <c r="F20" t="s">
        <v>89</v>
      </c>
      <c r="G20">
        <f>G18/G19</f>
        <v>23.006666666666668</v>
      </c>
      <c r="I20">
        <f>I19+J18</f>
        <v>18.399999999999999</v>
      </c>
      <c r="J20">
        <f>J19+I18</f>
        <v>23.7</v>
      </c>
    </row>
    <row r="21" spans="1:10" x14ac:dyDescent="0.25">
      <c r="A21" t="s">
        <v>15</v>
      </c>
      <c r="B21" s="14">
        <f>B17/B13/B7</f>
        <v>0.13439551270124248</v>
      </c>
      <c r="C21" s="12">
        <f>ROUND(Tabela36[[#This Row],[Valor]],4)</f>
        <v>0.13439999999999999</v>
      </c>
      <c r="F21" s="18">
        <v>0.63</v>
      </c>
      <c r="G21">
        <f>G20*(1-EXP(-1))*G19</f>
        <v>2.1814480485173524</v>
      </c>
      <c r="I21">
        <f>I19/I20</f>
        <v>0.16304347826086957</v>
      </c>
      <c r="J21">
        <f>J19/J20</f>
        <v>0.14345991561181434</v>
      </c>
    </row>
    <row r="22" spans="1:10" x14ac:dyDescent="0.25">
      <c r="A22" t="s">
        <v>16</v>
      </c>
      <c r="B22" s="14">
        <f>B18/B8/(1-B13)</f>
        <v>0.1740710106953399</v>
      </c>
      <c r="C22" s="12">
        <f>ROUND(Tabela36[[#This Row],[Valor]],4)</f>
        <v>0.1741</v>
      </c>
      <c r="F22" t="s">
        <v>90</v>
      </c>
      <c r="G22">
        <v>24430</v>
      </c>
    </row>
    <row r="23" spans="1:10" x14ac:dyDescent="0.25">
      <c r="A23" t="s">
        <v>17</v>
      </c>
      <c r="B23" s="14">
        <f>B19/B9/(1-B12)</f>
        <v>0.41885948466387568</v>
      </c>
      <c r="C23" s="12">
        <f>ROUND(Tabela36[[#This Row],[Valor]],4)</f>
        <v>0.41889999999999999</v>
      </c>
      <c r="F23" t="s">
        <v>92</v>
      </c>
      <c r="G23">
        <v>18000</v>
      </c>
    </row>
    <row r="24" spans="1:10" x14ac:dyDescent="0.25">
      <c r="A24" t="s">
        <v>6</v>
      </c>
      <c r="B24" s="2">
        <f>B20*B14</f>
        <v>3.029085767250566</v>
      </c>
      <c r="C24" s="12">
        <f>ROUND(Tabela36[[#This Row],[Valor]],4)</f>
        <v>3.0291000000000001</v>
      </c>
      <c r="F24" t="s">
        <v>91</v>
      </c>
      <c r="G24">
        <f>G22-G23</f>
        <v>6430</v>
      </c>
    </row>
    <row r="25" spans="1:10" x14ac:dyDescent="0.25">
      <c r="A25" t="s">
        <v>7</v>
      </c>
      <c r="B25" s="2">
        <f>B21*B15</f>
        <v>5.2344792687413086</v>
      </c>
      <c r="C25" s="12">
        <f>ROUND(Tabela36[[#This Row],[Valor]],4)</f>
        <v>5.2344999999999997</v>
      </c>
    </row>
    <row r="26" spans="1:10" x14ac:dyDescent="0.25">
      <c r="A26" t="s">
        <v>10</v>
      </c>
      <c r="B26" s="2">
        <f>B25/B22</f>
        <v>30.070942012870397</v>
      </c>
      <c r="C26" s="12">
        <f>ROUND(Tabela36[[#This Row],[Valor]],4)</f>
        <v>30.070900000000002</v>
      </c>
    </row>
    <row r="27" spans="1:10" x14ac:dyDescent="0.25">
      <c r="A27" t="s">
        <v>11</v>
      </c>
      <c r="B27" s="2">
        <f>B24/B23</f>
        <v>7.2317468701498591</v>
      </c>
      <c r="C27" s="12">
        <f>ROUND(Tabela36[[#This Row],[Valor]],4)</f>
        <v>7.2317</v>
      </c>
    </row>
    <row r="28" spans="1:10" x14ac:dyDescent="0.25">
      <c r="A28" t="s">
        <v>12</v>
      </c>
      <c r="B28" s="14">
        <f>B26/B14</f>
        <v>2.6508848834776746</v>
      </c>
      <c r="C28" s="12">
        <f>ROUND(Tabela36[[#This Row],[Valor]],4)</f>
        <v>2.6509</v>
      </c>
    </row>
    <row r="29" spans="1:10" x14ac:dyDescent="0.25">
      <c r="A29" t="s">
        <v>13</v>
      </c>
      <c r="B29" s="14">
        <f>B27/B15</f>
        <v>0.18567545661005244</v>
      </c>
      <c r="C29" s="12">
        <f>ROUND(Tabela36[[#This Row],[Valor]],4)</f>
        <v>0.1857</v>
      </c>
    </row>
    <row r="30" spans="1:10" x14ac:dyDescent="0.25">
      <c r="A30" s="15" t="s">
        <v>83</v>
      </c>
      <c r="B30" s="2">
        <v>981</v>
      </c>
      <c r="C30" s="2">
        <f>ROUND(Tabela36[[#This Row],[Valor]],4)</f>
        <v>981</v>
      </c>
    </row>
    <row r="31" spans="1:10" x14ac:dyDescent="0.25">
      <c r="A31" t="s">
        <v>79</v>
      </c>
      <c r="B31" s="2">
        <f>B14/B6*SQRT(2*H4/$B$30)</f>
        <v>9.5531041167058427E-3</v>
      </c>
      <c r="C31" s="2">
        <f>ROUND(Tabela36[[#This Row],[Valor]],4)</f>
        <v>9.5999999999999992E-3</v>
      </c>
    </row>
    <row r="32" spans="1:10" x14ac:dyDescent="0.25">
      <c r="A32" t="s">
        <v>80</v>
      </c>
      <c r="B32" s="2">
        <f>B15/B7*SQRT(2*H5/$B$30)</f>
        <v>3.1500157693658895E-2</v>
      </c>
      <c r="C32" s="2">
        <f>ROUND(Tabela36[[#This Row],[Valor]],4)</f>
        <v>3.15E-2</v>
      </c>
    </row>
    <row r="33" spans="1:3" x14ac:dyDescent="0.25">
      <c r="A33" t="s">
        <v>81</v>
      </c>
      <c r="B33" s="2">
        <f>B26/B8*SQRT(2*H6/$B$30)</f>
        <v>1.1274546051926241E-2</v>
      </c>
      <c r="C33" s="2">
        <f>ROUND(Tabela36[[#This Row],[Valor]],4)</f>
        <v>1.1299999999999999E-2</v>
      </c>
    </row>
    <row r="34" spans="1:3" x14ac:dyDescent="0.25">
      <c r="A34" t="s">
        <v>82</v>
      </c>
      <c r="B34" s="2">
        <f>B27/B9*SQRT(2*H7/$B$30)</f>
        <v>8.1927402364119131E-3</v>
      </c>
      <c r="C34" s="2">
        <f>ROUND(Tabela36[[#This Row],[Valor]],4)</f>
        <v>8.2000000000000007E-3</v>
      </c>
    </row>
  </sheetData>
  <mergeCells count="2">
    <mergeCell ref="I17:J17"/>
    <mergeCell ref="F17:G17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E24" sqref="A1:XFD1048576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9.5703125" style="2" hidden="1" customWidth="1"/>
    <col min="4" max="4" width="10.42578125" customWidth="1"/>
    <col min="5" max="5" width="27.5703125" bestFit="1" customWidth="1"/>
    <col min="6" max="6" width="23.28515625" customWidth="1"/>
    <col min="7" max="7" width="23.28515625" bestFit="1" customWidth="1"/>
    <col min="8" max="8" width="11.7109375" customWidth="1"/>
    <col min="9" max="9" width="14" customWidth="1"/>
    <col min="10" max="10" width="11.85546875" customWidth="1"/>
    <col min="12" max="12" width="13.85546875" bestFit="1" customWidth="1"/>
    <col min="13" max="13" width="26.140625" bestFit="1" customWidth="1"/>
    <col min="14" max="14" width="55.140625" bestFit="1" customWidth="1"/>
    <col min="15" max="15" width="6.28515625" customWidth="1"/>
  </cols>
  <sheetData>
    <row r="1" spans="1:13" x14ac:dyDescent="0.25">
      <c r="A1" t="s">
        <v>61</v>
      </c>
      <c r="B1" s="2" t="s">
        <v>62</v>
      </c>
      <c r="C1" s="2" t="s">
        <v>67</v>
      </c>
      <c r="E1" t="s">
        <v>84</v>
      </c>
      <c r="H1" s="13" t="s">
        <v>68</v>
      </c>
      <c r="I1" s="13" t="s">
        <v>62</v>
      </c>
      <c r="K1" s="3" t="s">
        <v>60</v>
      </c>
      <c r="L1" s="4" t="s">
        <v>18</v>
      </c>
      <c r="M1" s="5" t="s">
        <v>19</v>
      </c>
    </row>
    <row r="2" spans="1:13" x14ac:dyDescent="0.25">
      <c r="A2" t="s">
        <v>75</v>
      </c>
      <c r="B2" s="12">
        <v>9243.3042000000005</v>
      </c>
      <c r="C2" s="2">
        <f>ROUND(Tabela3[[#This Row],[Valor]],4)</f>
        <v>9243.3042000000005</v>
      </c>
      <c r="E2" t="str">
        <f>"out.A1="&amp;C12&amp;";"</f>
        <v>out.A1=47.6;</v>
      </c>
      <c r="H2" s="13" t="s">
        <v>69</v>
      </c>
      <c r="I2" s="13">
        <v>1.82</v>
      </c>
      <c r="K2" s="6">
        <v>101</v>
      </c>
      <c r="L2" s="7" t="s">
        <v>20</v>
      </c>
      <c r="M2" s="8" t="s">
        <v>27</v>
      </c>
    </row>
    <row r="3" spans="1:13" x14ac:dyDescent="0.25">
      <c r="A3" t="s">
        <v>76</v>
      </c>
      <c r="B3" s="12">
        <v>6648.5675000000001</v>
      </c>
      <c r="C3" s="2">
        <f>ROUND(Tabela3[[#This Row],[Valor]],4)</f>
        <v>6648.5675000000001</v>
      </c>
      <c r="E3" t="str">
        <f>"out.A2="&amp;C13&amp;";"</f>
        <v>out.A2=47.6;</v>
      </c>
      <c r="H3" s="13" t="s">
        <v>70</v>
      </c>
      <c r="I3" s="13">
        <v>2.04</v>
      </c>
      <c r="K3" s="6">
        <v>102</v>
      </c>
      <c r="L3" s="7" t="s">
        <v>34</v>
      </c>
      <c r="M3" s="8" t="s">
        <v>35</v>
      </c>
    </row>
    <row r="4" spans="1:13" x14ac:dyDescent="0.25">
      <c r="A4" t="s">
        <v>78</v>
      </c>
      <c r="B4" s="12">
        <v>12962.906300000001</v>
      </c>
      <c r="C4" s="2">
        <f>ROUND(Tabela3[[#This Row],[Valor]],4)</f>
        <v>12962.906300000001</v>
      </c>
      <c r="E4" t="str">
        <f>"out.A3="&amp;C24&amp;";"</f>
        <v>out.A3=26.3761;</v>
      </c>
      <c r="H4" s="13" t="s">
        <v>71</v>
      </c>
      <c r="I4" s="13">
        <v>7.17</v>
      </c>
      <c r="K4" s="6">
        <v>103</v>
      </c>
      <c r="L4" s="7" t="s">
        <v>21</v>
      </c>
      <c r="M4" s="8" t="s">
        <v>28</v>
      </c>
    </row>
    <row r="5" spans="1:13" x14ac:dyDescent="0.25">
      <c r="A5" t="s">
        <v>77</v>
      </c>
      <c r="B5" s="12">
        <v>41092.072</v>
      </c>
      <c r="C5" s="2">
        <f>ROUND(Tabela3[[#This Row],[Valor]],4)</f>
        <v>41092.072</v>
      </c>
      <c r="E5" t="str">
        <f>"out.A4="&amp;C25&amp;";"</f>
        <v>out.A4=4.9166;</v>
      </c>
      <c r="H5" s="13" t="s">
        <v>72</v>
      </c>
      <c r="I5" s="13">
        <v>9.36</v>
      </c>
      <c r="K5" s="6">
        <v>104</v>
      </c>
      <c r="L5" s="7" t="s">
        <v>22</v>
      </c>
      <c r="M5" s="8" t="s">
        <v>29</v>
      </c>
    </row>
    <row r="6" spans="1:13" x14ac:dyDescent="0.25">
      <c r="A6" t="s">
        <v>0</v>
      </c>
      <c r="B6" s="1">
        <f>B2/100</f>
        <v>92.433042</v>
      </c>
      <c r="C6" s="12">
        <f>ROUND(Tabela3[[#This Row],[Valor]],4)</f>
        <v>92.433000000000007</v>
      </c>
      <c r="E6" t="str">
        <f>"out.k1="&amp;C22&amp;";"</f>
        <v>out.k1=20.9497;</v>
      </c>
      <c r="H6" s="13" t="s">
        <v>73</v>
      </c>
      <c r="I6" s="13">
        <v>9.77</v>
      </c>
      <c r="K6" s="6">
        <v>105</v>
      </c>
      <c r="L6" s="7" t="s">
        <v>23</v>
      </c>
      <c r="M6" s="8" t="s">
        <v>30</v>
      </c>
    </row>
    <row r="7" spans="1:13" x14ac:dyDescent="0.25">
      <c r="A7" t="s">
        <v>2</v>
      </c>
      <c r="B7" s="1">
        <f t="shared" ref="B7:B9" si="0">B3/100</f>
        <v>66.485675000000001</v>
      </c>
      <c r="C7" s="12">
        <f>ROUND(Tabela3[[#This Row],[Valor]],4)</f>
        <v>66.485699999999994</v>
      </c>
      <c r="E7" t="str">
        <f>"out.k2="&amp;C23&amp;";"</f>
        <v>out.k2=22.2263;</v>
      </c>
      <c r="H7" s="13" t="s">
        <v>74</v>
      </c>
      <c r="I7" s="13">
        <v>7.37</v>
      </c>
      <c r="K7" s="6">
        <v>106</v>
      </c>
      <c r="L7" s="7" t="s">
        <v>24</v>
      </c>
      <c r="M7" s="8" t="s">
        <v>31</v>
      </c>
    </row>
    <row r="8" spans="1:13" x14ac:dyDescent="0.25">
      <c r="A8" t="s">
        <v>1</v>
      </c>
      <c r="B8" s="1">
        <f t="shared" si="0"/>
        <v>129.629063</v>
      </c>
      <c r="C8" s="12">
        <f>ROUND(Tabela3[[#This Row],[Valor]],4)</f>
        <v>129.62909999999999</v>
      </c>
      <c r="E8" t="str">
        <f>"out.g="&amp;C28&amp;";"</f>
        <v>out.g=981;</v>
      </c>
      <c r="K8" s="6">
        <v>107</v>
      </c>
      <c r="L8" s="7" t="s">
        <v>25</v>
      </c>
      <c r="M8" s="8" t="s">
        <v>32</v>
      </c>
    </row>
    <row r="9" spans="1:13" x14ac:dyDescent="0.25">
      <c r="A9" t="s">
        <v>3</v>
      </c>
      <c r="B9" s="1">
        <f t="shared" si="0"/>
        <v>410.92072000000002</v>
      </c>
      <c r="C9" s="12">
        <f>ROUND(Tabela3[[#This Row],[Valor]],4)</f>
        <v>410.92070000000001</v>
      </c>
      <c r="E9" t="str">
        <f>"out.a1="&amp;C29&amp;";"</f>
        <v>out.a1=0.0623;</v>
      </c>
      <c r="K9" s="6">
        <v>108</v>
      </c>
      <c r="L9" s="7" t="s">
        <v>36</v>
      </c>
      <c r="M9" s="8" t="s">
        <v>38</v>
      </c>
    </row>
    <row r="10" spans="1:13" x14ac:dyDescent="0.25">
      <c r="A10" s="15" t="s">
        <v>4</v>
      </c>
      <c r="B10" s="12">
        <v>0.59499999999999997</v>
      </c>
      <c r="C10" s="12">
        <f>ROUND(Tabela3[[#This Row],[Valor]],4)</f>
        <v>0.59499999999999997</v>
      </c>
      <c r="E10" t="str">
        <f>"out.a2="&amp;C30&amp;";"</f>
        <v>out.a2=0.0989;</v>
      </c>
      <c r="K10" s="6">
        <v>109</v>
      </c>
      <c r="L10" s="7" t="s">
        <v>37</v>
      </c>
      <c r="M10" s="8" t="s">
        <v>39</v>
      </c>
    </row>
    <row r="11" spans="1:13" x14ac:dyDescent="0.25">
      <c r="A11" s="15" t="s">
        <v>5</v>
      </c>
      <c r="B11" s="12">
        <v>0.59199999999999997</v>
      </c>
      <c r="C11" s="12">
        <f>ROUND(Tabela3[[#This Row],[Valor]],4)</f>
        <v>0.59199999999999997</v>
      </c>
      <c r="E11" t="str">
        <f>"out.a3="&amp;C31&amp;";"</f>
        <v>out.a3=0.0287;</v>
      </c>
      <c r="K11" s="6">
        <v>110</v>
      </c>
      <c r="L11" s="7" t="s">
        <v>26</v>
      </c>
      <c r="M11" s="8" t="s">
        <v>33</v>
      </c>
    </row>
    <row r="12" spans="1:13" x14ac:dyDescent="0.25">
      <c r="A12" s="15" t="s">
        <v>8</v>
      </c>
      <c r="B12" s="14">
        <v>47.6</v>
      </c>
      <c r="C12" s="12">
        <f>ROUND(Tabela3[[#This Row],[Valor]],4)</f>
        <v>47.6</v>
      </c>
      <c r="E12" t="str">
        <f>"out.a4="&amp;C32&amp;";"</f>
        <v>out.a4=0.0015;</v>
      </c>
      <c r="K12" s="6">
        <v>201</v>
      </c>
      <c r="L12" s="7" t="s">
        <v>40</v>
      </c>
      <c r="M12" s="8" t="s">
        <v>50</v>
      </c>
    </row>
    <row r="13" spans="1:13" x14ac:dyDescent="0.25">
      <c r="A13" s="15" t="s">
        <v>9</v>
      </c>
      <c r="B13" s="14">
        <v>47.6</v>
      </c>
      <c r="C13" s="12">
        <f>ROUND(Tabela3[[#This Row],[Valor]],4)</f>
        <v>47.6</v>
      </c>
      <c r="E13" t="str">
        <f>"out.hlin=["&amp;I4&amp;","&amp;I5&amp;","&amp;I6&amp;","&amp;I7&amp;"];"</f>
        <v>out.hlin=[7.17,9.36,9.77,7.37];</v>
      </c>
      <c r="K13" s="6">
        <v>202</v>
      </c>
      <c r="L13" s="7" t="s">
        <v>41</v>
      </c>
      <c r="M13" s="8" t="s">
        <v>51</v>
      </c>
    </row>
    <row r="14" spans="1:13" x14ac:dyDescent="0.25">
      <c r="A14" t="s">
        <v>63</v>
      </c>
      <c r="B14" s="12">
        <v>24.205500000000001</v>
      </c>
      <c r="C14" s="12">
        <f>ROUND(Tabela3[[#This Row],[Valor]],4)</f>
        <v>24.205500000000001</v>
      </c>
      <c r="E14" t="str">
        <f>"out.vlin=["&amp;I2&amp;","&amp;I3&amp;"];"</f>
        <v>out.vlin=[1.82,2.04];</v>
      </c>
      <c r="K14" s="6">
        <v>203</v>
      </c>
      <c r="L14" s="7" t="s">
        <v>42</v>
      </c>
      <c r="M14" s="8" t="s">
        <v>52</v>
      </c>
    </row>
    <row r="15" spans="1:13" x14ac:dyDescent="0.25">
      <c r="A15" t="s">
        <v>64</v>
      </c>
      <c r="B15" s="12">
        <v>18.378499999999999</v>
      </c>
      <c r="C15" s="12">
        <f>ROUND(Tabela3[[#This Row],[Valor]],4)</f>
        <v>18.378499999999999</v>
      </c>
      <c r="E15" t="str">
        <f>"out.gama=["&amp;C10&amp;","&amp;C11&amp;"];"</f>
        <v>out.gama=[0.595,0.592];</v>
      </c>
      <c r="K15" s="6">
        <v>204</v>
      </c>
      <c r="L15" s="7" t="s">
        <v>43</v>
      </c>
      <c r="M15" s="8" t="s">
        <v>53</v>
      </c>
    </row>
    <row r="16" spans="1:13" x14ac:dyDescent="0.25">
      <c r="A16" t="s">
        <v>65</v>
      </c>
      <c r="B16" s="12">
        <v>31.779299999999999</v>
      </c>
      <c r="C16" s="12">
        <f>ROUND(Tabela3[[#This Row],[Valor]],4)</f>
        <v>31.779299999999999</v>
      </c>
      <c r="K16" s="6">
        <v>205</v>
      </c>
      <c r="L16" s="7" t="s">
        <v>44</v>
      </c>
      <c r="M16" s="8" t="s">
        <v>54</v>
      </c>
    </row>
    <row r="17" spans="1:13" x14ac:dyDescent="0.25">
      <c r="A17" t="s">
        <v>66</v>
      </c>
      <c r="B17" s="12">
        <v>114.7341</v>
      </c>
      <c r="C17" s="12">
        <f>ROUND(Tabela3[[#This Row],[Valor]],4)</f>
        <v>114.7341</v>
      </c>
      <c r="K17" s="6">
        <v>206</v>
      </c>
      <c r="L17" s="7" t="s">
        <v>45</v>
      </c>
      <c r="M17" s="8" t="s">
        <v>55</v>
      </c>
    </row>
    <row r="18" spans="1:13" x14ac:dyDescent="0.25">
      <c r="A18" t="s">
        <v>14</v>
      </c>
      <c r="B18" s="1">
        <f>B14/B10/B6</f>
        <v>0.44011872513123634</v>
      </c>
      <c r="C18" s="12">
        <f>ROUND(Tabela3[[#This Row],[Valor]],4)</f>
        <v>0.44009999999999999</v>
      </c>
      <c r="E18" s="2"/>
      <c r="K18" s="6">
        <v>207</v>
      </c>
      <c r="L18" s="7" t="s">
        <v>46</v>
      </c>
      <c r="M18" s="8" t="s">
        <v>56</v>
      </c>
    </row>
    <row r="19" spans="1:13" x14ac:dyDescent="0.25">
      <c r="A19" t="s">
        <v>15</v>
      </c>
      <c r="B19" s="1">
        <f>B15/B11/B7</f>
        <v>0.46693913408434995</v>
      </c>
      <c r="C19" s="12">
        <f>ROUND(Tabela3[[#This Row],[Valor]],4)</f>
        <v>0.46689999999999998</v>
      </c>
      <c r="K19" s="6">
        <v>208</v>
      </c>
      <c r="L19" s="7" t="s">
        <v>47</v>
      </c>
      <c r="M19" s="8" t="s">
        <v>57</v>
      </c>
    </row>
    <row r="20" spans="1:13" x14ac:dyDescent="0.25">
      <c r="A20" t="s">
        <v>16</v>
      </c>
      <c r="B20" s="1">
        <f>B16/B6/(1-B11)</f>
        <v>0.84266880642606756</v>
      </c>
      <c r="C20" s="12">
        <f>ROUND(Tabela3[[#This Row],[Valor]],4)</f>
        <v>0.8427</v>
      </c>
      <c r="K20" s="6">
        <v>209</v>
      </c>
      <c r="L20" s="7" t="s">
        <v>48</v>
      </c>
      <c r="M20" s="8" t="s">
        <v>58</v>
      </c>
    </row>
    <row r="21" spans="1:13" x14ac:dyDescent="0.25">
      <c r="A21" t="s">
        <v>17</v>
      </c>
      <c r="B21" s="1">
        <f>B17/B7/(1-B10)</f>
        <v>4.2609791368452532</v>
      </c>
      <c r="C21" s="12">
        <f>ROUND(Tabela3[[#This Row],[Valor]],4)</f>
        <v>4.2610000000000001</v>
      </c>
      <c r="K21" s="9">
        <v>210</v>
      </c>
      <c r="L21" s="10" t="s">
        <v>49</v>
      </c>
      <c r="M21" s="11" t="s">
        <v>59</v>
      </c>
    </row>
    <row r="22" spans="1:13" x14ac:dyDescent="0.25">
      <c r="A22" t="s">
        <v>6</v>
      </c>
      <c r="B22" s="2">
        <f>B18*B12</f>
        <v>20.94965131624685</v>
      </c>
      <c r="C22" s="12">
        <f>ROUND(Tabela3[[#This Row],[Valor]],4)</f>
        <v>20.9497</v>
      </c>
    </row>
    <row r="23" spans="1:13" x14ac:dyDescent="0.25">
      <c r="A23" t="s">
        <v>7</v>
      </c>
      <c r="B23" s="2">
        <f>B19*B13</f>
        <v>22.226302782415058</v>
      </c>
      <c r="C23" s="12">
        <f>ROUND(Tabela3[[#This Row],[Valor]],4)</f>
        <v>22.226299999999998</v>
      </c>
    </row>
    <row r="24" spans="1:13" x14ac:dyDescent="0.25">
      <c r="A24" t="s">
        <v>10</v>
      </c>
      <c r="B24" s="2">
        <f>B23/B20</f>
        <v>26.37608347777984</v>
      </c>
      <c r="C24" s="12">
        <f>ROUND(Tabela3[[#This Row],[Valor]],4)</f>
        <v>26.376100000000001</v>
      </c>
    </row>
    <row r="25" spans="1:13" x14ac:dyDescent="0.25">
      <c r="A25" t="s">
        <v>11</v>
      </c>
      <c r="B25" s="2">
        <f>B22/B21</f>
        <v>4.9166284657656334</v>
      </c>
      <c r="C25" s="12">
        <f>ROUND(Tabela3[[#This Row],[Valor]],4)</f>
        <v>4.9165999999999999</v>
      </c>
    </row>
    <row r="26" spans="1:13" x14ac:dyDescent="0.25">
      <c r="A26" t="s">
        <v>12</v>
      </c>
      <c r="B26" s="1">
        <f>B24/B12</f>
        <v>0.55411940079369415</v>
      </c>
      <c r="C26" s="12">
        <f>ROUND(Tabela3[[#This Row],[Valor]],4)</f>
        <v>0.55410000000000004</v>
      </c>
    </row>
    <row r="27" spans="1:13" x14ac:dyDescent="0.25">
      <c r="A27" t="s">
        <v>13</v>
      </c>
      <c r="B27" s="1">
        <f>B25/B13</f>
        <v>0.10329051398667297</v>
      </c>
      <c r="C27" s="12">
        <f>ROUND(Tabela3[[#This Row],[Valor]],4)</f>
        <v>0.1033</v>
      </c>
    </row>
    <row r="28" spans="1:13" x14ac:dyDescent="0.25">
      <c r="A28" s="15" t="s">
        <v>83</v>
      </c>
      <c r="B28" s="2">
        <v>981</v>
      </c>
      <c r="C28" s="2">
        <f>ROUND(Tabela3[[#This Row],[Valor]],4)</f>
        <v>981</v>
      </c>
      <c r="F28" s="2"/>
    </row>
    <row r="29" spans="1:13" x14ac:dyDescent="0.25">
      <c r="A29" t="s">
        <v>79</v>
      </c>
      <c r="B29" s="2">
        <f>B12/B6*SQRT(2*I4/$B$28)</f>
        <v>6.2261528556650902E-2</v>
      </c>
      <c r="C29" s="2">
        <f>ROUND(Tabela3[[#This Row],[Valor]],4)</f>
        <v>6.2300000000000001E-2</v>
      </c>
    </row>
    <row r="30" spans="1:13" x14ac:dyDescent="0.25">
      <c r="A30" t="s">
        <v>80</v>
      </c>
      <c r="B30" s="2">
        <f>B13/B7*SQRT(2*I5/$B$28)</f>
        <v>9.8900227115184078E-2</v>
      </c>
      <c r="C30" s="2">
        <f>ROUND(Tabela3[[#This Row],[Valor]],4)</f>
        <v>9.8900000000000002E-2</v>
      </c>
    </row>
    <row r="31" spans="1:13" x14ac:dyDescent="0.25">
      <c r="A31" t="s">
        <v>81</v>
      </c>
      <c r="B31" s="2">
        <f>B24/B8*SQRT(2*I6/$B$28)</f>
        <v>2.8716777471830501E-2</v>
      </c>
      <c r="C31" s="2">
        <f>ROUND(Tabela3[[#This Row],[Valor]],4)</f>
        <v>2.87E-2</v>
      </c>
    </row>
    <row r="32" spans="1:13" x14ac:dyDescent="0.25">
      <c r="A32" t="s">
        <v>82</v>
      </c>
      <c r="B32" s="2">
        <f>B25/B9*SQRT(2*I7/$B$28)</f>
        <v>1.4666402144341752E-3</v>
      </c>
      <c r="C32" s="2">
        <f>ROUND(Tabela3[[#This Row],[Valor]],4)</f>
        <v>1.5E-3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E30" sqref="A1:XFD1048576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9.5703125" style="2" hidden="1" customWidth="1"/>
    <col min="4" max="4" width="5.140625" customWidth="1"/>
    <col min="5" max="5" width="27.5703125" bestFit="1" customWidth="1"/>
    <col min="6" max="6" width="14.42578125" bestFit="1" customWidth="1"/>
    <col min="7" max="7" width="11.7109375" customWidth="1"/>
    <col min="8" max="8" width="14" customWidth="1"/>
    <col min="9" max="9" width="11.85546875" customWidth="1"/>
    <col min="12" max="12" width="14.28515625" bestFit="1" customWidth="1"/>
  </cols>
  <sheetData>
    <row r="1" spans="1:13" x14ac:dyDescent="0.25">
      <c r="A1" t="s">
        <v>61</v>
      </c>
      <c r="B1" s="2" t="s">
        <v>62</v>
      </c>
      <c r="C1" s="2" t="s">
        <v>67</v>
      </c>
      <c r="E1" t="s">
        <v>84</v>
      </c>
      <c r="G1" s="13" t="s">
        <v>68</v>
      </c>
      <c r="H1" s="13" t="s">
        <v>62</v>
      </c>
      <c r="L1" t="s">
        <v>95</v>
      </c>
      <c r="M1">
        <v>2.5</v>
      </c>
    </row>
    <row r="2" spans="1:13" x14ac:dyDescent="0.25">
      <c r="A2" t="s">
        <v>75</v>
      </c>
      <c r="B2" s="12">
        <v>2812.5545999999999</v>
      </c>
      <c r="C2" s="2">
        <f>ROUND(Tabela3610[[#This Row],[Valor]],4)</f>
        <v>2812.5545999999999</v>
      </c>
      <c r="E2" t="str">
        <f>"out.A1="&amp;C14&amp;";"</f>
        <v>out.A1=15.7882;</v>
      </c>
      <c r="G2" s="13" t="s">
        <v>69</v>
      </c>
      <c r="H2" s="13">
        <v>2.2999999999999998</v>
      </c>
      <c r="L2" t="s">
        <v>96</v>
      </c>
      <c r="M2">
        <v>0.22</v>
      </c>
    </row>
    <row r="3" spans="1:13" x14ac:dyDescent="0.25">
      <c r="A3" t="s">
        <v>76</v>
      </c>
      <c r="B3" s="12">
        <v>5825.1221999999998</v>
      </c>
      <c r="C3" s="2">
        <f>ROUND(Tabela3610[[#This Row],[Valor]],4)</f>
        <v>5825.1221999999998</v>
      </c>
      <c r="E3" t="str">
        <f>"out.A2="&amp;C15&amp;";"</f>
        <v>out.A2=24.4901;</v>
      </c>
      <c r="G3" s="13" t="s">
        <v>70</v>
      </c>
      <c r="H3" s="13">
        <v>1.8</v>
      </c>
    </row>
    <row r="4" spans="1:13" x14ac:dyDescent="0.25">
      <c r="A4" t="s">
        <v>78</v>
      </c>
      <c r="B4" s="12">
        <v>25149.259900000001</v>
      </c>
      <c r="C4" s="2">
        <f>ROUND(Tabela3610[[#This Row],[Valor]],4)</f>
        <v>25149.259900000001</v>
      </c>
      <c r="E4" t="str">
        <f>"out.A3="&amp;C26&amp;";"</f>
        <v>out.A3=23.8163;</v>
      </c>
      <c r="G4" s="13" t="s">
        <v>71</v>
      </c>
      <c r="H4" s="13">
        <v>8.11</v>
      </c>
    </row>
    <row r="5" spans="1:13" x14ac:dyDescent="0.25">
      <c r="A5" t="s">
        <v>77</v>
      </c>
      <c r="B5" s="12">
        <v>14747.266600000001</v>
      </c>
      <c r="C5" s="2">
        <f>ROUND(Tabela3610[[#This Row],[Valor]],4)</f>
        <v>14747.266600000001</v>
      </c>
      <c r="E5" t="str">
        <f>"out.A4="&amp;C27&amp;";"</f>
        <v>out.A4=13.4681;</v>
      </c>
      <c r="G5" s="13" t="s">
        <v>72</v>
      </c>
      <c r="H5" s="13">
        <v>8.26</v>
      </c>
    </row>
    <row r="6" spans="1:13" x14ac:dyDescent="0.25">
      <c r="A6" t="s">
        <v>0</v>
      </c>
      <c r="B6" s="1">
        <f>B2/100</f>
        <v>28.125546</v>
      </c>
      <c r="C6" s="12">
        <f>ROUND(Tabela3610[[#This Row],[Valor]],4)</f>
        <v>28.125499999999999</v>
      </c>
      <c r="E6" t="str">
        <f>"out.k1="&amp;C24&amp;";"</f>
        <v>out.k1=9.0212;</v>
      </c>
      <c r="G6" s="13" t="s">
        <v>73</v>
      </c>
      <c r="H6" s="13">
        <v>9.14</v>
      </c>
    </row>
    <row r="7" spans="1:13" x14ac:dyDescent="0.25">
      <c r="A7" t="s">
        <v>2</v>
      </c>
      <c r="B7" s="1">
        <f t="shared" ref="B7:B9" si="0">B3/100</f>
        <v>58.251221999999999</v>
      </c>
      <c r="C7" s="12">
        <f>ROUND(Tabela3610[[#This Row],[Valor]],4)</f>
        <v>58.251199999999997</v>
      </c>
      <c r="E7" t="str">
        <f>"out.k2="&amp;C25&amp;";"</f>
        <v>out.k2=13.7439;</v>
      </c>
      <c r="G7" s="13" t="s">
        <v>74</v>
      </c>
      <c r="H7" s="13">
        <v>8.02</v>
      </c>
    </row>
    <row r="8" spans="1:13" x14ac:dyDescent="0.25">
      <c r="A8" t="s">
        <v>1</v>
      </c>
      <c r="B8" s="1">
        <f t="shared" si="0"/>
        <v>251.49259900000001</v>
      </c>
      <c r="C8" s="12">
        <f>ROUND(Tabela3610[[#This Row],[Valor]],4)</f>
        <v>251.49260000000001</v>
      </c>
      <c r="E8" t="str">
        <f>"out.g="&amp;C30&amp;";"</f>
        <v>out.g=981;</v>
      </c>
    </row>
    <row r="9" spans="1:13" x14ac:dyDescent="0.25">
      <c r="A9" t="s">
        <v>3</v>
      </c>
      <c r="B9" s="1">
        <f t="shared" si="0"/>
        <v>147.472666</v>
      </c>
      <c r="C9" s="12">
        <f>ROUND(Tabela3610[[#This Row],[Valor]],4)</f>
        <v>147.4727</v>
      </c>
      <c r="E9" t="str">
        <f>"out.a1="&amp;C31&amp;";"</f>
        <v>out.a1=0.0722;</v>
      </c>
    </row>
    <row r="10" spans="1:13" x14ac:dyDescent="0.25">
      <c r="A10" t="s">
        <v>85</v>
      </c>
      <c r="B10" s="12">
        <v>12.5486</v>
      </c>
      <c r="C10" s="12">
        <f>ROUND(Tabela3610[[#This Row],[Valor]],4)</f>
        <v>12.5486</v>
      </c>
      <c r="E10" t="str">
        <f>"out.a2="&amp;C32&amp;";"</f>
        <v>out.a2=0.0546;</v>
      </c>
    </row>
    <row r="11" spans="1:13" x14ac:dyDescent="0.25">
      <c r="A11" t="s">
        <v>86</v>
      </c>
      <c r="B11" s="12">
        <v>7.0686999999999998</v>
      </c>
      <c r="C11" s="12">
        <f>ROUND(Tabela3610[[#This Row],[Valor]],4)</f>
        <v>7.0686999999999998</v>
      </c>
      <c r="E11" t="str">
        <f>"out.a3="&amp;C33&amp;";"</f>
        <v>out.a3=0.0129;</v>
      </c>
    </row>
    <row r="12" spans="1:13" x14ac:dyDescent="0.25">
      <c r="A12" s="15" t="s">
        <v>4</v>
      </c>
      <c r="B12" s="17">
        <v>0.75509999999999999</v>
      </c>
      <c r="C12" s="12">
        <f>ROUND(Tabela3610[[#This Row],[Valor]],4)</f>
        <v>0.75509999999999999</v>
      </c>
      <c r="E12" t="str">
        <f>"out.a4="&amp;C34&amp;";"</f>
        <v>out.a4=0.0117;</v>
      </c>
    </row>
    <row r="13" spans="1:13" x14ac:dyDescent="0.25">
      <c r="A13" s="15" t="s">
        <v>5</v>
      </c>
      <c r="B13" s="17">
        <v>0.68579999999999997</v>
      </c>
      <c r="C13" s="12">
        <f>ROUND(Tabela3610[[#This Row],[Valor]],4)</f>
        <v>0.68579999999999997</v>
      </c>
      <c r="E13" t="str">
        <f>"out.hlin=["&amp;H4&amp;","&amp;H5&amp;","&amp;H6&amp;","&amp;H7&amp;"];"</f>
        <v>out.hlin=[8.11,8.26,9.14,8.02];</v>
      </c>
    </row>
    <row r="14" spans="1:13" x14ac:dyDescent="0.25">
      <c r="A14" s="16" t="s">
        <v>8</v>
      </c>
      <c r="B14" s="14">
        <f>(1-B13)*B6*B17/B10</f>
        <v>15.788247118416139</v>
      </c>
      <c r="C14" s="12">
        <f>ROUND(Tabela3610[[#This Row],[Valor]],4)</f>
        <v>15.7882</v>
      </c>
      <c r="E14" t="str">
        <f>"out.vlin=["&amp;H2&amp;","&amp;H3&amp;"];"</f>
        <v>out.vlin=[2.3,1.8];</v>
      </c>
    </row>
    <row r="15" spans="1:13" x14ac:dyDescent="0.25">
      <c r="A15" s="16" t="s">
        <v>9</v>
      </c>
      <c r="B15" s="14">
        <f>(1-B12)*B7*B16/B11</f>
        <v>24.490095408961508</v>
      </c>
      <c r="C15" s="12">
        <f>ROUND(Tabela3610[[#This Row],[Valor]],4)</f>
        <v>24.490100000000002</v>
      </c>
      <c r="E15" t="str">
        <f>"out.gama=["&amp;C12&amp;","&amp;C13&amp;"];"</f>
        <v>out.gama=[0.7551,0.6858];</v>
      </c>
    </row>
    <row r="16" spans="1:13" x14ac:dyDescent="0.25">
      <c r="A16" t="s">
        <v>63</v>
      </c>
      <c r="B16" s="12">
        <v>12.1349</v>
      </c>
      <c r="C16" s="12">
        <f>ROUND(Tabela3610[[#This Row],[Valor]],4)</f>
        <v>12.1349</v>
      </c>
    </row>
    <row r="17" spans="1:10" x14ac:dyDescent="0.25">
      <c r="A17" t="s">
        <v>64</v>
      </c>
      <c r="B17" s="12">
        <v>22.4193</v>
      </c>
      <c r="C17" s="12">
        <f>ROUND(Tabela3610[[#This Row],[Valor]],4)</f>
        <v>22.4193</v>
      </c>
      <c r="F17" t="s">
        <v>93</v>
      </c>
      <c r="I17" t="s">
        <v>94</v>
      </c>
    </row>
    <row r="18" spans="1:10" x14ac:dyDescent="0.25">
      <c r="A18" t="s">
        <v>65</v>
      </c>
      <c r="B18" s="12">
        <v>45.600299999999997</v>
      </c>
      <c r="C18" s="12">
        <f>ROUND(Tabela3610[[#This Row],[Valor]],4)</f>
        <v>45.600299999999997</v>
      </c>
      <c r="E18" s="2"/>
      <c r="F18" t="s">
        <v>88</v>
      </c>
      <c r="G18">
        <v>3.4510000000000001</v>
      </c>
      <c r="I18">
        <v>8.1999999999999993</v>
      </c>
      <c r="J18">
        <v>3.6</v>
      </c>
    </row>
    <row r="19" spans="1:10" x14ac:dyDescent="0.25">
      <c r="A19" t="s">
        <v>66</v>
      </c>
      <c r="B19" s="12">
        <v>24.191199999999998</v>
      </c>
      <c r="C19" s="12">
        <f>ROUND(Tabela3610[[#This Row],[Valor]],4)</f>
        <v>24.191199999999998</v>
      </c>
      <c r="F19" t="s">
        <v>87</v>
      </c>
      <c r="G19">
        <v>0.15</v>
      </c>
      <c r="I19">
        <v>11.1</v>
      </c>
      <c r="J19">
        <v>17.899999999999999</v>
      </c>
    </row>
    <row r="20" spans="1:10" x14ac:dyDescent="0.25">
      <c r="A20" t="s">
        <v>14</v>
      </c>
      <c r="B20" s="14">
        <f>B16/B12/B6</f>
        <v>0.5713875448768635</v>
      </c>
      <c r="C20" s="12">
        <f>ROUND(Tabela3610[[#This Row],[Valor]],4)</f>
        <v>0.57140000000000002</v>
      </c>
      <c r="F20" t="s">
        <v>89</v>
      </c>
      <c r="G20">
        <f>G18/G19</f>
        <v>23.006666666666668</v>
      </c>
      <c r="I20">
        <f>I19+J18</f>
        <v>14.7</v>
      </c>
      <c r="J20">
        <f>J19+I18</f>
        <v>26.099999999999998</v>
      </c>
    </row>
    <row r="21" spans="1:10" x14ac:dyDescent="0.25">
      <c r="A21" t="s">
        <v>15</v>
      </c>
      <c r="B21" s="14">
        <f>B17/B13/B7</f>
        <v>0.56120240978343938</v>
      </c>
      <c r="C21" s="12">
        <f>ROUND(Tabela3610[[#This Row],[Valor]],4)</f>
        <v>0.56120000000000003</v>
      </c>
      <c r="F21" s="18">
        <v>0.63</v>
      </c>
      <c r="G21">
        <f>G20*(1-EXP(-1))*G19</f>
        <v>2.1814480485173524</v>
      </c>
      <c r="I21">
        <f>I19/I20</f>
        <v>0.75510204081632659</v>
      </c>
      <c r="J21">
        <f>J19/J20</f>
        <v>0.68582375478927204</v>
      </c>
    </row>
    <row r="22" spans="1:10" x14ac:dyDescent="0.25">
      <c r="A22" t="s">
        <v>16</v>
      </c>
      <c r="B22" s="14">
        <f>B18/B8/(1-B13)</f>
        <v>0.57708038135757989</v>
      </c>
      <c r="C22" s="12">
        <f>ROUND(Tabela3610[[#This Row],[Valor]],4)</f>
        <v>0.57709999999999995</v>
      </c>
      <c r="F22" t="s">
        <v>90</v>
      </c>
      <c r="G22">
        <v>24430</v>
      </c>
    </row>
    <row r="23" spans="1:10" x14ac:dyDescent="0.25">
      <c r="A23" t="s">
        <v>17</v>
      </c>
      <c r="B23" s="14">
        <f>B19/B9/(1-B12)</f>
        <v>0.66981843379311568</v>
      </c>
      <c r="C23" s="12">
        <f>ROUND(Tabela3610[[#This Row],[Valor]],4)</f>
        <v>0.66979999999999995</v>
      </c>
      <c r="F23" t="s">
        <v>92</v>
      </c>
      <c r="G23">
        <v>18000</v>
      </c>
    </row>
    <row r="24" spans="1:10" x14ac:dyDescent="0.25">
      <c r="A24" t="s">
        <v>6</v>
      </c>
      <c r="B24" s="2">
        <f>B20*B14</f>
        <v>9.0212077589010118</v>
      </c>
      <c r="C24" s="12">
        <f>ROUND(Tabela3610[[#This Row],[Valor]],4)</f>
        <v>9.0212000000000003</v>
      </c>
      <c r="F24" t="s">
        <v>91</v>
      </c>
      <c r="G24">
        <f>G22-G23</f>
        <v>6430</v>
      </c>
    </row>
    <row r="25" spans="1:10" x14ac:dyDescent="0.25">
      <c r="A25" t="s">
        <v>7</v>
      </c>
      <c r="B25" s="2">
        <f>B21*B15</f>
        <v>13.743900559335543</v>
      </c>
      <c r="C25" s="12">
        <f>ROUND(Tabela3610[[#This Row],[Valor]],4)</f>
        <v>13.7439</v>
      </c>
    </row>
    <row r="26" spans="1:10" x14ac:dyDescent="0.25">
      <c r="A26" t="s">
        <v>10</v>
      </c>
      <c r="B26" s="2">
        <f>B25/B22</f>
        <v>23.816267201811744</v>
      </c>
      <c r="C26" s="12">
        <f>ROUND(Tabela3610[[#This Row],[Valor]],4)</f>
        <v>23.816299999999998</v>
      </c>
    </row>
    <row r="27" spans="1:10" x14ac:dyDescent="0.25">
      <c r="A27" t="s">
        <v>11</v>
      </c>
      <c r="B27" s="2">
        <f>B24/B23</f>
        <v>13.468138981805566</v>
      </c>
      <c r="C27" s="12">
        <f>ROUND(Tabela3610[[#This Row],[Valor]],4)</f>
        <v>13.4681</v>
      </c>
    </row>
    <row r="28" spans="1:10" x14ac:dyDescent="0.25">
      <c r="A28" t="s">
        <v>12</v>
      </c>
      <c r="B28" s="14">
        <f>B26/B14</f>
        <v>1.508480772006118</v>
      </c>
      <c r="C28" s="12">
        <f>ROUND(Tabela3610[[#This Row],[Valor]],4)</f>
        <v>1.5085</v>
      </c>
    </row>
    <row r="29" spans="1:10" x14ac:dyDescent="0.25">
      <c r="A29" t="s">
        <v>13</v>
      </c>
      <c r="B29" s="14">
        <f>B27/B15</f>
        <v>0.54994228306996529</v>
      </c>
      <c r="C29" s="12">
        <f>ROUND(Tabela3610[[#This Row],[Valor]],4)</f>
        <v>0.54990000000000006</v>
      </c>
    </row>
    <row r="30" spans="1:10" x14ac:dyDescent="0.25">
      <c r="A30" s="15" t="s">
        <v>83</v>
      </c>
      <c r="B30" s="2">
        <v>981</v>
      </c>
      <c r="C30" s="2">
        <f>ROUND(Tabela3610[[#This Row],[Valor]],4)</f>
        <v>981</v>
      </c>
    </row>
    <row r="31" spans="1:10" x14ac:dyDescent="0.25">
      <c r="A31" t="s">
        <v>79</v>
      </c>
      <c r="B31" s="2">
        <f>B14/B6*SQRT(2*H4/$B$30)</f>
        <v>7.2181162874710922E-2</v>
      </c>
      <c r="C31" s="2">
        <f>ROUND(Tabela3610[[#This Row],[Valor]],4)</f>
        <v>7.22E-2</v>
      </c>
    </row>
    <row r="32" spans="1:10" x14ac:dyDescent="0.25">
      <c r="A32" t="s">
        <v>80</v>
      </c>
      <c r="B32" s="2">
        <f>B15/B7*SQRT(2*H5/$B$30)</f>
        <v>5.4557687563457191E-2</v>
      </c>
      <c r="C32" s="2">
        <f>ROUND(Tabela3610[[#This Row],[Valor]],4)</f>
        <v>5.4600000000000003E-2</v>
      </c>
    </row>
    <row r="33" spans="1:3" x14ac:dyDescent="0.25">
      <c r="A33" t="s">
        <v>81</v>
      </c>
      <c r="B33" s="2">
        <f>B26/B8*SQRT(2*H6/$B$30)</f>
        <v>1.292712883518546E-2</v>
      </c>
      <c r="C33" s="2">
        <f>ROUND(Tabela3610[[#This Row],[Valor]],4)</f>
        <v>1.29E-2</v>
      </c>
    </row>
    <row r="34" spans="1:3" x14ac:dyDescent="0.25">
      <c r="A34" t="s">
        <v>82</v>
      </c>
      <c r="B34" s="2">
        <f>B27/B9*SQRT(2*H7/$B$30)</f>
        <v>1.1677872685498598E-2</v>
      </c>
      <c r="C34" s="2">
        <f>ROUND(Tabela3610[[#This Row],[Valor]],4)</f>
        <v>1.17E-2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F17" sqref="F17:G17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9.5703125" style="2" hidden="1" customWidth="1"/>
    <col min="4" max="4" width="5.140625" customWidth="1"/>
    <col min="5" max="5" width="27.5703125" bestFit="1" customWidth="1"/>
    <col min="6" max="6" width="14.42578125" bestFit="1" customWidth="1"/>
    <col min="7" max="7" width="11.7109375" customWidth="1"/>
    <col min="8" max="8" width="14" customWidth="1"/>
    <col min="9" max="9" width="11.85546875" customWidth="1"/>
  </cols>
  <sheetData>
    <row r="1" spans="1:8" x14ac:dyDescent="0.25">
      <c r="A1" t="s">
        <v>61</v>
      </c>
      <c r="B1" s="2" t="s">
        <v>62</v>
      </c>
      <c r="C1" s="2" t="s">
        <v>67</v>
      </c>
      <c r="E1" t="s">
        <v>84</v>
      </c>
      <c r="G1" s="13" t="s">
        <v>68</v>
      </c>
      <c r="H1" s="13" t="s">
        <v>62</v>
      </c>
    </row>
    <row r="2" spans="1:8" x14ac:dyDescent="0.25">
      <c r="A2" t="s">
        <v>75</v>
      </c>
      <c r="B2" s="12">
        <v>7920</v>
      </c>
      <c r="C2" s="2">
        <f>ROUND(Tabela365[[#This Row],[Valor]],4)</f>
        <v>7920</v>
      </c>
      <c r="E2" t="str">
        <f>"out.A1="&amp;C14&amp;";"</f>
        <v>out.A1=9.9275;</v>
      </c>
      <c r="G2" s="13" t="s">
        <v>69</v>
      </c>
      <c r="H2" s="13">
        <v>2.2999999999999998</v>
      </c>
    </row>
    <row r="3" spans="1:8" x14ac:dyDescent="0.25">
      <c r="A3" t="s">
        <v>76</v>
      </c>
      <c r="B3" s="12">
        <v>9535.7648000000008</v>
      </c>
      <c r="C3" s="2">
        <f>ROUND(Tabela365[[#This Row],[Valor]],4)</f>
        <v>9535.7648000000008</v>
      </c>
      <c r="E3" t="str">
        <f>"out.A2="&amp;C15&amp;";"</f>
        <v>out.A2=15.9965;</v>
      </c>
      <c r="G3" s="13" t="s">
        <v>70</v>
      </c>
      <c r="H3" s="13">
        <v>1.8</v>
      </c>
    </row>
    <row r="4" spans="1:8" x14ac:dyDescent="0.25">
      <c r="A4" t="s">
        <v>78</v>
      </c>
      <c r="B4" s="12">
        <v>12538.1744</v>
      </c>
      <c r="C4" s="2">
        <f>ROUND(Tabela365[[#This Row],[Valor]],4)</f>
        <v>12538.1744</v>
      </c>
      <c r="E4" t="str">
        <f>"out.A3="&amp;C26&amp;";"</f>
        <v>out.A3=14.4682;</v>
      </c>
      <c r="G4" s="13" t="s">
        <v>71</v>
      </c>
      <c r="H4" s="13">
        <v>9</v>
      </c>
    </row>
    <row r="5" spans="1:8" x14ac:dyDescent="0.25">
      <c r="A5" t="s">
        <v>77</v>
      </c>
      <c r="B5" s="12">
        <v>11795.0762</v>
      </c>
      <c r="C5" s="2">
        <f>ROUND(Tabela365[[#This Row],[Valor]],4)</f>
        <v>11795.0762</v>
      </c>
      <c r="E5" t="str">
        <f>"out.A4="&amp;C27&amp;";"</f>
        <v>out.A4=11.5168;</v>
      </c>
      <c r="G5" s="13" t="s">
        <v>72</v>
      </c>
      <c r="H5" s="13">
        <v>8</v>
      </c>
    </row>
    <row r="6" spans="1:8" x14ac:dyDescent="0.25">
      <c r="A6" t="s">
        <v>0</v>
      </c>
      <c r="B6" s="1">
        <f>B2/100</f>
        <v>79.2</v>
      </c>
      <c r="C6" s="12">
        <f>ROUND(Tabela365[[#This Row],[Valor]],4)</f>
        <v>79.2</v>
      </c>
      <c r="E6" t="str">
        <f>"out.k1="&amp;C24&amp;";"</f>
        <v>out.k1=4.6909;</v>
      </c>
      <c r="G6" s="13" t="s">
        <v>73</v>
      </c>
      <c r="H6" s="13">
        <v>8.3000000000000007</v>
      </c>
    </row>
    <row r="7" spans="1:8" x14ac:dyDescent="0.25">
      <c r="A7" t="s">
        <v>2</v>
      </c>
      <c r="B7" s="1">
        <f t="shared" ref="B7:B9" si="0">B3/100</f>
        <v>95.357648000000012</v>
      </c>
      <c r="C7" s="12">
        <f>ROUND(Tabela365[[#This Row],[Valor]],4)</f>
        <v>95.357600000000005</v>
      </c>
      <c r="E7" t="str">
        <f>"out.k2="&amp;C25&amp;";"</f>
        <v>out.k2=5.5178;</v>
      </c>
      <c r="G7" s="13" t="s">
        <v>74</v>
      </c>
      <c r="H7" s="13">
        <v>9.6</v>
      </c>
    </row>
    <row r="8" spans="1:8" x14ac:dyDescent="0.25">
      <c r="A8" t="s">
        <v>1</v>
      </c>
      <c r="B8" s="1">
        <f t="shared" si="0"/>
        <v>125.381744</v>
      </c>
      <c r="C8" s="12">
        <f>ROUND(Tabela365[[#This Row],[Valor]],4)</f>
        <v>125.3817</v>
      </c>
      <c r="E8" t="str">
        <f>"out.g="&amp;C30&amp;";"</f>
        <v>out.g=981;</v>
      </c>
    </row>
    <row r="9" spans="1:8" x14ac:dyDescent="0.25">
      <c r="A9" t="s">
        <v>3</v>
      </c>
      <c r="B9" s="1">
        <f t="shared" si="0"/>
        <v>117.950762</v>
      </c>
      <c r="C9" s="12">
        <f>ROUND(Tabela365[[#This Row],[Valor]],4)</f>
        <v>117.9508</v>
      </c>
      <c r="E9" t="str">
        <f>"out.a1="&amp;C31&amp;";"</f>
        <v>out.a1=0.017;</v>
      </c>
    </row>
    <row r="10" spans="1:8" x14ac:dyDescent="0.25">
      <c r="A10" t="s">
        <v>85</v>
      </c>
      <c r="B10" s="12">
        <v>32.244399999999999</v>
      </c>
      <c r="C10" s="12">
        <f>ROUND(Tabela365[[#This Row],[Valor]],4)</f>
        <v>32.244399999999999</v>
      </c>
      <c r="E10" t="str">
        <f>"out.a2="&amp;C32&amp;";"</f>
        <v>out.a2=0.0214;</v>
      </c>
    </row>
    <row r="11" spans="1:8" x14ac:dyDescent="0.25">
      <c r="A11" t="s">
        <v>86</v>
      </c>
      <c r="B11" s="12">
        <v>30.4358</v>
      </c>
      <c r="C11" s="12">
        <f>ROUND(Tabela365[[#This Row],[Valor]],4)</f>
        <v>30.4358</v>
      </c>
      <c r="E11" t="str">
        <f>"out.a3="&amp;C33&amp;";"</f>
        <v>out.a3=0.015;</v>
      </c>
    </row>
    <row r="12" spans="1:8" x14ac:dyDescent="0.25">
      <c r="A12" s="15" t="s">
        <v>4</v>
      </c>
      <c r="B12" s="17">
        <v>0.16300000000000001</v>
      </c>
      <c r="C12" s="12">
        <f>ROUND(Tabela365[[#This Row],[Valor]],4)</f>
        <v>0.16300000000000001</v>
      </c>
      <c r="E12" t="str">
        <f>"out.a4="&amp;C34&amp;";"</f>
        <v>out.a4=0.0137;</v>
      </c>
    </row>
    <row r="13" spans="1:8" x14ac:dyDescent="0.25">
      <c r="A13" s="15" t="s">
        <v>5</v>
      </c>
      <c r="B13" s="17">
        <v>0.14346</v>
      </c>
      <c r="C13" s="12">
        <f>ROUND(Tabela365[[#This Row],[Valor]],4)</f>
        <v>0.14349999999999999</v>
      </c>
      <c r="E13" t="str">
        <f>"out.hlin=["&amp;H4&amp;","&amp;H5&amp;","&amp;H6&amp;","&amp;H7&amp;"];"</f>
        <v>out.hlin=[9,8,8.3,9.6];</v>
      </c>
    </row>
    <row r="14" spans="1:8" x14ac:dyDescent="0.25">
      <c r="A14" s="16" t="s">
        <v>8</v>
      </c>
      <c r="B14" s="14">
        <f>(1-B13)*B6*B17/B10</f>
        <v>9.927522906352733</v>
      </c>
      <c r="C14" s="12">
        <f>ROUND(Tabela365[[#This Row],[Valor]],4)</f>
        <v>9.9275000000000002</v>
      </c>
      <c r="E14" t="str">
        <f>"out.vlin=["&amp;H2&amp;","&amp;H3&amp;"];"</f>
        <v>out.vlin=[2.3,1.8];</v>
      </c>
    </row>
    <row r="15" spans="1:8" x14ac:dyDescent="0.25">
      <c r="A15" s="16" t="s">
        <v>9</v>
      </c>
      <c r="B15" s="14">
        <f>(1-B12)*B7*B16/B11</f>
        <v>15.996541684253412</v>
      </c>
      <c r="C15" s="12">
        <f>ROUND(Tabela365[[#This Row],[Valor]],4)</f>
        <v>15.996499999999999</v>
      </c>
      <c r="E15" t="str">
        <f>"out.gama=["&amp;C12&amp;","&amp;C13&amp;"];"</f>
        <v>out.gama=[0.163,0.1435];</v>
      </c>
    </row>
    <row r="16" spans="1:8" x14ac:dyDescent="0.25">
      <c r="A16" t="s">
        <v>63</v>
      </c>
      <c r="B16" s="12">
        <v>6.1</v>
      </c>
      <c r="C16" s="12">
        <f>ROUND(Tabela365[[#This Row],[Valor]],4)</f>
        <v>6.1</v>
      </c>
    </row>
    <row r="17" spans="1:10" x14ac:dyDescent="0.25">
      <c r="A17" t="s">
        <v>64</v>
      </c>
      <c r="B17" s="12">
        <v>4.7187000000000001</v>
      </c>
      <c r="C17" s="12">
        <f>ROUND(Tabela365[[#This Row],[Valor]],4)</f>
        <v>4.7187000000000001</v>
      </c>
      <c r="F17" s="24" t="s">
        <v>93</v>
      </c>
      <c r="G17" s="24"/>
      <c r="I17" s="23" t="s">
        <v>94</v>
      </c>
      <c r="J17" s="23"/>
    </row>
    <row r="18" spans="1:10" x14ac:dyDescent="0.25">
      <c r="A18" t="s">
        <v>65</v>
      </c>
      <c r="B18" s="12">
        <v>40.9572</v>
      </c>
      <c r="C18" s="12">
        <f>ROUND(Tabela365[[#This Row],[Valor]],4)</f>
        <v>40.9572</v>
      </c>
      <c r="E18" s="2"/>
      <c r="F18" t="s">
        <v>88</v>
      </c>
      <c r="G18">
        <f>1.116-0.1775</f>
        <v>0.93850000000000011</v>
      </c>
      <c r="I18" s="7">
        <v>20.3</v>
      </c>
      <c r="J18" s="7">
        <v>15.4</v>
      </c>
    </row>
    <row r="19" spans="1:10" x14ac:dyDescent="0.25">
      <c r="A19" t="s">
        <v>66</v>
      </c>
      <c r="B19" s="12">
        <v>40.211799999999997</v>
      </c>
      <c r="C19" s="12">
        <f>ROUND(Tabela365[[#This Row],[Valor]],4)</f>
        <v>40.211799999999997</v>
      </c>
      <c r="F19" t="s">
        <v>87</v>
      </c>
      <c r="G19">
        <v>0.15</v>
      </c>
      <c r="I19" s="7">
        <v>3</v>
      </c>
      <c r="J19" s="7">
        <v>3.4</v>
      </c>
    </row>
    <row r="20" spans="1:10" x14ac:dyDescent="0.25">
      <c r="A20" t="s">
        <v>14</v>
      </c>
      <c r="B20" s="14">
        <f>B16/B12/B6</f>
        <v>0.47251657681105524</v>
      </c>
      <c r="C20" s="12">
        <f>ROUND(Tabela365[[#This Row],[Valor]],4)</f>
        <v>0.47249999999999998</v>
      </c>
      <c r="F20" t="s">
        <v>89</v>
      </c>
      <c r="G20">
        <f>G18/G19</f>
        <v>6.2566666666666677</v>
      </c>
      <c r="I20">
        <f>I19+J18</f>
        <v>18.399999999999999</v>
      </c>
      <c r="J20">
        <f>J19+I18</f>
        <v>23.7</v>
      </c>
    </row>
    <row r="21" spans="1:10" x14ac:dyDescent="0.25">
      <c r="A21" t="s">
        <v>15</v>
      </c>
      <c r="B21" s="14">
        <f>B17/B13/B7</f>
        <v>0.3449340042194724</v>
      </c>
      <c r="C21" s="12">
        <f>ROUND(Tabela365[[#This Row],[Valor]],4)</f>
        <v>0.34489999999999998</v>
      </c>
      <c r="F21" s="18">
        <v>0.63</v>
      </c>
      <c r="G21">
        <f>G20*(1-EXP(-1))*G19</f>
        <v>0.59324514446060139</v>
      </c>
      <c r="I21">
        <f>I19/I20</f>
        <v>0.16304347826086957</v>
      </c>
      <c r="J21">
        <f>J19/J20</f>
        <v>0.14345991561181434</v>
      </c>
    </row>
    <row r="22" spans="1:10" x14ac:dyDescent="0.25">
      <c r="A22" t="s">
        <v>16</v>
      </c>
      <c r="B22" s="14">
        <f>B18/B8/(1-B13)</f>
        <v>0.38137156005760126</v>
      </c>
      <c r="C22" s="12">
        <f>ROUND(Tabela365[[#This Row],[Valor]],4)</f>
        <v>0.38140000000000002</v>
      </c>
      <c r="F22" t="s">
        <v>90</v>
      </c>
      <c r="G22">
        <v>15920</v>
      </c>
    </row>
    <row r="23" spans="1:10" x14ac:dyDescent="0.25">
      <c r="A23" t="s">
        <v>17</v>
      </c>
      <c r="B23" s="14">
        <f>B19/B9/(1-B12)</f>
        <v>0.4073120935332501</v>
      </c>
      <c r="C23" s="12">
        <f>ROUND(Tabela365[[#This Row],[Valor]],4)</f>
        <v>0.4073</v>
      </c>
      <c r="F23" t="s">
        <v>92</v>
      </c>
      <c r="G23">
        <v>8000</v>
      </c>
    </row>
    <row r="24" spans="1:10" x14ac:dyDescent="0.25">
      <c r="A24" t="s">
        <v>6</v>
      </c>
      <c r="B24" s="2">
        <f>B20*B14</f>
        <v>4.6909191399231318</v>
      </c>
      <c r="C24" s="12">
        <f>ROUND(Tabela365[[#This Row],[Valor]],4)</f>
        <v>4.6909000000000001</v>
      </c>
      <c r="F24" t="s">
        <v>91</v>
      </c>
      <c r="G24">
        <f>G22-G23</f>
        <v>7920</v>
      </c>
    </row>
    <row r="25" spans="1:10" x14ac:dyDescent="0.25">
      <c r="A25" t="s">
        <v>7</v>
      </c>
      <c r="B25" s="2">
        <f>B21*B15</f>
        <v>5.5177511768132321</v>
      </c>
      <c r="C25" s="12">
        <f>ROUND(Tabela365[[#This Row],[Valor]],4)</f>
        <v>5.5178000000000003</v>
      </c>
    </row>
    <row r="26" spans="1:10" x14ac:dyDescent="0.25">
      <c r="A26" t="s">
        <v>10</v>
      </c>
      <c r="B26" s="2">
        <f>B25/B22</f>
        <v>14.468176850890107</v>
      </c>
      <c r="C26" s="12">
        <f>ROUND(Tabela365[[#This Row],[Valor]],4)</f>
        <v>14.4682</v>
      </c>
    </row>
    <row r="27" spans="1:10" x14ac:dyDescent="0.25">
      <c r="A27" t="s">
        <v>11</v>
      </c>
      <c r="B27" s="2">
        <f>B24/B23</f>
        <v>11.516768626316759</v>
      </c>
      <c r="C27" s="12">
        <f>ROUND(Tabela365[[#This Row],[Valor]],4)</f>
        <v>11.5168</v>
      </c>
    </row>
    <row r="28" spans="1:10" x14ac:dyDescent="0.25">
      <c r="A28" t="s">
        <v>12</v>
      </c>
      <c r="B28" s="14">
        <f>B26/B14</f>
        <v>1.4573803543310646</v>
      </c>
      <c r="C28" s="12">
        <f>ROUND(Tabela365[[#This Row],[Valor]],4)</f>
        <v>1.4574</v>
      </c>
    </row>
    <row r="29" spans="1:10" x14ac:dyDescent="0.25">
      <c r="A29" t="s">
        <v>13</v>
      </c>
      <c r="B29" s="14">
        <f>B27/B15</f>
        <v>0.71995365333580652</v>
      </c>
      <c r="C29" s="12">
        <f>ROUND(Tabela365[[#This Row],[Valor]],4)</f>
        <v>0.72</v>
      </c>
    </row>
    <row r="30" spans="1:10" x14ac:dyDescent="0.25">
      <c r="A30" s="15" t="s">
        <v>83</v>
      </c>
      <c r="B30" s="2">
        <v>981</v>
      </c>
      <c r="C30" s="2">
        <f>ROUND(Tabela365[[#This Row],[Valor]],4)</f>
        <v>981</v>
      </c>
    </row>
    <row r="31" spans="1:10" x14ac:dyDescent="0.25">
      <c r="A31" t="s">
        <v>79</v>
      </c>
      <c r="B31" s="2">
        <f>B14/B6*SQRT(2*H4/$B$30)</f>
        <v>1.6979209426687999E-2</v>
      </c>
      <c r="C31" s="2">
        <f>ROUND(Tabela365[[#This Row],[Valor]],4)</f>
        <v>1.7000000000000001E-2</v>
      </c>
    </row>
    <row r="32" spans="1:10" x14ac:dyDescent="0.25">
      <c r="A32" t="s">
        <v>80</v>
      </c>
      <c r="B32" s="2">
        <f>B15/B7*SQRT(2*H5/$B$30)</f>
        <v>2.1423777982742396E-2</v>
      </c>
      <c r="C32" s="2">
        <f>ROUND(Tabela365[[#This Row],[Valor]],4)</f>
        <v>2.1399999999999999E-2</v>
      </c>
    </row>
    <row r="33" spans="1:3" x14ac:dyDescent="0.25">
      <c r="A33" t="s">
        <v>81</v>
      </c>
      <c r="B33" s="2">
        <f>B26/B8*SQRT(2*H6/$B$30)</f>
        <v>1.5010634236576502E-2</v>
      </c>
      <c r="C33" s="2">
        <f>ROUND(Tabela365[[#This Row],[Valor]],4)</f>
        <v>1.4999999999999999E-2</v>
      </c>
    </row>
    <row r="34" spans="1:3" x14ac:dyDescent="0.25">
      <c r="A34" t="s">
        <v>82</v>
      </c>
      <c r="B34" s="2">
        <f>B27/B9*SQRT(2*H7/$B$30)</f>
        <v>1.3659852242060566E-2</v>
      </c>
      <c r="C34" s="2">
        <f>ROUND(Tabela365[[#This Row],[Valor]],4)</f>
        <v>1.37E-2</v>
      </c>
    </row>
  </sheetData>
  <mergeCells count="2">
    <mergeCell ref="F17:G17"/>
    <mergeCell ref="I17:J17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B1" workbookViewId="0">
      <selection activeCell="I31" sqref="A1:XFD1048576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9.5703125" style="2" hidden="1" customWidth="1"/>
    <col min="4" max="4" width="5.140625" customWidth="1"/>
    <col min="5" max="5" width="27.5703125" bestFit="1" customWidth="1"/>
    <col min="6" max="6" width="14.42578125" bestFit="1" customWidth="1"/>
    <col min="7" max="7" width="11.7109375" customWidth="1"/>
    <col min="8" max="8" width="14" customWidth="1"/>
    <col min="9" max="9" width="11.85546875" customWidth="1"/>
    <col min="12" max="12" width="14.28515625" bestFit="1" customWidth="1"/>
  </cols>
  <sheetData>
    <row r="1" spans="1:13" x14ac:dyDescent="0.25">
      <c r="A1" t="s">
        <v>61</v>
      </c>
      <c r="B1" s="2" t="s">
        <v>62</v>
      </c>
      <c r="C1" s="2" t="s">
        <v>67</v>
      </c>
      <c r="E1" t="s">
        <v>84</v>
      </c>
      <c r="G1" s="19" t="s">
        <v>68</v>
      </c>
      <c r="H1" s="19" t="s">
        <v>62</v>
      </c>
      <c r="L1" t="s">
        <v>95</v>
      </c>
      <c r="M1">
        <v>2</v>
      </c>
    </row>
    <row r="2" spans="1:13" x14ac:dyDescent="0.25">
      <c r="A2" t="s">
        <v>75</v>
      </c>
      <c r="B2" s="12">
        <v>5602.2543999999998</v>
      </c>
      <c r="C2" s="2">
        <f>ROUND(Tabela36109[[#This Row],[Valor]],4)</f>
        <v>5602.2543999999998</v>
      </c>
      <c r="E2" t="str">
        <f>"out.A1="&amp;C14&amp;";"</f>
        <v>out.A1=44.6023;</v>
      </c>
      <c r="G2" s="19" t="s">
        <v>69</v>
      </c>
      <c r="H2" s="19">
        <v>2.2999999999999998</v>
      </c>
      <c r="L2" t="s">
        <v>96</v>
      </c>
      <c r="M2" s="18">
        <v>0.15</v>
      </c>
    </row>
    <row r="3" spans="1:13" x14ac:dyDescent="0.25">
      <c r="A3" t="s">
        <v>76</v>
      </c>
      <c r="B3" s="12">
        <v>5590.8738999999996</v>
      </c>
      <c r="C3" s="2">
        <f>ROUND(Tabela36109[[#This Row],[Valor]],4)</f>
        <v>5590.8738999999996</v>
      </c>
      <c r="E3" t="str">
        <f>"out.A2="&amp;C15&amp;";"</f>
        <v>out.A2=19.5142;</v>
      </c>
      <c r="G3" s="19" t="s">
        <v>70</v>
      </c>
      <c r="H3" s="19">
        <v>1.8</v>
      </c>
    </row>
    <row r="4" spans="1:13" x14ac:dyDescent="0.25">
      <c r="A4" t="s">
        <v>78</v>
      </c>
      <c r="B4" s="12">
        <v>34531.684099999999</v>
      </c>
      <c r="C4" s="2">
        <f>ROUND(Tabela36109[[#This Row],[Valor]],4)</f>
        <v>34531.684099999999</v>
      </c>
      <c r="E4" t="str">
        <f>"out.A3="&amp;C26&amp;";"</f>
        <v>out.A3=17.4287;</v>
      </c>
      <c r="G4" s="19" t="s">
        <v>71</v>
      </c>
      <c r="H4" s="19">
        <v>8.9</v>
      </c>
    </row>
    <row r="5" spans="1:13" x14ac:dyDescent="0.25">
      <c r="A5" t="s">
        <v>77</v>
      </c>
      <c r="B5" s="12">
        <v>16570.552599999999</v>
      </c>
      <c r="C5" s="2">
        <f>ROUND(Tabela36109[[#This Row],[Valor]],4)</f>
        <v>16570.552599999999</v>
      </c>
      <c r="E5" t="str">
        <f>"out.A4="&amp;C27&amp;";"</f>
        <v>out.A4=32.4925;</v>
      </c>
      <c r="G5" s="19" t="s">
        <v>72</v>
      </c>
      <c r="H5" s="19">
        <v>9.9700000000000006</v>
      </c>
    </row>
    <row r="6" spans="1:13" x14ac:dyDescent="0.25">
      <c r="A6" t="s">
        <v>0</v>
      </c>
      <c r="B6" s="1">
        <f>B2/100</f>
        <v>56.022543999999996</v>
      </c>
      <c r="C6" s="12">
        <f>ROUND(Tabela36109[[#This Row],[Valor]],4)</f>
        <v>56.022500000000001</v>
      </c>
      <c r="E6" t="str">
        <f>"out.k1="&amp;C24&amp;";"</f>
        <v>out.k1=18.0507;</v>
      </c>
      <c r="G6" s="19" t="s">
        <v>73</v>
      </c>
      <c r="H6" s="19">
        <v>8.65</v>
      </c>
    </row>
    <row r="7" spans="1:13" x14ac:dyDescent="0.25">
      <c r="A7" t="s">
        <v>2</v>
      </c>
      <c r="B7" s="1">
        <f t="shared" ref="B7:B9" si="0">B3/100</f>
        <v>55.908738999999997</v>
      </c>
      <c r="C7" s="12">
        <f>ROUND(Tabela36109[[#This Row],[Valor]],4)</f>
        <v>55.908700000000003</v>
      </c>
      <c r="E7" t="str">
        <f>"out.k2="&amp;C25&amp;";"</f>
        <v>out.k2=9.5035;</v>
      </c>
      <c r="G7" s="19" t="s">
        <v>74</v>
      </c>
      <c r="H7" s="19">
        <v>9.67</v>
      </c>
    </row>
    <row r="8" spans="1:13" x14ac:dyDescent="0.25">
      <c r="A8" t="s">
        <v>1</v>
      </c>
      <c r="B8" s="1">
        <f t="shared" si="0"/>
        <v>345.31684100000001</v>
      </c>
      <c r="C8" s="12">
        <f>ROUND(Tabela36109[[#This Row],[Valor]],4)</f>
        <v>345.3168</v>
      </c>
      <c r="E8" t="str">
        <f>"out.g="&amp;C30&amp;";"</f>
        <v>out.g=981;</v>
      </c>
    </row>
    <row r="9" spans="1:13" x14ac:dyDescent="0.25">
      <c r="A9" t="s">
        <v>3</v>
      </c>
      <c r="B9" s="1">
        <f t="shared" si="0"/>
        <v>165.70552599999999</v>
      </c>
      <c r="C9" s="12">
        <f>ROUND(Tabela36109[[#This Row],[Valor]],4)</f>
        <v>165.7055</v>
      </c>
      <c r="E9" t="str">
        <f>"out.a1="&amp;C31&amp;";"</f>
        <v>out.a1=0.1072;</v>
      </c>
    </row>
    <row r="10" spans="1:13" x14ac:dyDescent="0.25">
      <c r="A10" t="s">
        <v>85</v>
      </c>
      <c r="B10" s="12">
        <v>6.2785000000000002</v>
      </c>
      <c r="C10" s="12">
        <f>ROUND(Tabela36109[[#This Row],[Valor]],4)</f>
        <v>6.2785000000000002</v>
      </c>
      <c r="E10" t="str">
        <f>"out.a2="&amp;C32&amp;";"</f>
        <v>out.a2=0.0498;</v>
      </c>
    </row>
    <row r="11" spans="1:13" x14ac:dyDescent="0.25">
      <c r="A11" t="s">
        <v>86</v>
      </c>
      <c r="B11" s="12">
        <v>12.611700000000001</v>
      </c>
      <c r="C11" s="12">
        <f>ROUND(Tabela36109[[#This Row],[Valor]],4)</f>
        <v>12.611700000000001</v>
      </c>
      <c r="E11" t="str">
        <f>"out.a3="&amp;C33&amp;";"</f>
        <v>out.a3=0.0067;</v>
      </c>
    </row>
    <row r="12" spans="1:13" x14ac:dyDescent="0.25">
      <c r="A12" s="15" t="s">
        <v>4</v>
      </c>
      <c r="B12" s="17">
        <v>0.73631840796019898</v>
      </c>
      <c r="C12" s="12">
        <f>ROUND(Tabela36109[[#This Row],[Valor]],4)</f>
        <v>0.73629999999999995</v>
      </c>
      <c r="E12" t="str">
        <f>"out.a4="&amp;C34&amp;";"</f>
        <v>out.a4=0.0275;</v>
      </c>
    </row>
    <row r="13" spans="1:13" x14ac:dyDescent="0.25">
      <c r="A13" s="15" t="s">
        <v>5</v>
      </c>
      <c r="B13" s="17">
        <v>0.75770925110132159</v>
      </c>
      <c r="C13" s="12">
        <f>ROUND(Tabela36109[[#This Row],[Valor]],4)</f>
        <v>0.75770000000000004</v>
      </c>
      <c r="E13" t="str">
        <f>"out.hlin=["&amp;H4&amp;","&amp;H5&amp;","&amp;H6&amp;","&amp;H7&amp;"];"</f>
        <v>out.hlin=[8.9,9.97,8.65,9.67];</v>
      </c>
    </row>
    <row r="14" spans="1:13" x14ac:dyDescent="0.25">
      <c r="A14" s="16" t="s">
        <v>8</v>
      </c>
      <c r="B14" s="14">
        <f>(1-B13)*B6*B17/B10</f>
        <v>44.602348212008039</v>
      </c>
      <c r="C14" s="12">
        <f>ROUND(Tabela36109[[#This Row],[Valor]],4)</f>
        <v>44.6023</v>
      </c>
      <c r="E14" t="str">
        <f>"out.vlin=["&amp;H2&amp;","&amp;H3&amp;"];"</f>
        <v>out.vlin=[2.3,1.8];</v>
      </c>
    </row>
    <row r="15" spans="1:13" x14ac:dyDescent="0.25">
      <c r="A15" s="16" t="s">
        <v>9</v>
      </c>
      <c r="B15" s="14">
        <f>(1-B12)*B7*B16/B11</f>
        <v>19.51423316765025</v>
      </c>
      <c r="C15" s="12">
        <f>ROUND(Tabela36109[[#This Row],[Valor]],4)</f>
        <v>19.514199999999999</v>
      </c>
      <c r="E15" t="str">
        <f>"out.gama=["&amp;C12&amp;","&amp;C13&amp;"];"</f>
        <v>out.gama=[0.7363,0.7577];</v>
      </c>
    </row>
    <row r="16" spans="1:13" x14ac:dyDescent="0.25">
      <c r="A16" t="s">
        <v>63</v>
      </c>
      <c r="B16" s="12">
        <v>16.694199999999999</v>
      </c>
      <c r="C16" s="12">
        <f>ROUND(Tabela36109[[#This Row],[Valor]],4)</f>
        <v>16.694199999999999</v>
      </c>
    </row>
    <row r="17" spans="1:10" x14ac:dyDescent="0.25">
      <c r="A17" t="s">
        <v>64</v>
      </c>
      <c r="B17" s="12">
        <v>20.630700000000001</v>
      </c>
      <c r="C17" s="12">
        <f>ROUND(Tabela36109[[#This Row],[Valor]],4)</f>
        <v>20.630700000000001</v>
      </c>
      <c r="F17" t="s">
        <v>93</v>
      </c>
      <c r="I17" t="s">
        <v>94</v>
      </c>
    </row>
    <row r="18" spans="1:10" x14ac:dyDescent="0.25">
      <c r="A18" t="s">
        <v>65</v>
      </c>
      <c r="B18" s="12">
        <v>45.6218</v>
      </c>
      <c r="C18" s="12">
        <f>ROUND(Tabela36109[[#This Row],[Valor]],4)</f>
        <v>45.6218</v>
      </c>
      <c r="E18" s="2"/>
      <c r="F18" t="s">
        <v>88</v>
      </c>
      <c r="G18">
        <v>3.4510000000000001</v>
      </c>
      <c r="I18">
        <v>16.2</v>
      </c>
      <c r="J18">
        <v>20</v>
      </c>
    </row>
    <row r="19" spans="1:10" x14ac:dyDescent="0.25">
      <c r="A19" t="s">
        <v>66</v>
      </c>
      <c r="B19" s="12">
        <v>24.273299999999999</v>
      </c>
      <c r="C19" s="12">
        <f>ROUND(Tabela36109[[#This Row],[Valor]],4)</f>
        <v>24.273299999999999</v>
      </c>
      <c r="F19" t="s">
        <v>87</v>
      </c>
      <c r="G19">
        <v>0.15</v>
      </c>
      <c r="I19">
        <v>4.8</v>
      </c>
      <c r="J19">
        <v>3.9</v>
      </c>
    </row>
    <row r="20" spans="1:10" x14ac:dyDescent="0.25">
      <c r="A20" t="s">
        <v>14</v>
      </c>
      <c r="B20" s="14">
        <f>B16/B12/B6</f>
        <v>0.40470365605636149</v>
      </c>
      <c r="C20" s="12">
        <f>ROUND(Tabela36109[[#This Row],[Valor]],4)</f>
        <v>0.4047</v>
      </c>
      <c r="F20" t="s">
        <v>89</v>
      </c>
      <c r="G20">
        <f>G18/G19</f>
        <v>23.006666666666668</v>
      </c>
      <c r="I20">
        <f>I19+J18</f>
        <v>24.8</v>
      </c>
      <c r="J20">
        <f>J19+I18</f>
        <v>20.099999999999998</v>
      </c>
    </row>
    <row r="21" spans="1:10" x14ac:dyDescent="0.25">
      <c r="A21" t="s">
        <v>15</v>
      </c>
      <c r="B21" s="14">
        <f>B17/B13/B7</f>
        <v>0.48700304549510048</v>
      </c>
      <c r="C21" s="12">
        <f>ROUND(Tabela36109[[#This Row],[Valor]],4)</f>
        <v>0.48699999999999999</v>
      </c>
      <c r="F21" s="18">
        <v>0.63</v>
      </c>
      <c r="G21">
        <f>G20*(1-EXP(-1))*G19</f>
        <v>2.1814480485173524</v>
      </c>
      <c r="I21">
        <f>I19/I20</f>
        <v>0.19354838709677419</v>
      </c>
      <c r="J21">
        <f>J19/J20</f>
        <v>0.19402985074626866</v>
      </c>
    </row>
    <row r="22" spans="1:10" x14ac:dyDescent="0.25">
      <c r="A22" t="s">
        <v>16</v>
      </c>
      <c r="B22" s="14">
        <f>B18/B8/(1-B13)</f>
        <v>0.54527781026784883</v>
      </c>
      <c r="C22" s="12">
        <f>ROUND(Tabela36109[[#This Row],[Valor]],4)</f>
        <v>0.54530000000000001</v>
      </c>
      <c r="F22" t="s">
        <v>90</v>
      </c>
      <c r="G22">
        <v>24430</v>
      </c>
    </row>
    <row r="23" spans="1:10" x14ac:dyDescent="0.25">
      <c r="A23" t="s">
        <v>17</v>
      </c>
      <c r="B23" s="14">
        <f>B19/B9/(1-B12)</f>
        <v>0.55553575976107683</v>
      </c>
      <c r="C23" s="12">
        <f>ROUND(Tabela36109[[#This Row],[Valor]],4)</f>
        <v>0.55549999999999999</v>
      </c>
      <c r="F23" t="s">
        <v>92</v>
      </c>
      <c r="G23">
        <v>18000</v>
      </c>
    </row>
    <row r="24" spans="1:10" x14ac:dyDescent="0.25">
      <c r="A24" t="s">
        <v>6</v>
      </c>
      <c r="B24" s="2">
        <f>B20*B14</f>
        <v>18.050733390098571</v>
      </c>
      <c r="C24" s="12">
        <f>ROUND(Tabela36109[[#This Row],[Valor]],4)</f>
        <v>18.050699999999999</v>
      </c>
      <c r="F24" t="s">
        <v>91</v>
      </c>
      <c r="G24">
        <f>G22-G23</f>
        <v>6430</v>
      </c>
    </row>
    <row r="25" spans="1:10" x14ac:dyDescent="0.25">
      <c r="A25" t="s">
        <v>7</v>
      </c>
      <c r="B25" s="2">
        <f>B21*B15</f>
        <v>9.5034909831471737</v>
      </c>
      <c r="C25" s="12">
        <f>ROUND(Tabela36109[[#This Row],[Valor]],4)</f>
        <v>9.5035000000000007</v>
      </c>
    </row>
    <row r="26" spans="1:10" x14ac:dyDescent="0.25">
      <c r="A26" t="s">
        <v>10</v>
      </c>
      <c r="B26" s="2">
        <f>B25/B22</f>
        <v>17.428713958631313</v>
      </c>
      <c r="C26" s="12">
        <f>ROUND(Tabela36109[[#This Row],[Valor]],4)</f>
        <v>17.428699999999999</v>
      </c>
    </row>
    <row r="27" spans="1:10" x14ac:dyDescent="0.25">
      <c r="A27" t="s">
        <v>11</v>
      </c>
      <c r="B27" s="2">
        <f>B24/B23</f>
        <v>32.492477888123311</v>
      </c>
      <c r="C27" s="12">
        <f>ROUND(Tabela36109[[#This Row],[Valor]],4)</f>
        <v>32.4925</v>
      </c>
    </row>
    <row r="28" spans="1:10" x14ac:dyDescent="0.25">
      <c r="A28" t="s">
        <v>12</v>
      </c>
      <c r="B28" s="14">
        <f>B26/B14</f>
        <v>0.39075776629040976</v>
      </c>
      <c r="C28" s="12">
        <f>ROUND(Tabela36109[[#This Row],[Valor]],4)</f>
        <v>0.39079999999999998</v>
      </c>
    </row>
    <row r="29" spans="1:10" x14ac:dyDescent="0.25">
      <c r="A29" t="s">
        <v>13</v>
      </c>
      <c r="B29" s="14">
        <f>B27/B15</f>
        <v>1.6650655759298687</v>
      </c>
      <c r="C29" s="12">
        <f>ROUND(Tabela36109[[#This Row],[Valor]],4)</f>
        <v>1.6651</v>
      </c>
    </row>
    <row r="30" spans="1:10" x14ac:dyDescent="0.25">
      <c r="A30" s="15" t="s">
        <v>83</v>
      </c>
      <c r="B30" s="2">
        <v>981</v>
      </c>
      <c r="C30" s="2">
        <f>ROUND(Tabela36109[[#This Row],[Valor]],4)</f>
        <v>981</v>
      </c>
    </row>
    <row r="31" spans="1:10" x14ac:dyDescent="0.25">
      <c r="A31" t="s">
        <v>79</v>
      </c>
      <c r="B31" s="2">
        <f>B14/B6*SQRT(2*H4/$B$30)</f>
        <v>0.10724335574873939</v>
      </c>
      <c r="C31" s="2">
        <f>ROUND(Tabela36109[[#This Row],[Valor]],4)</f>
        <v>0.1072</v>
      </c>
    </row>
    <row r="32" spans="1:10" x14ac:dyDescent="0.25">
      <c r="A32" t="s">
        <v>80</v>
      </c>
      <c r="B32" s="2">
        <f>B15/B7*SQRT(2*H5/$B$30)</f>
        <v>4.9762233662440522E-2</v>
      </c>
      <c r="C32" s="2">
        <f>ROUND(Tabela36109[[#This Row],[Valor]],4)</f>
        <v>4.9799999999999997E-2</v>
      </c>
    </row>
    <row r="33" spans="1:3" x14ac:dyDescent="0.25">
      <c r="A33" t="s">
        <v>81</v>
      </c>
      <c r="B33" s="2">
        <f>B26/B8*SQRT(2*H6/$B$30)</f>
        <v>6.7024893238189758E-3</v>
      </c>
      <c r="C33" s="2">
        <f>ROUND(Tabela36109[[#This Row],[Valor]],4)</f>
        <v>6.7000000000000002E-3</v>
      </c>
    </row>
    <row r="34" spans="1:3" x14ac:dyDescent="0.25">
      <c r="A34" t="s">
        <v>82</v>
      </c>
      <c r="B34" s="2">
        <f>B27/B9*SQRT(2*H7/$B$30)</f>
        <v>2.7532114790059251E-2</v>
      </c>
      <c r="C34" s="2">
        <f>ROUND(Tabela36109[[#This Row],[Valor]],4)</f>
        <v>2.75E-2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I31" sqref="A1:XFD1048576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9.5703125" style="2" hidden="1" customWidth="1"/>
    <col min="4" max="4" width="5.140625" customWidth="1"/>
    <col min="5" max="5" width="27.5703125" bestFit="1" customWidth="1"/>
    <col min="6" max="6" width="14.42578125" bestFit="1" customWidth="1"/>
    <col min="7" max="7" width="11.7109375" customWidth="1"/>
    <col min="8" max="8" width="14" customWidth="1"/>
    <col min="9" max="9" width="11.85546875" customWidth="1"/>
    <col min="12" max="12" width="14.28515625" bestFit="1" customWidth="1"/>
  </cols>
  <sheetData>
    <row r="1" spans="1:13" x14ac:dyDescent="0.25">
      <c r="A1" t="s">
        <v>61</v>
      </c>
      <c r="B1" s="2" t="s">
        <v>62</v>
      </c>
      <c r="C1" s="2" t="s">
        <v>67</v>
      </c>
      <c r="E1" t="s">
        <v>84</v>
      </c>
      <c r="G1" s="20" t="s">
        <v>68</v>
      </c>
      <c r="H1" s="20" t="s">
        <v>62</v>
      </c>
      <c r="L1" t="s">
        <v>95</v>
      </c>
      <c r="M1">
        <v>2</v>
      </c>
    </row>
    <row r="2" spans="1:13" x14ac:dyDescent="0.25">
      <c r="A2" t="s">
        <v>75</v>
      </c>
      <c r="B2" s="12">
        <v>25000</v>
      </c>
      <c r="C2" s="2">
        <f>ROUND(Tabela3610913[[#This Row],[Valor]],4)</f>
        <v>25000</v>
      </c>
      <c r="E2" t="str">
        <f>"out.A1="&amp;C14&amp;";"</f>
        <v>out.A1=53.3245;</v>
      </c>
      <c r="G2" s="20" t="s">
        <v>69</v>
      </c>
      <c r="H2" s="20">
        <v>2.2999999999999998</v>
      </c>
      <c r="L2" t="s">
        <v>96</v>
      </c>
      <c r="M2" s="18">
        <v>0.15</v>
      </c>
    </row>
    <row r="3" spans="1:13" x14ac:dyDescent="0.25">
      <c r="A3" t="s">
        <v>76</v>
      </c>
      <c r="B3" s="12">
        <v>7000</v>
      </c>
      <c r="C3" s="2">
        <f>ROUND(Tabela3610913[[#This Row],[Valor]],4)</f>
        <v>7000</v>
      </c>
      <c r="E3" t="str">
        <f>"out.A2="&amp;C15&amp;";"</f>
        <v>out.A2=11.4467;</v>
      </c>
      <c r="G3" s="20" t="s">
        <v>70</v>
      </c>
      <c r="H3" s="20">
        <v>1.8</v>
      </c>
    </row>
    <row r="4" spans="1:13" x14ac:dyDescent="0.25">
      <c r="A4" t="s">
        <v>78</v>
      </c>
      <c r="B4" s="12">
        <v>12189.4573</v>
      </c>
      <c r="C4" s="2">
        <f>ROUND(Tabela3610913[[#This Row],[Valor]],4)</f>
        <v>12189.4573</v>
      </c>
      <c r="E4" t="str">
        <f>"out.A3="&amp;C26&amp;";"</f>
        <v>out.A3=20.1923;</v>
      </c>
      <c r="G4" s="20" t="s">
        <v>71</v>
      </c>
      <c r="H4" s="20">
        <v>8.5761000000000003</v>
      </c>
    </row>
    <row r="5" spans="1:13" x14ac:dyDescent="0.25">
      <c r="A5" t="s">
        <v>77</v>
      </c>
      <c r="B5" s="12">
        <v>5296.3752999999997</v>
      </c>
      <c r="C5" s="2">
        <f>ROUND(Tabela3610913[[#This Row],[Valor]],4)</f>
        <v>5296.3752999999997</v>
      </c>
      <c r="E5" t="str">
        <f>"out.A4="&amp;C27&amp;";"</f>
        <v>out.A4=9.6148;</v>
      </c>
      <c r="G5" s="20" t="s">
        <v>72</v>
      </c>
      <c r="H5" s="20">
        <v>9.0252999999999997</v>
      </c>
    </row>
    <row r="6" spans="1:13" x14ac:dyDescent="0.25">
      <c r="A6" t="s">
        <v>0</v>
      </c>
      <c r="B6" s="1">
        <f>B2/100</f>
        <v>250</v>
      </c>
      <c r="C6" s="12">
        <f>ROUND(Tabela3610913[[#This Row],[Valor]],4)</f>
        <v>250</v>
      </c>
      <c r="E6" t="str">
        <f>"out.k1="&amp;C24&amp;";"</f>
        <v>out.k1=4.5645;</v>
      </c>
      <c r="G6" s="20" t="s">
        <v>73</v>
      </c>
      <c r="H6" s="20">
        <v>8.1069999999999993</v>
      </c>
    </row>
    <row r="7" spans="1:13" x14ac:dyDescent="0.25">
      <c r="A7" t="s">
        <v>2</v>
      </c>
      <c r="B7" s="1">
        <f t="shared" ref="B7:B9" si="0">B3/100</f>
        <v>70</v>
      </c>
      <c r="C7" s="12">
        <f>ROUND(Tabela3610913[[#This Row],[Valor]],4)</f>
        <v>70</v>
      </c>
      <c r="E7" t="str">
        <f>"out.k2="&amp;C25&amp;";"</f>
        <v>out.k2=7.2233;</v>
      </c>
      <c r="G7" s="20" t="s">
        <v>74</v>
      </c>
      <c r="H7" s="20">
        <v>8.8679000000000006</v>
      </c>
    </row>
    <row r="8" spans="1:13" x14ac:dyDescent="0.25">
      <c r="A8" t="s">
        <v>1</v>
      </c>
      <c r="B8" s="1">
        <f t="shared" si="0"/>
        <v>121.89457299999999</v>
      </c>
      <c r="C8" s="12">
        <f>ROUND(Tabela3610913[[#This Row],[Valor]],4)</f>
        <v>121.8946</v>
      </c>
      <c r="E8" t="str">
        <f>"out.g="&amp;C30&amp;";"</f>
        <v>out.g=981;</v>
      </c>
    </row>
    <row r="9" spans="1:13" x14ac:dyDescent="0.25">
      <c r="A9" t="s">
        <v>3</v>
      </c>
      <c r="B9" s="1">
        <f t="shared" si="0"/>
        <v>52.963752999999997</v>
      </c>
      <c r="C9" s="12">
        <f>ROUND(Tabela3610913[[#This Row],[Valor]],4)</f>
        <v>52.963799999999999</v>
      </c>
      <c r="E9" t="str">
        <f>"out.a1="&amp;C31&amp;";"</f>
        <v>out.a1=0.0282;</v>
      </c>
    </row>
    <row r="10" spans="1:13" x14ac:dyDescent="0.25">
      <c r="A10" t="s">
        <v>85</v>
      </c>
      <c r="B10" s="12">
        <v>23.881</v>
      </c>
      <c r="C10" s="12">
        <f>ROUND(Tabela3610913[[#This Row],[Valor]],4)</f>
        <v>23.881</v>
      </c>
      <c r="E10" t="str">
        <f>"out.a2="&amp;C32&amp;";"</f>
        <v>out.a2=0.0222;</v>
      </c>
    </row>
    <row r="11" spans="1:13" x14ac:dyDescent="0.25">
      <c r="A11" t="s">
        <v>86</v>
      </c>
      <c r="B11" s="12">
        <v>16.184699999999999</v>
      </c>
      <c r="C11" s="12">
        <f>ROUND(Tabela3610913[[#This Row],[Valor]],4)</f>
        <v>16.184699999999999</v>
      </c>
      <c r="E11" t="str">
        <f>"out.a3="&amp;C33&amp;";"</f>
        <v>out.a3=0.0213;</v>
      </c>
    </row>
    <row r="12" spans="1:13" x14ac:dyDescent="0.25">
      <c r="A12" s="15" t="s">
        <v>4</v>
      </c>
      <c r="B12" s="17">
        <v>0.14457831325301204</v>
      </c>
      <c r="C12" s="12">
        <f>ROUND(Tabela3610913[[#This Row],[Valor]],4)</f>
        <v>0.14460000000000001</v>
      </c>
      <c r="E12" t="str">
        <f>"out.a4="&amp;C34&amp;";"</f>
        <v>out.a4=0.0244;</v>
      </c>
    </row>
    <row r="13" spans="1:13" x14ac:dyDescent="0.25">
      <c r="A13" s="15" t="s">
        <v>5</v>
      </c>
      <c r="B13" s="17">
        <v>0.13300492610837439</v>
      </c>
      <c r="C13" s="12">
        <f>ROUND(Tabela3610913[[#This Row],[Valor]],4)</f>
        <v>0.13300000000000001</v>
      </c>
      <c r="E13" t="str">
        <f>"out.hlin=["&amp;H4&amp;","&amp;H5&amp;","&amp;H6&amp;","&amp;H7&amp;"];"</f>
        <v>out.hlin=[8.5761,9.0253,8.107,8.8679];</v>
      </c>
    </row>
    <row r="14" spans="1:13" x14ac:dyDescent="0.25">
      <c r="A14" s="16" t="s">
        <v>8</v>
      </c>
      <c r="B14" s="14">
        <f>(1-B13)*B6*B17/B10</f>
        <v>53.324499163854938</v>
      </c>
      <c r="C14" s="12">
        <f>ROUND(Tabela3610913[[#This Row],[Valor]],4)</f>
        <v>53.3245</v>
      </c>
      <c r="E14" t="str">
        <f>"out.vlin=["&amp;H2&amp;","&amp;H3&amp;"];"</f>
        <v>out.vlin=[2.3,1.8];</v>
      </c>
    </row>
    <row r="15" spans="1:13" x14ac:dyDescent="0.25">
      <c r="A15" s="16" t="s">
        <v>9</v>
      </c>
      <c r="B15" s="14">
        <f>(1-B12)*B7*B16/B11</f>
        <v>11.446689834464367</v>
      </c>
      <c r="C15" s="12">
        <f>ROUND(Tabela3610913[[#This Row],[Valor]],4)</f>
        <v>11.4467</v>
      </c>
      <c r="E15" t="str">
        <f>"out.gama=["&amp;C12&amp;","&amp;C13&amp;"];"</f>
        <v>out.gama=[0.1446,0.133];</v>
      </c>
    </row>
    <row r="16" spans="1:13" x14ac:dyDescent="0.25">
      <c r="A16" t="s">
        <v>63</v>
      </c>
      <c r="B16" s="12">
        <v>3.0939000000000001</v>
      </c>
      <c r="C16" s="12">
        <f>ROUND(Tabela3610913[[#This Row],[Valor]],4)</f>
        <v>3.0939000000000001</v>
      </c>
    </row>
    <row r="17" spans="1:10" x14ac:dyDescent="0.25">
      <c r="A17" t="s">
        <v>64</v>
      </c>
      <c r="B17" s="12">
        <v>5.8752000000000004</v>
      </c>
      <c r="C17" s="12">
        <f>ROUND(Tabela3610913[[#This Row],[Valor]],4)</f>
        <v>5.8752000000000004</v>
      </c>
      <c r="F17" t="s">
        <v>93</v>
      </c>
      <c r="I17" t="s">
        <v>94</v>
      </c>
    </row>
    <row r="18" spans="1:10" x14ac:dyDescent="0.25">
      <c r="A18" t="s">
        <v>65</v>
      </c>
      <c r="B18" s="12">
        <v>37.805199999999999</v>
      </c>
      <c r="C18" s="12">
        <f>ROUND(Tabela3610913[[#This Row],[Valor]],4)</f>
        <v>37.805199999999999</v>
      </c>
      <c r="E18" s="2"/>
      <c r="F18" t="s">
        <v>88</v>
      </c>
      <c r="G18">
        <v>3.4510000000000001</v>
      </c>
      <c r="I18" s="22">
        <v>17.600000000000001</v>
      </c>
      <c r="J18" s="22">
        <v>21.3</v>
      </c>
    </row>
    <row r="19" spans="1:10" x14ac:dyDescent="0.25">
      <c r="A19" t="s">
        <v>66</v>
      </c>
      <c r="B19" s="12">
        <v>21.508500000000002</v>
      </c>
      <c r="C19" s="12">
        <f>ROUND(Tabela3610913[[#This Row],[Valor]],4)</f>
        <v>21.508500000000002</v>
      </c>
      <c r="F19" t="s">
        <v>87</v>
      </c>
      <c r="G19">
        <v>0.15</v>
      </c>
      <c r="I19" s="22">
        <v>3.6</v>
      </c>
      <c r="J19" s="22">
        <v>2.7</v>
      </c>
    </row>
    <row r="20" spans="1:10" x14ac:dyDescent="0.25">
      <c r="A20" t="s">
        <v>14</v>
      </c>
      <c r="B20" s="14">
        <f>B16/B12/B6</f>
        <v>8.5597900000000005E-2</v>
      </c>
      <c r="C20" s="12">
        <f>ROUND(Tabela3610913[[#This Row],[Valor]],4)</f>
        <v>8.5599999999999996E-2</v>
      </c>
      <c r="F20" t="s">
        <v>89</v>
      </c>
      <c r="G20">
        <f>G18/G19</f>
        <v>23.006666666666668</v>
      </c>
      <c r="I20">
        <f>I19+J18</f>
        <v>24.900000000000002</v>
      </c>
      <c r="J20">
        <f>J19+I18</f>
        <v>20.3</v>
      </c>
    </row>
    <row r="21" spans="1:10" x14ac:dyDescent="0.25">
      <c r="A21" t="s">
        <v>15</v>
      </c>
      <c r="B21" s="14">
        <f>B17/B13/B7</f>
        <v>0.63104000000000005</v>
      </c>
      <c r="C21" s="12">
        <f>ROUND(Tabela3610913[[#This Row],[Valor]],4)</f>
        <v>0.63100000000000001</v>
      </c>
      <c r="F21" s="18">
        <v>0.63</v>
      </c>
      <c r="G21">
        <f>G20*(1-EXP(-1))*G19</f>
        <v>2.1814480485173524</v>
      </c>
      <c r="I21">
        <f>I19/I20</f>
        <v>0.14457831325301204</v>
      </c>
      <c r="J21">
        <f>J19/J20</f>
        <v>0.13300492610837439</v>
      </c>
    </row>
    <row r="22" spans="1:10" x14ac:dyDescent="0.25">
      <c r="A22" t="s">
        <v>16</v>
      </c>
      <c r="B22" s="14">
        <f>B18/B8/(1-B13)</f>
        <v>0.35772602742237231</v>
      </c>
      <c r="C22" s="12">
        <f>ROUND(Tabela3610913[[#This Row],[Valor]],4)</f>
        <v>0.35770000000000002</v>
      </c>
      <c r="F22" t="s">
        <v>90</v>
      </c>
      <c r="G22">
        <v>24430</v>
      </c>
    </row>
    <row r="23" spans="1:10" x14ac:dyDescent="0.25">
      <c r="A23" t="s">
        <v>17</v>
      </c>
      <c r="B23" s="14">
        <f>B19/B9/(1-B12)</f>
        <v>0.4747348519018228</v>
      </c>
      <c r="C23" s="12">
        <f>ROUND(Tabela3610913[[#This Row],[Valor]],4)</f>
        <v>0.47470000000000001</v>
      </c>
      <c r="F23" t="s">
        <v>92</v>
      </c>
      <c r="G23">
        <v>18000</v>
      </c>
    </row>
    <row r="24" spans="1:10" x14ac:dyDescent="0.25">
      <c r="A24" t="s">
        <v>6</v>
      </c>
      <c r="B24" s="2">
        <f>B20*B14</f>
        <v>4.5644651469777386</v>
      </c>
      <c r="C24" s="12">
        <f>ROUND(Tabela3610913[[#This Row],[Valor]],4)</f>
        <v>4.5644999999999998</v>
      </c>
      <c r="F24" t="s">
        <v>91</v>
      </c>
      <c r="G24">
        <f>G22-G23</f>
        <v>6430</v>
      </c>
    </row>
    <row r="25" spans="1:10" x14ac:dyDescent="0.25">
      <c r="A25" t="s">
        <v>7</v>
      </c>
      <c r="B25" s="2">
        <f>B21*B15</f>
        <v>7.2233191531403946</v>
      </c>
      <c r="C25" s="12">
        <f>ROUND(Tabela3610913[[#This Row],[Valor]],4)</f>
        <v>7.2233000000000001</v>
      </c>
    </row>
    <row r="26" spans="1:10" x14ac:dyDescent="0.25">
      <c r="A26" t="s">
        <v>10</v>
      </c>
      <c r="B26" s="2">
        <f>B25/B22</f>
        <v>20.192322054921984</v>
      </c>
      <c r="C26" s="12">
        <f>ROUND(Tabela3610913[[#This Row],[Valor]],4)</f>
        <v>20.192299999999999</v>
      </c>
    </row>
    <row r="27" spans="1:10" x14ac:dyDescent="0.25">
      <c r="A27" t="s">
        <v>11</v>
      </c>
      <c r="B27" s="2">
        <f>B24/B23</f>
        <v>9.6147673352654746</v>
      </c>
      <c r="C27" s="12">
        <f>ROUND(Tabela3610913[[#This Row],[Valor]],4)</f>
        <v>9.6148000000000007</v>
      </c>
    </row>
    <row r="28" spans="1:10" x14ac:dyDescent="0.25">
      <c r="A28" t="s">
        <v>12</v>
      </c>
      <c r="B28" s="14">
        <f>B26/B14</f>
        <v>0.37866876148007012</v>
      </c>
      <c r="C28" s="12">
        <f>ROUND(Tabela3610913[[#This Row],[Valor]],4)</f>
        <v>0.37869999999999998</v>
      </c>
    </row>
    <row r="29" spans="1:10" x14ac:dyDescent="0.25">
      <c r="A29" t="s">
        <v>13</v>
      </c>
      <c r="B29" s="14">
        <f>B27/B15</f>
        <v>0.83996050162176727</v>
      </c>
      <c r="C29" s="12">
        <f>ROUND(Tabela3610913[[#This Row],[Valor]],4)</f>
        <v>0.84</v>
      </c>
    </row>
    <row r="30" spans="1:10" x14ac:dyDescent="0.25">
      <c r="A30" s="15" t="s">
        <v>83</v>
      </c>
      <c r="B30" s="2">
        <v>981</v>
      </c>
      <c r="C30" s="2">
        <f>ROUND(Tabela3610913[[#This Row],[Valor]],4)</f>
        <v>981</v>
      </c>
    </row>
    <row r="31" spans="1:10" x14ac:dyDescent="0.25">
      <c r="A31" t="s">
        <v>79</v>
      </c>
      <c r="B31" s="2">
        <f>B14/B6*SQRT(2*H4/$B$30)</f>
        <v>2.8204096296589862E-2</v>
      </c>
      <c r="C31" s="2">
        <f>ROUND(Tabela3610913[[#This Row],[Valor]],4)</f>
        <v>2.8199999999999999E-2</v>
      </c>
    </row>
    <row r="32" spans="1:10" x14ac:dyDescent="0.25">
      <c r="A32" t="s">
        <v>80</v>
      </c>
      <c r="B32" s="2">
        <f>B15/B7*SQRT(2*H5/$B$30)</f>
        <v>2.2181616506618516E-2</v>
      </c>
      <c r="C32" s="2">
        <f>ROUND(Tabela3610913[[#This Row],[Valor]],4)</f>
        <v>2.2200000000000001E-2</v>
      </c>
    </row>
    <row r="33" spans="1:3" x14ac:dyDescent="0.25">
      <c r="A33" t="s">
        <v>81</v>
      </c>
      <c r="B33" s="2">
        <f>B26/B8*SQRT(2*H6/$B$30)</f>
        <v>2.1296707918341408E-2</v>
      </c>
      <c r="C33" s="2">
        <f>ROUND(Tabela3610913[[#This Row],[Valor]],4)</f>
        <v>2.1299999999999999E-2</v>
      </c>
    </row>
    <row r="34" spans="1:3" x14ac:dyDescent="0.25">
      <c r="A34" t="s">
        <v>82</v>
      </c>
      <c r="B34" s="2">
        <f>B27/B9*SQRT(2*H7/$B$30)</f>
        <v>2.4409052163358473E-2</v>
      </c>
      <c r="C34" s="2">
        <f>ROUND(Tabela3610913[[#This Row],[Valor]],4)</f>
        <v>2.4400000000000002E-2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D7" sqref="D7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9.5703125" style="2" hidden="1" customWidth="1"/>
    <col min="4" max="4" width="5.140625" customWidth="1"/>
    <col min="5" max="5" width="27.5703125" bestFit="1" customWidth="1"/>
    <col min="6" max="6" width="14.42578125" bestFit="1" customWidth="1"/>
    <col min="7" max="7" width="11.7109375" customWidth="1"/>
    <col min="8" max="8" width="14" customWidth="1"/>
    <col min="9" max="9" width="11.85546875" customWidth="1"/>
    <col min="12" max="12" width="14.28515625" bestFit="1" customWidth="1"/>
  </cols>
  <sheetData>
    <row r="1" spans="1:13" x14ac:dyDescent="0.25">
      <c r="A1" t="s">
        <v>61</v>
      </c>
      <c r="B1" s="2" t="s">
        <v>62</v>
      </c>
      <c r="C1" s="2" t="s">
        <v>67</v>
      </c>
      <c r="E1" t="s">
        <v>84</v>
      </c>
      <c r="G1" s="21" t="s">
        <v>68</v>
      </c>
      <c r="H1" s="21" t="s">
        <v>62</v>
      </c>
      <c r="L1" t="s">
        <v>95</v>
      </c>
      <c r="M1">
        <v>2</v>
      </c>
    </row>
    <row r="2" spans="1:13" x14ac:dyDescent="0.25">
      <c r="A2" t="s">
        <v>75</v>
      </c>
      <c r="B2" s="12">
        <v>14618.2713</v>
      </c>
      <c r="C2" s="2">
        <f>ROUND(Tabela361091315[[#This Row],[Valor]],4)</f>
        <v>14618.2713</v>
      </c>
      <c r="E2" t="str">
        <f>"out.A1="&amp;C14&amp;";"</f>
        <v>out.A1=7.8681;</v>
      </c>
      <c r="G2" s="21" t="s">
        <v>69</v>
      </c>
      <c r="H2" s="21">
        <v>2.2999999999999998</v>
      </c>
      <c r="L2" t="s">
        <v>96</v>
      </c>
      <c r="M2" s="18">
        <v>0.15</v>
      </c>
    </row>
    <row r="3" spans="1:13" x14ac:dyDescent="0.25">
      <c r="A3" t="s">
        <v>76</v>
      </c>
      <c r="B3" s="12">
        <v>4746.6009000000004</v>
      </c>
      <c r="C3" s="2">
        <f>ROUND(Tabela361091315[[#This Row],[Valor]],4)</f>
        <v>4746.6009000000004</v>
      </c>
      <c r="E3" t="str">
        <f>"out.A2="&amp;C15&amp;";"</f>
        <v>out.A2=9.2779;</v>
      </c>
      <c r="G3" s="21" t="s">
        <v>70</v>
      </c>
      <c r="H3" s="21">
        <v>1.8</v>
      </c>
    </row>
    <row r="4" spans="1:13" x14ac:dyDescent="0.25">
      <c r="A4" t="s">
        <v>78</v>
      </c>
      <c r="B4" s="12">
        <v>8659.0691999999999</v>
      </c>
      <c r="C4" s="2">
        <f>ROUND(Tabela361091315[[#This Row],[Valor]],4)</f>
        <v>8659.0691999999999</v>
      </c>
      <c r="E4" t="str">
        <f>"out.A3="&amp;C26&amp;";"</f>
        <v>out.A3=7.1895;</v>
      </c>
      <c r="G4" s="21" t="s">
        <v>71</v>
      </c>
      <c r="H4" s="21">
        <v>8.5761000000000003</v>
      </c>
    </row>
    <row r="5" spans="1:13" x14ac:dyDescent="0.25">
      <c r="A5" t="s">
        <v>77</v>
      </c>
      <c r="B5" s="12">
        <v>9821.5885999999991</v>
      </c>
      <c r="C5" s="2">
        <f>ROUND(Tabela361091315[[#This Row],[Valor]],4)</f>
        <v>9821.5885999999991</v>
      </c>
      <c r="E5" t="str">
        <f>"out.A4="&amp;C27&amp;";"</f>
        <v>out.A4=4.8286;</v>
      </c>
      <c r="G5" s="21" t="s">
        <v>72</v>
      </c>
      <c r="H5" s="21">
        <v>9.0252999999999997</v>
      </c>
    </row>
    <row r="6" spans="1:13" x14ac:dyDescent="0.25">
      <c r="A6" t="s">
        <v>0</v>
      </c>
      <c r="B6" s="1">
        <f>B2/100</f>
        <v>146.18271300000001</v>
      </c>
      <c r="C6" s="12">
        <f>ROUND(Tabela361091315[[#This Row],[Valor]],4)</f>
        <v>146.18270000000001</v>
      </c>
      <c r="E6" t="str">
        <f>"out.k1="&amp;C24&amp;";"</f>
        <v>out.k1=1.7079;</v>
      </c>
      <c r="G6" s="21" t="s">
        <v>73</v>
      </c>
      <c r="H6" s="21">
        <v>8.1069999999999993</v>
      </c>
    </row>
    <row r="7" spans="1:13" x14ac:dyDescent="0.25">
      <c r="A7" t="s">
        <v>2</v>
      </c>
      <c r="B7" s="1">
        <f t="shared" ref="B7:B9" si="0">B3/100</f>
        <v>47.466009000000007</v>
      </c>
      <c r="C7" s="12">
        <f>ROUND(Tabela361091315[[#This Row],[Valor]],4)</f>
        <v>47.466000000000001</v>
      </c>
      <c r="E7" t="str">
        <f>"out.k2="&amp;C25&amp;";"</f>
        <v>out.k2=3.123;</v>
      </c>
      <c r="G7" s="21" t="s">
        <v>74</v>
      </c>
      <c r="H7" s="21">
        <v>8.8679000000000006</v>
      </c>
    </row>
    <row r="8" spans="1:13" x14ac:dyDescent="0.25">
      <c r="A8" t="s">
        <v>1</v>
      </c>
      <c r="B8" s="1">
        <f t="shared" si="0"/>
        <v>86.590692000000004</v>
      </c>
      <c r="C8" s="12">
        <f>ROUND(Tabela361091315[[#This Row],[Valor]],4)</f>
        <v>86.590699999999998</v>
      </c>
      <c r="E8" t="str">
        <f>"out.g="&amp;C30&amp;";"</f>
        <v>out.g=981;</v>
      </c>
    </row>
    <row r="9" spans="1:13" x14ac:dyDescent="0.25">
      <c r="A9" t="s">
        <v>3</v>
      </c>
      <c r="B9" s="1">
        <f t="shared" si="0"/>
        <v>98.215885999999998</v>
      </c>
      <c r="C9" s="12">
        <f>ROUND(Tabela361091315[[#This Row],[Valor]],4)</f>
        <v>98.215900000000005</v>
      </c>
      <c r="E9" t="str">
        <f>"out.a1="&amp;C31&amp;";"</f>
        <v>out.a1=0.0071;</v>
      </c>
    </row>
    <row r="10" spans="1:13" x14ac:dyDescent="0.25">
      <c r="A10" t="s">
        <v>85</v>
      </c>
      <c r="B10" s="12">
        <v>34.231000000000002</v>
      </c>
      <c r="C10" s="12">
        <f>ROUND(Tabela361091315[[#This Row],[Valor]],4)</f>
        <v>34.231000000000002</v>
      </c>
      <c r="E10" t="str">
        <f>"out.a2="&amp;C32&amp;";"</f>
        <v>out.a2=0.0265;</v>
      </c>
    </row>
    <row r="11" spans="1:13" x14ac:dyDescent="0.25">
      <c r="A11" t="s">
        <v>86</v>
      </c>
      <c r="B11" s="12">
        <v>20.077100000000002</v>
      </c>
      <c r="C11" s="12">
        <f>ROUND(Tabela361091315[[#This Row],[Valor]],4)</f>
        <v>20.077100000000002</v>
      </c>
      <c r="E11" t="str">
        <f>"out.a3="&amp;C33&amp;";"</f>
        <v>out.a3=0.0107;</v>
      </c>
    </row>
    <row r="12" spans="1:13" x14ac:dyDescent="0.25">
      <c r="A12" s="15" t="s">
        <v>4</v>
      </c>
      <c r="B12" s="17">
        <v>0.14457831325301204</v>
      </c>
      <c r="C12" s="12">
        <f>ROUND(Tabela361091315[[#This Row],[Valor]],4)</f>
        <v>0.14460000000000001</v>
      </c>
      <c r="E12" t="str">
        <f>"out.a4="&amp;C34&amp;";"</f>
        <v>out.a4=0.0066;</v>
      </c>
    </row>
    <row r="13" spans="1:13" x14ac:dyDescent="0.25">
      <c r="A13" s="15" t="s">
        <v>5</v>
      </c>
      <c r="B13" s="17">
        <v>0.13300492610837439</v>
      </c>
      <c r="C13" s="12">
        <f>ROUND(Tabela361091315[[#This Row],[Valor]],4)</f>
        <v>0.13300000000000001</v>
      </c>
      <c r="E13" t="str">
        <f>"out.hlin=["&amp;H4&amp;","&amp;H5&amp;","&amp;H6&amp;","&amp;H7&amp;"];"</f>
        <v>out.hlin=[8.5761,9.0253,8.107,8.8679];</v>
      </c>
    </row>
    <row r="14" spans="1:13" x14ac:dyDescent="0.25">
      <c r="A14" s="16" t="s">
        <v>8</v>
      </c>
      <c r="B14" s="14">
        <f>(1-B13)*B6*B17/B10</f>
        <v>7.8681464051538574</v>
      </c>
      <c r="C14" s="12">
        <f>ROUND(Tabela361091315[[#This Row],[Valor]],4)</f>
        <v>7.8681000000000001</v>
      </c>
      <c r="E14" t="str">
        <f>"out.vlin=["&amp;H2&amp;","&amp;H3&amp;"];"</f>
        <v>out.vlin=[2.3,1.8];</v>
      </c>
    </row>
    <row r="15" spans="1:13" x14ac:dyDescent="0.25">
      <c r="A15" s="16" t="s">
        <v>9</v>
      </c>
      <c r="B15" s="14">
        <f>(1-B12)*B7*B16/B11</f>
        <v>9.2778540323897172</v>
      </c>
      <c r="C15" s="12">
        <f>ROUND(Tabela361091315[[#This Row],[Valor]],4)</f>
        <v>9.2779000000000007</v>
      </c>
      <c r="E15" t="str">
        <f>"out.gama=["&amp;C12&amp;","&amp;C13&amp;"];"</f>
        <v>out.gama=[0.1446,0.133];</v>
      </c>
    </row>
    <row r="16" spans="1:13" x14ac:dyDescent="0.25">
      <c r="A16" t="s">
        <v>63</v>
      </c>
      <c r="B16" s="12">
        <v>4.5876000000000001</v>
      </c>
      <c r="C16" s="12">
        <f>ROUND(Tabela361091315[[#This Row],[Valor]],4)</f>
        <v>4.5876000000000001</v>
      </c>
    </row>
    <row r="17" spans="1:10" x14ac:dyDescent="0.25">
      <c r="A17" t="s">
        <v>64</v>
      </c>
      <c r="B17" s="12">
        <v>2.1251000000000002</v>
      </c>
      <c r="C17" s="12">
        <f>ROUND(Tabela361091315[[#This Row],[Valor]],4)</f>
        <v>2.1251000000000002</v>
      </c>
      <c r="F17" t="s">
        <v>93</v>
      </c>
      <c r="I17" t="s">
        <v>94</v>
      </c>
    </row>
    <row r="18" spans="1:10" x14ac:dyDescent="0.25">
      <c r="A18" t="s">
        <v>65</v>
      </c>
      <c r="B18" s="12">
        <v>32.611199999999997</v>
      </c>
      <c r="C18" s="12">
        <f>ROUND(Tabela361091315[[#This Row],[Valor]],4)</f>
        <v>32.611199999999997</v>
      </c>
      <c r="E18" s="2"/>
      <c r="F18" t="s">
        <v>88</v>
      </c>
      <c r="G18">
        <v>3.4510000000000001</v>
      </c>
      <c r="I18" s="22">
        <v>17.600000000000001</v>
      </c>
      <c r="J18" s="22">
        <v>21.3</v>
      </c>
    </row>
    <row r="19" spans="1:10" x14ac:dyDescent="0.25">
      <c r="A19" t="s">
        <v>66</v>
      </c>
      <c r="B19" s="12">
        <v>29.7164</v>
      </c>
      <c r="C19" s="12">
        <f>ROUND(Tabela361091315[[#This Row],[Valor]],4)</f>
        <v>29.7164</v>
      </c>
      <c r="F19" t="s">
        <v>87</v>
      </c>
      <c r="G19">
        <v>0.15</v>
      </c>
      <c r="I19" s="22">
        <v>3.6</v>
      </c>
      <c r="J19" s="22">
        <v>2.7</v>
      </c>
    </row>
    <row r="20" spans="1:10" x14ac:dyDescent="0.25">
      <c r="A20" t="s">
        <v>14</v>
      </c>
      <c r="B20" s="14">
        <f>B16/B12/B6</f>
        <v>0.21706328572517328</v>
      </c>
      <c r="C20" s="12">
        <f>ROUND(Tabela361091315[[#This Row],[Valor]],4)</f>
        <v>0.21709999999999999</v>
      </c>
      <c r="F20" t="s">
        <v>89</v>
      </c>
      <c r="G20">
        <f>G18/G19</f>
        <v>23.006666666666668</v>
      </c>
      <c r="I20">
        <f>I19+J18</f>
        <v>24.900000000000002</v>
      </c>
      <c r="J20">
        <f>J19+I18</f>
        <v>20.3</v>
      </c>
    </row>
    <row r="21" spans="1:10" x14ac:dyDescent="0.25">
      <c r="A21" t="s">
        <v>15</v>
      </c>
      <c r="B21" s="14">
        <f>B17/B13/B7</f>
        <v>0.33661148346606734</v>
      </c>
      <c r="C21" s="12">
        <f>ROUND(Tabela361091315[[#This Row],[Valor]],4)</f>
        <v>0.33660000000000001</v>
      </c>
      <c r="F21" s="18">
        <v>0.63</v>
      </c>
      <c r="G21">
        <f>G20*(1-EXP(-1))*G19</f>
        <v>2.1814480485173524</v>
      </c>
      <c r="I21">
        <f>I19/I20</f>
        <v>0.14457831325301204</v>
      </c>
      <c r="J21">
        <f>J19/J20</f>
        <v>0.13300492610837439</v>
      </c>
    </row>
    <row r="22" spans="1:10" x14ac:dyDescent="0.25">
      <c r="A22" t="s">
        <v>16</v>
      </c>
      <c r="B22" s="14">
        <f>B18/B8/(1-B13)</f>
        <v>0.4343891205472124</v>
      </c>
      <c r="C22" s="12">
        <f>ROUND(Tabela361091315[[#This Row],[Valor]],4)</f>
        <v>0.43440000000000001</v>
      </c>
      <c r="F22" t="s">
        <v>90</v>
      </c>
      <c r="G22">
        <v>24430</v>
      </c>
    </row>
    <row r="23" spans="1:10" x14ac:dyDescent="0.25">
      <c r="A23" t="s">
        <v>17</v>
      </c>
      <c r="B23" s="14">
        <f>B19/B9/(1-B12)</f>
        <v>0.35369930014015322</v>
      </c>
      <c r="C23" s="12">
        <f>ROUND(Tabela361091315[[#This Row],[Valor]],4)</f>
        <v>0.35370000000000001</v>
      </c>
      <c r="F23" t="s">
        <v>92</v>
      </c>
      <c r="G23">
        <v>18000</v>
      </c>
    </row>
    <row r="24" spans="1:10" x14ac:dyDescent="0.25">
      <c r="A24" t="s">
        <v>6</v>
      </c>
      <c r="B24" s="2">
        <f>B20*B14</f>
        <v>1.7078857112694068</v>
      </c>
      <c r="C24" s="12">
        <f>ROUND(Tabela361091315[[#This Row],[Valor]],4)</f>
        <v>1.7079</v>
      </c>
      <c r="F24" t="s">
        <v>91</v>
      </c>
      <c r="G24">
        <f>G22-G23</f>
        <v>6430</v>
      </c>
    </row>
    <row r="25" spans="1:10" x14ac:dyDescent="0.25">
      <c r="A25" t="s">
        <v>7</v>
      </c>
      <c r="B25" s="2">
        <f>B21*B15</f>
        <v>3.1230322092243377</v>
      </c>
      <c r="C25" s="12">
        <f>ROUND(Tabela361091315[[#This Row],[Valor]],4)</f>
        <v>3.1230000000000002</v>
      </c>
    </row>
    <row r="26" spans="1:10" x14ac:dyDescent="0.25">
      <c r="A26" t="s">
        <v>10</v>
      </c>
      <c r="B26" s="2">
        <f>B25/B22</f>
        <v>7.1894807247708332</v>
      </c>
      <c r="C26" s="12">
        <f>ROUND(Tabela361091315[[#This Row],[Valor]],4)</f>
        <v>7.1894999999999998</v>
      </c>
    </row>
    <row r="27" spans="1:10" x14ac:dyDescent="0.25">
      <c r="A27" t="s">
        <v>11</v>
      </c>
      <c r="B27" s="2">
        <f>B24/B23</f>
        <v>4.8286375194767359</v>
      </c>
      <c r="C27" s="12">
        <f>ROUND(Tabela361091315[[#This Row],[Valor]],4)</f>
        <v>4.8285999999999998</v>
      </c>
    </row>
    <row r="28" spans="1:10" x14ac:dyDescent="0.25">
      <c r="A28" t="s">
        <v>12</v>
      </c>
      <c r="B28" s="14">
        <f>B26/B14</f>
        <v>0.91374516367177927</v>
      </c>
      <c r="C28" s="12">
        <f>ROUND(Tabela361091315[[#This Row],[Valor]],4)</f>
        <v>0.91369999999999996</v>
      </c>
    </row>
    <row r="29" spans="1:10" x14ac:dyDescent="0.25">
      <c r="A29" t="s">
        <v>13</v>
      </c>
      <c r="B29" s="14">
        <f>B27/B15</f>
        <v>0.52044767061645758</v>
      </c>
      <c r="C29" s="12">
        <f>ROUND(Tabela361091315[[#This Row],[Valor]],4)</f>
        <v>0.52039999999999997</v>
      </c>
    </row>
    <row r="30" spans="1:10" x14ac:dyDescent="0.25">
      <c r="A30" s="15" t="s">
        <v>83</v>
      </c>
      <c r="B30" s="2">
        <v>981</v>
      </c>
      <c r="C30" s="2">
        <f>ROUND(Tabela361091315[[#This Row],[Valor]],4)</f>
        <v>981</v>
      </c>
    </row>
    <row r="31" spans="1:10" x14ac:dyDescent="0.25">
      <c r="A31" t="s">
        <v>79</v>
      </c>
      <c r="B31" s="2">
        <f>B14/B6*SQRT(2*H4/$B$30)</f>
        <v>7.1170796635209033E-3</v>
      </c>
      <c r="C31" s="2">
        <f>ROUND(Tabela361091315[[#This Row],[Valor]],4)</f>
        <v>7.1000000000000004E-3</v>
      </c>
    </row>
    <row r="32" spans="1:10" x14ac:dyDescent="0.25">
      <c r="A32" t="s">
        <v>80</v>
      </c>
      <c r="B32" s="2">
        <f>B15/B7*SQRT(2*H5/$B$30)</f>
        <v>2.651405395882106E-2</v>
      </c>
      <c r="C32" s="2">
        <f>ROUND(Tabela361091315[[#This Row],[Valor]],4)</f>
        <v>2.6499999999999999E-2</v>
      </c>
    </row>
    <row r="33" spans="1:3" x14ac:dyDescent="0.25">
      <c r="A33" t="s">
        <v>81</v>
      </c>
      <c r="B33" s="2">
        <f>B26/B8*SQRT(2*H6/$B$30)</f>
        <v>1.0674238296665781E-2</v>
      </c>
      <c r="C33" s="2">
        <f>ROUND(Tabela361091315[[#This Row],[Valor]],4)</f>
        <v>1.0699999999999999E-2</v>
      </c>
    </row>
    <row r="34" spans="1:3" x14ac:dyDescent="0.25">
      <c r="A34" t="s">
        <v>82</v>
      </c>
      <c r="B34" s="2">
        <f>B27/B9*SQRT(2*H7/$B$30)</f>
        <v>6.6104915368566074E-3</v>
      </c>
      <c r="C34" s="2">
        <f>ROUND(Tabela361091315[[#This Row],[Valor]],4)</f>
        <v>6.6E-3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Parametros_FNM</vt:lpstr>
      <vt:lpstr>Parametros_FM</vt:lpstr>
      <vt:lpstr>Parametros_FM2</vt:lpstr>
      <vt:lpstr>Parametros_FNM2</vt:lpstr>
      <vt:lpstr>Parametros_FM3</vt:lpstr>
      <vt:lpstr>Parametros_FNM3</vt:lpstr>
      <vt:lpstr>Parametros_FNM4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2015-04-20T23:02:35Z</dcterms:created>
  <dcterms:modified xsi:type="dcterms:W3CDTF">2015-05-31T03:50:41Z</dcterms:modified>
</cp:coreProperties>
</file>