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4000" windowHeight="9630"/>
  </bookViews>
  <sheets>
    <sheet name="Diamante" sheetId="1" r:id="rId1"/>
    <sheet name="Papa" sheetId="2" r:id="rId2"/>
    <sheet name="Jhon" sheetId="4" r:id="rId3"/>
    <sheet name="Adicional 2 etapa" sheetId="3" r:id="rId4"/>
    <sheet name="Informe Totales Diamante " sheetId="5" r:id="rId5"/>
    <sheet name="Hoja1" sheetId="6" r:id="rId6"/>
  </sheets>
  <externalReferences>
    <externalReference r:id="rId7"/>
  </externalReferences>
  <definedNames>
    <definedName name="_xlnm._FilterDatabase" localSheetId="0" hidden="1">Diamante!$A$2:$G$337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5" l="1"/>
  <c r="D24" i="5"/>
  <c r="Y4" i="1"/>
  <c r="C4" i="5"/>
  <c r="E333" i="1" l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9" i="1" s="1"/>
  <c r="E304" i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C23" i="4" l="1"/>
  <c r="C18" i="4"/>
  <c r="A32" i="5" l="1"/>
  <c r="A30" i="5"/>
  <c r="F8" i="5" l="1"/>
  <c r="F7" i="5"/>
  <c r="F6" i="5"/>
  <c r="M4" i="1" l="1"/>
  <c r="L5" i="5" s="1"/>
  <c r="C24" i="4" s="1"/>
  <c r="C46" i="3" l="1"/>
  <c r="D255" i="1" l="1"/>
  <c r="D254" i="1"/>
  <c r="U4" i="1" l="1"/>
  <c r="W4" i="1" l="1"/>
  <c r="C56" i="3" l="1"/>
  <c r="S4" i="1"/>
  <c r="F4" i="5" s="1"/>
  <c r="F14" i="5" s="1"/>
  <c r="S5" i="1" l="1"/>
  <c r="O4" i="1"/>
  <c r="Q4" i="1"/>
  <c r="C9" i="5" s="1"/>
  <c r="C6" i="5"/>
  <c r="G4" i="1"/>
  <c r="L4" i="5" l="1"/>
  <c r="A21" i="5"/>
  <c r="D35" i="6"/>
  <c r="D25" i="6"/>
  <c r="D45" i="6"/>
  <c r="D48" i="6" s="1"/>
  <c r="C10" i="4" l="1"/>
  <c r="C11" i="4"/>
  <c r="C12" i="4"/>
  <c r="C13" i="4"/>
  <c r="C14" i="4"/>
  <c r="C62" i="3"/>
  <c r="C11" i="5" l="1"/>
  <c r="C68" i="3"/>
  <c r="C71" i="3" s="1"/>
  <c r="A20" i="5" s="1"/>
  <c r="A22" i="5" l="1"/>
  <c r="I5" i="3"/>
  <c r="C19" i="3"/>
  <c r="I6" i="3" s="1"/>
  <c r="I7" i="3"/>
  <c r="D8" i="5" l="1"/>
  <c r="D7" i="5"/>
  <c r="D6" i="5"/>
  <c r="C49" i="3" l="1"/>
  <c r="C8" i="5"/>
  <c r="C45" i="3"/>
  <c r="C44" i="3"/>
  <c r="C43" i="3"/>
  <c r="C40" i="3"/>
  <c r="C37" i="3"/>
  <c r="C57" i="3" s="1"/>
  <c r="C36" i="3"/>
  <c r="C28" i="3"/>
  <c r="C23" i="3"/>
  <c r="C27" i="3" s="1"/>
  <c r="C29" i="3" s="1"/>
  <c r="C7" i="5" l="1"/>
  <c r="A19" i="5" s="1"/>
  <c r="A25" i="5" s="1"/>
  <c r="A36" i="5" s="1"/>
  <c r="I10" i="3"/>
  <c r="D127" i="1"/>
  <c r="K4" i="1" l="1"/>
  <c r="I11" i="3" s="1"/>
  <c r="D94" i="1"/>
  <c r="I4" i="1" l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C24" i="2"/>
  <c r="C30" i="4" l="1"/>
  <c r="I12" i="3"/>
  <c r="I13" i="3" s="1"/>
  <c r="I4" i="5" l="1"/>
  <c r="I14" i="5" s="1"/>
  <c r="C14" i="5" l="1"/>
  <c r="D18" i="5" s="1"/>
  <c r="D23" i="5" s="1"/>
</calcChain>
</file>

<file path=xl/sharedStrings.xml><?xml version="1.0" encoding="utf-8"?>
<sst xmlns="http://schemas.openxmlformats.org/spreadsheetml/2006/main" count="980" uniqueCount="533">
  <si>
    <t xml:space="preserve">Tener en cuenta con eduar </t>
  </si>
  <si>
    <t>la suma de los dos cortes</t>
  </si>
  <si>
    <t>el nos tenia 90 mil</t>
  </si>
  <si>
    <t>debia 450</t>
  </si>
  <si>
    <t>Item</t>
  </si>
  <si>
    <t>Abono a los Viejo en el deposito de amaga</t>
  </si>
  <si>
    <t>Valor</t>
  </si>
  <si>
    <t>Abono Ladrillera la Pampa para los dos pisos</t>
  </si>
  <si>
    <t>Compra de cemento en argos 50 bultos iniciales</t>
  </si>
  <si>
    <t>Efectivo el 16 de Abril en la Milagrosa para Nomina</t>
  </si>
  <si>
    <t>Pago de Transporte de adobes</t>
  </si>
  <si>
    <t>Pago de Cocina de la milagrosa</t>
  </si>
  <si>
    <t xml:space="preserve">Envio a Eduar para pagar descargues </t>
  </si>
  <si>
    <t>Pago la factura de la poliza del carro, habia que cancelarla sino reportaban a yeni, de igual forma el carro no tiene seguro.</t>
  </si>
  <si>
    <t>Pago descargue de adobes y arena</t>
  </si>
  <si>
    <t>Pago descargue retro</t>
  </si>
  <si>
    <t>Pago Gas de la milagrosa</t>
  </si>
  <si>
    <t xml:space="preserve">Abono Deposito a lo viejo </t>
  </si>
  <si>
    <t>Se terminaron de pagar los adobes en la ladrillera</t>
  </si>
  <si>
    <t xml:space="preserve">Abono para estribos </t>
  </si>
  <si>
    <t>Pago descargue</t>
  </si>
  <si>
    <t>Pago de nomina el 21 de Abril en la Milagrosa</t>
  </si>
  <si>
    <t xml:space="preserve">Abono a edwin para terminar de pagar lo viejo </t>
  </si>
  <si>
    <t>Total Entregado</t>
  </si>
  <si>
    <t>Ingreso</t>
  </si>
  <si>
    <t>Egreso</t>
  </si>
  <si>
    <t>Subtotal</t>
  </si>
  <si>
    <t>Prestamo Nubia</t>
  </si>
  <si>
    <t>Abono Maria Soledad</t>
  </si>
  <si>
    <t>Pago Abono Cristian</t>
  </si>
  <si>
    <t>Manejo de Tarjeta Hasta el 14 Marzo</t>
  </si>
  <si>
    <t>Café Maria Soledad</t>
  </si>
  <si>
    <t>Autenticación</t>
  </si>
  <si>
    <t>Certificados</t>
  </si>
  <si>
    <t>Limpieza del Primer Piso</t>
  </si>
  <si>
    <t>Prerenovacion de la camara de comercio</t>
  </si>
  <si>
    <t>Abono a Jhon</t>
  </si>
  <si>
    <t>4xmil Jeny hasta el 1304</t>
  </si>
  <si>
    <t>Abono Nomina Jhon</t>
  </si>
  <si>
    <t>Jhon</t>
  </si>
  <si>
    <t>Pago de Nomina</t>
  </si>
  <si>
    <t>Pago de 4xmil</t>
  </si>
  <si>
    <t>Pago de Agua</t>
  </si>
  <si>
    <t>Pago de nomina el 21 de Abril en la Milagrosa de Amaga</t>
  </si>
  <si>
    <t>Pago a eduar de descargues</t>
  </si>
  <si>
    <t>Pago EdwinDeposito Viejo</t>
  </si>
  <si>
    <t xml:space="preserve">Pago de predial </t>
  </si>
  <si>
    <t>Costo de Escrituras</t>
  </si>
  <si>
    <t>Costo de Escrituras registro</t>
  </si>
  <si>
    <t>Pago de estribos</t>
  </si>
  <si>
    <t>Prestamo a eduar</t>
  </si>
  <si>
    <t>4xmil</t>
  </si>
  <si>
    <t>Cuota de manejo y 4xmil de diamante</t>
  </si>
  <si>
    <t>Pago contadora por definir distribucion</t>
  </si>
  <si>
    <t>Pago deposito</t>
  </si>
  <si>
    <t>Pago Factura Amaga</t>
  </si>
  <si>
    <t>4xmil hast el 7 de mayo</t>
  </si>
  <si>
    <t>Pago de nomina amaga</t>
  </si>
  <si>
    <t>Transporte de adobes</t>
  </si>
  <si>
    <t>Pago eletricidad milagrosa</t>
  </si>
  <si>
    <t>Pago en OLX nueva publicacion</t>
  </si>
  <si>
    <t>Proyecto</t>
  </si>
  <si>
    <t>Diamante</t>
  </si>
  <si>
    <t>NominaJhon</t>
  </si>
  <si>
    <t>Milagrosa</t>
  </si>
  <si>
    <t>Factura Poliza</t>
  </si>
  <si>
    <t>copias de planos</t>
  </si>
  <si>
    <t>Certificados e internet copias</t>
  </si>
  <si>
    <t xml:space="preserve">Prestamo Eduar </t>
  </si>
  <si>
    <t>Nomina de la milagrosa</t>
  </si>
  <si>
    <t xml:space="preserve">Pago a Edwin Deposito </t>
  </si>
  <si>
    <t>olx</t>
  </si>
  <si>
    <t>Abono Gabriel  compras en efectivo</t>
  </si>
  <si>
    <t>Compra certificado</t>
  </si>
  <si>
    <t>Nomina Amaga</t>
  </si>
  <si>
    <t>Nomina Milagrosa</t>
  </si>
  <si>
    <t>Cabinas Milagrosa</t>
  </si>
  <si>
    <t>Ventanas Milagrosa</t>
  </si>
  <si>
    <t>Deposito Milagrosa</t>
  </si>
  <si>
    <t>Pared especial milagrosa</t>
  </si>
  <si>
    <t>Abono Efectivo Gabriel (lo que no le dio a eduar)</t>
  </si>
  <si>
    <t>Nomina John</t>
  </si>
  <si>
    <t>eletricidad milagrosa</t>
  </si>
  <si>
    <t xml:space="preserve">compra de adobes </t>
  </si>
  <si>
    <t>cocina milagrosa</t>
  </si>
  <si>
    <t>Efectivo variso ferreteria</t>
  </si>
  <si>
    <t xml:space="preserve">Pago de techo </t>
  </si>
  <si>
    <t>Pago Nomina milagrosa</t>
  </si>
  <si>
    <t>Materiales deposito</t>
  </si>
  <si>
    <t>4 x mil yeni</t>
  </si>
  <si>
    <t>Publcidad radio</t>
  </si>
  <si>
    <t>Utlimos dos viajes amaga jhon</t>
  </si>
  <si>
    <t>compra de adobes adicionales</t>
  </si>
  <si>
    <t>Canoas y otros Se paso a gabriel</t>
  </si>
  <si>
    <t>Compra en deposito</t>
  </si>
  <si>
    <t>Pago Techo</t>
  </si>
  <si>
    <t>Pago Nomina Amaga</t>
  </si>
  <si>
    <t>4 x mil Diamante</t>
  </si>
  <si>
    <t>Compras amaga Gabriel m-a</t>
  </si>
  <si>
    <t>Prestamo yelsid</t>
  </si>
  <si>
    <t>Compras amaga Gabriel abono techador y compras</t>
  </si>
  <si>
    <t xml:space="preserve">Pago a eduar </t>
  </si>
  <si>
    <t xml:space="preserve">cerrajero y ceramica </t>
  </si>
  <si>
    <t>deposito amaga</t>
  </si>
  <si>
    <t>Techo canoas milagrosa</t>
  </si>
  <si>
    <t>Ventanas amaga</t>
  </si>
  <si>
    <t>Apoyo Milqagrosa con nomina</t>
  </si>
  <si>
    <t>Pintura Amaga y Fachada lavada inlcuye 400 trans</t>
  </si>
  <si>
    <t>Nomina Eduar</t>
  </si>
  <si>
    <t>Pago a Joel y Juan cocinas</t>
  </si>
  <si>
    <t>abono fachada</t>
  </si>
  <si>
    <t>Ventans</t>
  </si>
  <si>
    <t>Pintura amaga algunas cosas milagrosa lavaderos</t>
  </si>
  <si>
    <t xml:space="preserve">certificados </t>
  </si>
  <si>
    <t>Abono Maria Soledad Junio</t>
  </si>
  <si>
    <t>Nomina Abono Eduar</t>
  </si>
  <si>
    <t>Dia Trabajador Mviendo Arena</t>
  </si>
  <si>
    <t>Nomina Abono Alpinistas</t>
  </si>
  <si>
    <t>Cubiertas amaga</t>
  </si>
  <si>
    <t>Cubiertas milagrosa</t>
  </si>
  <si>
    <t>Planos</t>
  </si>
  <si>
    <t>Cerrajero  y amaga</t>
  </si>
  <si>
    <t>Cosas Amaga Compro Gabriel</t>
  </si>
  <si>
    <t>Factura de Milagrosa</t>
  </si>
  <si>
    <t>Lavado y pintada de Fachada</t>
  </si>
  <si>
    <t>Instalacion de gargolas incluye materiales</t>
  </si>
  <si>
    <t>Ventanas de amaga + instalacion</t>
  </si>
  <si>
    <t>Total Adicionales 2 etapa</t>
  </si>
  <si>
    <t>Total</t>
  </si>
  <si>
    <t>Debemos</t>
  </si>
  <si>
    <t>Abono en Amaga</t>
  </si>
  <si>
    <t>Adicional en  5 piso por ser techo vigas canoas etc  cuchillas</t>
  </si>
  <si>
    <t>Le debiamos del 1 y 2 piso:</t>
  </si>
  <si>
    <t>Intereses del 1 y 2 piso</t>
  </si>
  <si>
    <t>compras para el 2 piso revoque cemento  ceramica</t>
  </si>
  <si>
    <t xml:space="preserve">Plata que se le ha dado para Milagrosa </t>
  </si>
  <si>
    <t>Plata que se ha colocado para amaga</t>
  </si>
  <si>
    <t xml:space="preserve">Se deberia a hoy </t>
  </si>
  <si>
    <t>Nomina amaga devol de retendio a eduar</t>
  </si>
  <si>
    <t xml:space="preserve">Prestamo gabriel </t>
  </si>
  <si>
    <t>Nomina Jhon</t>
  </si>
  <si>
    <t>Pago en notaria</t>
  </si>
  <si>
    <t>Pago en camara de comercio</t>
  </si>
  <si>
    <t>Me los gaste entrando adobes pagando aseo de barrer y materiales</t>
  </si>
  <si>
    <t xml:space="preserve">Se mando para comprar broka lagrimales chazoz catalan </t>
  </si>
  <si>
    <t xml:space="preserve"> </t>
  </si>
  <si>
    <t xml:space="preserve">Arreglo de Daños del 1 piso por agua </t>
  </si>
  <si>
    <t>materail de la milagrosaa</t>
  </si>
  <si>
    <t xml:space="preserve">materail techo comprado </t>
  </si>
  <si>
    <t>tejas adicionales</t>
  </si>
  <si>
    <t>mano de obra con canoas</t>
  </si>
  <si>
    <t xml:space="preserve">total techo </t>
  </si>
  <si>
    <t xml:space="preserve">Ma obra cuchilla </t>
  </si>
  <si>
    <t>Valorloza antes</t>
  </si>
  <si>
    <t xml:space="preserve">Total excedente techo </t>
  </si>
  <si>
    <t xml:space="preserve">Materiales de plomeria milagrosa </t>
  </si>
  <si>
    <t>MO</t>
  </si>
  <si>
    <t>Mat</t>
  </si>
  <si>
    <t xml:space="preserve">Parte de la eletricida lo que se llev hasta el momento </t>
  </si>
  <si>
    <t xml:space="preserve">Plomeria de 3 al 5 </t>
  </si>
  <si>
    <t xml:space="preserve">Materiales del techo de la milagrosa </t>
  </si>
  <si>
    <t xml:space="preserve">Revoque de Balcones y fajas en 4 y 5 y columnas y filetes internos </t>
  </si>
  <si>
    <t>Vaciar piso afuera tapa alcaltarilla muro debajo de las escalas jardineras y lagrimales</t>
  </si>
  <si>
    <t xml:space="preserve">Adicionales del 3 4 5 y fachada y descuento de materiales </t>
  </si>
  <si>
    <t xml:space="preserve">4 y 5 Piso contrato </t>
  </si>
  <si>
    <t xml:space="preserve">Variso que le se han dado de apoquito </t>
  </si>
  <si>
    <t>Nomina Yoel y otro s</t>
  </si>
  <si>
    <t>Para alpinistas</t>
  </si>
  <si>
    <t>Descargue de materiales y otros items varios</t>
  </si>
  <si>
    <t>Ayuda milagrosa Nomina</t>
  </si>
  <si>
    <t>Pasajes amaga y otros papa comida</t>
  </si>
  <si>
    <t>Cuentas por pagar:</t>
  </si>
  <si>
    <t>Gabriel con interes :</t>
  </si>
  <si>
    <t>Nuvia sin interes</t>
  </si>
  <si>
    <t xml:space="preserve">Cristian </t>
  </si>
  <si>
    <t>Cuentas por Cobrar</t>
  </si>
  <si>
    <t>Total :</t>
  </si>
  <si>
    <t>Venta 101</t>
  </si>
  <si>
    <t xml:space="preserve">Disponible Actual </t>
  </si>
  <si>
    <t>Disponible actualmente en caja</t>
  </si>
  <si>
    <t>Gran Total Queda</t>
  </si>
  <si>
    <t>Capital :</t>
  </si>
  <si>
    <t>Utilidades</t>
  </si>
  <si>
    <t>Falta en Obra</t>
  </si>
  <si>
    <t xml:space="preserve">Enchape del Punto fijo </t>
  </si>
  <si>
    <t xml:space="preserve">Lavada de los apartamentos </t>
  </si>
  <si>
    <t xml:space="preserve">Hidrofugada de la fachada y termiinar de pintar </t>
  </si>
  <si>
    <t xml:space="preserve">Energia de los 4 pisos </t>
  </si>
  <si>
    <t xml:space="preserve">Gas de los 4 Pisos </t>
  </si>
  <si>
    <t>Obra que falta</t>
  </si>
  <si>
    <t>Detalles de plomeria tanques etc</t>
  </si>
  <si>
    <t xml:space="preserve">Detalles del 5 Piso que Faltan </t>
  </si>
  <si>
    <t xml:space="preserve">Puertas y ventans del patio </t>
  </si>
  <si>
    <t xml:space="preserve">Puertas Vidrieras </t>
  </si>
  <si>
    <t xml:space="preserve">Sanitarios y lavamanos </t>
  </si>
  <si>
    <t xml:space="preserve">Puertas delos baños </t>
  </si>
  <si>
    <t>Intereses de Nuvia 20M 17-03-2017</t>
  </si>
  <si>
    <t>Fecha Actual</t>
  </si>
  <si>
    <t>Intereses de Nuvia 10M 30-05-2017</t>
  </si>
  <si>
    <t>Intereses de Nuvia 80M 04-04-2018</t>
  </si>
  <si>
    <t>Enchape de duchas</t>
  </si>
  <si>
    <t xml:space="preserve">Drywall tubos y baños cielo </t>
  </si>
  <si>
    <t>TOTAL:</t>
  </si>
  <si>
    <t xml:space="preserve">Ceramica y mortero del 2 piso y lo que q alcance </t>
  </si>
  <si>
    <t>Morteros de 3 4 5</t>
  </si>
  <si>
    <t>Prestamo de los 80 y maria soledad</t>
  </si>
  <si>
    <t>Utilidad a reinvertir</t>
  </si>
  <si>
    <t xml:space="preserve">Interes Mensual </t>
  </si>
  <si>
    <t xml:space="preserve">Matas </t>
  </si>
  <si>
    <t xml:space="preserve">Triturado </t>
  </si>
  <si>
    <t>Escombros</t>
  </si>
  <si>
    <t xml:space="preserve">Detalles de entrega </t>
  </si>
  <si>
    <t xml:space="preserve">Conexión de agua </t>
  </si>
  <si>
    <t xml:space="preserve">Abono Grabiel Milagrosa  1750  + 750 </t>
  </si>
  <si>
    <t xml:space="preserve">Urgencia me quede sin seuro en amaga </t>
  </si>
  <si>
    <t xml:space="preserve">Abono Grabiel Milagrosa  100 en la cuenta </t>
  </si>
  <si>
    <t xml:space="preserve">Pago trabajdores amaga </t>
  </si>
  <si>
    <t xml:space="preserve">Se envio para comprar material de plomeria y cemento </t>
  </si>
  <si>
    <t>Pago de viaje de escombros</t>
  </si>
  <si>
    <t>Pago a brayan Abono Eletricidad Milagrosa</t>
  </si>
  <si>
    <t>Pago de viaje para llevar material para amaga</t>
  </si>
  <si>
    <t>Pago de nomina se debia</t>
  </si>
  <si>
    <t>Jhon ir amga</t>
  </si>
  <si>
    <t>Prestamo a Alonso Amga</t>
  </si>
  <si>
    <t xml:space="preserve">Abono Brayan Eletrcidad </t>
  </si>
  <si>
    <t xml:space="preserve">Compra de eletricidad y pegacor </t>
  </si>
  <si>
    <t>Pago de segundo viaje de escombros y cemento</t>
  </si>
  <si>
    <t>Prestamo a mi papa</t>
  </si>
  <si>
    <t xml:space="preserve">Pago de nomina Amaga </t>
  </si>
  <si>
    <t>Prestamo a mi papa para ir amaga</t>
  </si>
  <si>
    <t xml:space="preserve">Pago de publicidad  volante y letrero </t>
  </si>
  <si>
    <t>Joel  charles y  otro</t>
  </si>
  <si>
    <t>Pago a Señores limpiar 2 piso</t>
  </si>
  <si>
    <t xml:space="preserve">Cliente </t>
  </si>
  <si>
    <t>Telefono</t>
  </si>
  <si>
    <t>Monica</t>
  </si>
  <si>
    <t>Diocelina espinosa</t>
  </si>
  <si>
    <t>Daniel Rojas</t>
  </si>
  <si>
    <t>Carlas Danches</t>
  </si>
  <si>
    <t>Alvaro Sanchez</t>
  </si>
  <si>
    <t>Viviana Sanchez</t>
  </si>
  <si>
    <t>yuliana velz</t>
  </si>
  <si>
    <t>Va ahablar con la hermano para ver si hacen los papeles les falta inicial</t>
  </si>
  <si>
    <t xml:space="preserve">Yulian </t>
  </si>
  <si>
    <t>Leidy Tatina</t>
  </si>
  <si>
    <t>Yaneth Cristina</t>
  </si>
  <si>
    <t xml:space="preserve">Va a pasar los papeles </t>
  </si>
  <si>
    <t>Observación</t>
  </si>
  <si>
    <t>Yannini Morales</t>
  </si>
  <si>
    <t xml:space="preserve">Quedo hablar con hoja hijos terreno </t>
  </si>
  <si>
    <t xml:space="preserve">Pasar carta con valores a pagar por cuota </t>
  </si>
  <si>
    <t>Grilla</t>
  </si>
  <si>
    <t>Pendiente de comfirmar compra</t>
  </si>
  <si>
    <t>no volvio</t>
  </si>
  <si>
    <t xml:space="preserve">señora cansona </t>
  </si>
  <si>
    <t>Edgar</t>
  </si>
  <si>
    <t>dijo que no le alcanza</t>
  </si>
  <si>
    <t xml:space="preserve">Creo que la gordita que tien 12 millones </t>
  </si>
  <si>
    <t xml:space="preserve">hija de alvaro </t>
  </si>
  <si>
    <t>La amiga de la vecina que no tiene casi plat a</t>
  </si>
  <si>
    <t xml:space="preserve">Señora que la mando el esposo con la otra gente pendiente que hable con el esposo </t>
  </si>
  <si>
    <t xml:space="preserve">otro numero de yaneth cristian </t>
  </si>
  <si>
    <t xml:space="preserve">Estan pensando con el hermano que van hacer y haber si el banco si les presta.. Ellos estan gestionando </t>
  </si>
  <si>
    <t xml:space="preserve">Ya pasaron la carta esta en el correo </t>
  </si>
  <si>
    <t xml:space="preserve">Van a mandar los documentos para el 4 piso tienen 30 en efectivo </t>
  </si>
  <si>
    <t xml:space="preserve">Que mas tarde hablamos </t>
  </si>
  <si>
    <t xml:space="preserve">Dijo ya vengo y no volvio critico mucho </t>
  </si>
  <si>
    <t>Pago a trabajadoras del aseo se mando por gana</t>
  </si>
  <si>
    <t>Salarios</t>
  </si>
  <si>
    <t>Octubre</t>
  </si>
  <si>
    <t>Noviembre</t>
  </si>
  <si>
    <t>Diciembre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</si>
  <si>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</si>
  <si>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</si>
  <si>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</si>
  <si>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</si>
  <si>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</si>
  <si>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</si>
  <si>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</si>
  <si>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</si>
  <si>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</si>
  <si>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 xml:space="preserve">Saldo </t>
  </si>
  <si>
    <t xml:space="preserve">Abono Maria Soledad Junio Par ami papa para el aseo milagrosa </t>
  </si>
  <si>
    <t>Ingreso Primera Cuota de Cliente Karla Sanchez</t>
  </si>
  <si>
    <t xml:space="preserve">Abno Gabriel se le consignaron </t>
  </si>
  <si>
    <t xml:space="preserve">Abono Gabriel se le consignaron </t>
  </si>
  <si>
    <t>Pago de Publcicidad Facebook</t>
  </si>
  <si>
    <t xml:space="preserve">Pago de cuota de manejo bancolombia </t>
  </si>
  <si>
    <t xml:space="preserve">Cuenta Intereses Gabriel </t>
  </si>
  <si>
    <t xml:space="preserve">Los intereses comenzaron a correr en Febrero que se inicio la entrega de los apartamentos </t>
  </si>
  <si>
    <t>Intereses de Febrero Marzo Abril 2 Apartamentos x 300 Mil  Cada uno.</t>
  </si>
  <si>
    <t>Apartir de Mayo solo se cobra un apartamento, porque para esa fecha ya habiamos pagado en dinero en efectivo, la mita de la deuda del 1 y 2 piso.  Osea 30 Millones de pesos los cuales fueron entregados a gabriel en pagos en la obra la de la milagrosa.</t>
  </si>
  <si>
    <t xml:space="preserve">Intereses de Mayo Junio Julio Agosto Septiembre </t>
  </si>
  <si>
    <t xml:space="preserve">Total a la fecha : </t>
  </si>
  <si>
    <t>Karla</t>
  </si>
  <si>
    <t xml:space="preserve">201 soledad </t>
  </si>
  <si>
    <t>OTROS JFC</t>
  </si>
  <si>
    <t>GRDO EQUOIS</t>
  </si>
  <si>
    <t xml:space="preserve">Seguridad </t>
  </si>
  <si>
    <t>OCtubre</t>
  </si>
  <si>
    <t>Visitas :Octubre 4 veces
Noviembre 5   veces
Diciembre 4  veces
Enero 4 veces
24 Enero
2 de Febrero
9 de Febrero
10 de febrero
12 de Febrero
22 de Febrero
24 de Febrero
2 de Marzo
12 de Marzo
16 de Marzo
1 de Marzo
1 de Abril</t>
  </si>
  <si>
    <t>Gastado</t>
  </si>
  <si>
    <t>Deben  diamante</t>
  </si>
  <si>
    <t xml:space="preserve">Debe papa </t>
  </si>
  <si>
    <t xml:space="preserve">apartamento </t>
  </si>
  <si>
    <t xml:space="preserve">utilidad </t>
  </si>
  <si>
    <t xml:space="preserve">Deposito se deben </t>
  </si>
  <si>
    <t>Abono Gabriel se le consignaron  al del gas</t>
  </si>
  <si>
    <t xml:space="preserve">Abono Gabriel Gafas Daniela </t>
  </si>
  <si>
    <t xml:space="preserve">Prestamo hoy para cambiar baños + 100 int </t>
  </si>
  <si>
    <t>solo 2 veces</t>
  </si>
  <si>
    <t>Abono Gabriel se los di a gabriel 450 por 550 Prestaron</t>
  </si>
  <si>
    <t>Para eduar</t>
  </si>
  <si>
    <t xml:space="preserve"> contrato mas adicionales y comisiones e interes</t>
  </si>
  <si>
    <t xml:space="preserve">Formulario Camara </t>
  </si>
  <si>
    <t xml:space="preserve">Presupuesto Para Fase Final </t>
  </si>
  <si>
    <t>4 Puertas Intaladas</t>
  </si>
  <si>
    <t xml:space="preserve">Lavar Zona Comun Incluye Materiales  y Terminar fachada </t>
  </si>
  <si>
    <t>Categoria</t>
  </si>
  <si>
    <t>2Piso</t>
  </si>
  <si>
    <t xml:space="preserve">Zona Comun </t>
  </si>
  <si>
    <t xml:space="preserve">Pintar Cielos de Zona Comun </t>
  </si>
  <si>
    <t xml:space="preserve">Eso lo podemos hacer nosotros </t>
  </si>
  <si>
    <t>Mortero del 2 Piso  incluye materiales</t>
  </si>
  <si>
    <t>Ceramica e instalacion del 2 piso  incluye materiales</t>
  </si>
  <si>
    <t>Lavar 2 Piso incluye materiales</t>
  </si>
  <si>
    <t>Revocar las ultimas escaleras  incluye materiales</t>
  </si>
  <si>
    <t>Ceramica Zona Comun  incluye materiales</t>
  </si>
  <si>
    <t xml:space="preserve">Triturado para el ingreso al edificio </t>
  </si>
  <si>
    <t>Istalacion de Drywall del 2 piso  incluye materiales</t>
  </si>
  <si>
    <t>Ceramica de baños  2 piso incluye materiales</t>
  </si>
  <si>
    <t>Istalacion de ventanales incluye materiales</t>
  </si>
  <si>
    <t>Red de gas incluye materiales</t>
  </si>
  <si>
    <t>Subtotal :</t>
  </si>
  <si>
    <t xml:space="preserve">Otro Apartamento </t>
  </si>
  <si>
    <t>Lavar  Paredes incluye materiales</t>
  </si>
  <si>
    <t>Ceramica de baños   incluye materiales</t>
  </si>
  <si>
    <t>Mortero del   incluye materiales</t>
  </si>
  <si>
    <t>Istalacion de Drywall del   incluye materiales</t>
  </si>
  <si>
    <t xml:space="preserve">Revoque del cielo </t>
  </si>
  <si>
    <t xml:space="preserve">Total </t>
  </si>
  <si>
    <t xml:space="preserve">instalacion del sistema de bombeo vaciar loza tanques etc </t>
  </si>
  <si>
    <t xml:space="preserve">Abono a mi mama 500 mil de los 700 </t>
  </si>
  <si>
    <t>Pago de deuda pagadirio Gabriel</t>
  </si>
  <si>
    <t xml:space="preserve">Pago a Joel </t>
  </si>
  <si>
    <t xml:space="preserve">Presto acristian </t>
  </si>
  <si>
    <t>Cristian</t>
  </si>
  <si>
    <t xml:space="preserve">Abono a Deposito para tableta </t>
  </si>
  <si>
    <t xml:space="preserve">Abno Maria Soledad en efectivo </t>
  </si>
  <si>
    <t>Maria Soledad</t>
  </si>
  <si>
    <t>Notaria e impresiones de firma de compraventas</t>
  </si>
  <si>
    <t xml:space="preserve">Ultima Etapa </t>
  </si>
  <si>
    <t xml:space="preserve">Venta 301 Leidy </t>
  </si>
  <si>
    <t xml:space="preserve">        </t>
  </si>
  <si>
    <t xml:space="preserve">Compra de Accido Nitrico para lavar </t>
  </si>
  <si>
    <t xml:space="preserve">Abono Karla </t>
  </si>
  <si>
    <t xml:space="preserve">Compra Ceramica Baños 201 8 metros </t>
  </si>
  <si>
    <t>Compra de 6 Rollos de alambre 201</t>
  </si>
  <si>
    <t xml:space="preserve">Abono puertas </t>
  </si>
  <si>
    <t>Tuberia de Gas</t>
  </si>
  <si>
    <t>Pintura y Pasta</t>
  </si>
  <si>
    <t>VALOR GASTADO EN ESTA ULTIMA ETAPA</t>
  </si>
  <si>
    <t>Ultima Etapa</t>
  </si>
  <si>
    <t xml:space="preserve">Esposo de Karla </t>
  </si>
  <si>
    <t>Sobro de la cuenta de 1359000</t>
  </si>
  <si>
    <t>Compra de materiales en deposito  consignacion de 2 millones</t>
  </si>
  <si>
    <t xml:space="preserve">Abono Deposito consignacion de 2 millones </t>
  </si>
  <si>
    <t>Pago intereses del vibrador</t>
  </si>
  <si>
    <t>Sobro de la cuenta de los 290 mil del 2 de octubre</t>
  </si>
  <si>
    <t xml:space="preserve">Compra de materiales </t>
  </si>
  <si>
    <t>Abono Leidy</t>
  </si>
  <si>
    <t>Leidy</t>
  </si>
  <si>
    <t>Pago empleados Resane</t>
  </si>
  <si>
    <t xml:space="preserve">MO Utlima Etapa </t>
  </si>
  <si>
    <t xml:space="preserve">Lo que sobro de los materiales </t>
  </si>
  <si>
    <t xml:space="preserve">Compra de Acido Fluoridico </t>
  </si>
  <si>
    <t>Pago de ayudante moviendo material de l 2 al 3</t>
  </si>
  <si>
    <t xml:space="preserve">Abono de lavado de apartamentos </t>
  </si>
  <si>
    <t xml:space="preserve">Abono Gabriel Gastos personales </t>
  </si>
  <si>
    <t xml:space="preserve"> Compra de accido Falta dividir </t>
  </si>
  <si>
    <t>Compra de Gasolina para el carro nuevo, lavada, parquedero</t>
  </si>
  <si>
    <t xml:space="preserve">Compra de cemento </t>
  </si>
  <si>
    <t xml:space="preserve">Renovacion de la camara de comercio </t>
  </si>
  <si>
    <t xml:space="preserve">Cuota de tarjeta y 4xmil </t>
  </si>
  <si>
    <t xml:space="preserve">Compra de quimicos para lavar </t>
  </si>
  <si>
    <t xml:space="preserve">Compra de cable </t>
  </si>
  <si>
    <t xml:space="preserve">Compra de ceramica baños faltante </t>
  </si>
  <si>
    <t xml:space="preserve">Compra de ceramica 2 piso </t>
  </si>
  <si>
    <t>para techo amaga</t>
  </si>
  <si>
    <t xml:space="preserve">Deposito Amaga </t>
  </si>
  <si>
    <t xml:space="preserve">Cemento </t>
  </si>
  <si>
    <t xml:space="preserve">Vehiculo recibido por maria soledad </t>
  </si>
  <si>
    <t xml:space="preserve">Venta de Vehiculo de maria soeldad </t>
  </si>
  <si>
    <t xml:space="preserve">Pago de nomina Abono a eduar </t>
  </si>
  <si>
    <t xml:space="preserve">Abono Gabriel 100 en cta q sobro eduar + 200  efectivo + 940 tarejta -200 yelsid </t>
  </si>
  <si>
    <t xml:space="preserve">Pago brayan de eletricidad </t>
  </si>
  <si>
    <t xml:space="preserve">Abono a Lavador </t>
  </si>
  <si>
    <t xml:space="preserve">Pago brayan y eduar </t>
  </si>
  <si>
    <t xml:space="preserve">Para lavador </t>
  </si>
  <si>
    <t>Abono grabiel</t>
  </si>
  <si>
    <t xml:space="preserve">Pago Plomero </t>
  </si>
  <si>
    <t xml:space="preserve">Lavadores para terminar escalas </t>
  </si>
  <si>
    <t xml:space="preserve">Gabriel de los 3 millones que le di se quedo con 100 </t>
  </si>
  <si>
    <t xml:space="preserve">falte 1 </t>
  </si>
  <si>
    <t>Yelsid</t>
  </si>
  <si>
    <t xml:space="preserve">Papa yeni </t>
  </si>
  <si>
    <t xml:space="preserve">Compra de certificaod camara </t>
  </si>
  <si>
    <t>Prestamo empleado contratista viejo</t>
  </si>
  <si>
    <t>Compra de ceramica para zona comun con pega</t>
  </si>
  <si>
    <t>Pago de viaje de puertas</t>
  </si>
  <si>
    <t xml:space="preserve">Compra de lavadero </t>
  </si>
  <si>
    <t>Compra de sanitarios</t>
  </si>
  <si>
    <t>Compra de alambre</t>
  </si>
  <si>
    <t>Abono Gabriel lo que le deje en la tarjeta compra de 177 + 520 que saco - 70 lavadero - 130 viaje a jhon de puertas</t>
  </si>
  <si>
    <t>Pago de Leidy Apto 301</t>
  </si>
  <si>
    <t xml:space="preserve">Pago de Nomina Se pago de lso 2 millones que le preste </t>
  </si>
  <si>
    <t xml:space="preserve">Abono lo que sobro de los 2 millones </t>
  </si>
  <si>
    <t xml:space="preserve">Pago de Arreglo de buitrones Drywall de baños </t>
  </si>
  <si>
    <t>Pago de Arreglo de buitrones Drywall de baños 100 que se le descontaron a alvaro que era de jhon abono deuda</t>
  </si>
  <si>
    <t>Abono se pago pasaje de la costa</t>
  </si>
  <si>
    <t xml:space="preserve">Saco Gabriel para el </t>
  </si>
  <si>
    <t xml:space="preserve">Se le pago los intereses al aseñor de los 500 mil </t>
  </si>
  <si>
    <t xml:space="preserve">Material de drywall y algo de eletricidad </t>
  </si>
  <si>
    <t>Utilidad Ficticia</t>
  </si>
  <si>
    <t>Mama C</t>
  </si>
  <si>
    <t>Gabriel</t>
  </si>
  <si>
    <t xml:space="preserve">Diamante Plata que se ha gastado la empresa en varias cosas </t>
  </si>
  <si>
    <t xml:space="preserve">Salarios de empleados Jhon Cristian </t>
  </si>
  <si>
    <t xml:space="preserve">Mas Gastos Anteriores y salarios anteriores a cuando manejaban la empresa cristan </t>
  </si>
  <si>
    <t xml:space="preserve">TOTAL </t>
  </si>
  <si>
    <t xml:space="preserve">Ayuda pasaje de stiven y daniela </t>
  </si>
  <si>
    <t>Ana</t>
  </si>
  <si>
    <t>Abono Ana</t>
  </si>
  <si>
    <t xml:space="preserve">Abono Gabriel para luz de la milagrosa </t>
  </si>
  <si>
    <t xml:space="preserve">Abono Gabriel Deposito </t>
  </si>
  <si>
    <t xml:space="preserve">Regalo a la de la notaria porque nos ayudo con la compraventa </t>
  </si>
  <si>
    <t xml:space="preserve">Pago en notaria </t>
  </si>
  <si>
    <t xml:space="preserve">Colocar Cajon de Agua y Gas Que quedo todo listo en la zona comun del primer piso </t>
  </si>
  <si>
    <t xml:space="preserve">Limpiar Paredes que ensuciaron de pintura cuando hicieron los buitrones </t>
  </si>
  <si>
    <t xml:space="preserve">Revocar Cielo del 3 y 4 piso </t>
  </si>
  <si>
    <t>tirar morteros del 3 4 y 5</t>
  </si>
  <si>
    <t xml:space="preserve">Colocar el drywall del 3 y 4 5 piso </t>
  </si>
  <si>
    <t xml:space="preserve">Colocar el drywall del primer piso exterior </t>
  </si>
  <si>
    <t xml:space="preserve">Que fabian termine todo lo del agua </t>
  </si>
  <si>
    <t xml:space="preserve">Regar bien el triturado la capa esta muy gruesa </t>
  </si>
  <si>
    <t>Energia Toda Completa incluyendo Retie</t>
  </si>
  <si>
    <t xml:space="preserve">Preguntas Fachada Color </t>
  </si>
  <si>
    <t>si se puede quitar tanques del 1 piso y tirar tableta Sobro mucha</t>
  </si>
  <si>
    <t>Y que el segundo piso quede listo de TODO agua luz todo</t>
  </si>
  <si>
    <t>Votar todos los escombros sacar lo que no sirva botar basura que esta afuera</t>
  </si>
  <si>
    <t xml:space="preserve">Pago de nomina </t>
  </si>
  <si>
    <t>Abono Gabriel para Carulla nomina</t>
  </si>
  <si>
    <t>Pago de Agua Cuenta</t>
  </si>
  <si>
    <t xml:space="preserve">Compra de insumos eletricos </t>
  </si>
  <si>
    <t xml:space="preserve">Pago Escrituras Ana Jardin </t>
  </si>
  <si>
    <t xml:space="preserve">Pago de cerficado camara y liberta predial </t>
  </si>
  <si>
    <t xml:space="preserve">Pago Jhon </t>
  </si>
  <si>
    <t>Abono en la milagrosa  y otros</t>
  </si>
  <si>
    <t>Abono Gabriel Efectivo</t>
  </si>
  <si>
    <t xml:space="preserve">Abono ventanas </t>
  </si>
  <si>
    <t xml:space="preserve">Compra de acidos </t>
  </si>
  <si>
    <t>compra de materiales ferreteria</t>
  </si>
  <si>
    <t xml:space="preserve">Pago de certificaicon Retie abono </t>
  </si>
  <si>
    <t>compra medidores de agua</t>
  </si>
  <si>
    <t>Jhon Nomina</t>
  </si>
  <si>
    <t>Prestamo Yelsid</t>
  </si>
  <si>
    <t>4xmil hasta el 2 de diciembre</t>
  </si>
  <si>
    <t xml:space="preserve">cajones de gas y agua </t>
  </si>
  <si>
    <t>karla 501</t>
  </si>
  <si>
    <t>ana 401</t>
  </si>
  <si>
    <t>Para nomina</t>
  </si>
  <si>
    <t>Varios</t>
  </si>
  <si>
    <t xml:space="preserve">compra de ma materiales </t>
  </si>
  <si>
    <t xml:space="preserve">John Nomina </t>
  </si>
  <si>
    <t xml:space="preserve">Total Deudas </t>
  </si>
  <si>
    <t xml:space="preserve">tranferencia pago a alvaro </t>
  </si>
  <si>
    <t>tranferencia a alex revoador</t>
  </si>
  <si>
    <t>Abono Gabriel 400 mil que retiro en castillas para ponchadora</t>
  </si>
  <si>
    <t>Compra</t>
  </si>
  <si>
    <t xml:space="preserve"> Gabriel  saco dela tarjeta</t>
  </si>
  <si>
    <t>Pago a eduar trasnferencia</t>
  </si>
  <si>
    <t xml:space="preserve">retiro de 300 de la tarjeta para brayan </t>
  </si>
  <si>
    <t>Abono Ferreteria Gabriel Abono a la deuda</t>
  </si>
  <si>
    <t xml:space="preserve">Jhon Nomina mercado </t>
  </si>
  <si>
    <t>Abono Ferreteria Gabriel  para el carro en barrio triste retiro 300 +50</t>
  </si>
  <si>
    <t>Gabriel los ladas pago en los ladas</t>
  </si>
  <si>
    <t>Efectivo Retiro parapago de  nomina de otros trananjadores</t>
  </si>
  <si>
    <t>Compra cable cinta clavos</t>
  </si>
  <si>
    <t>Descuento del 4</t>
  </si>
  <si>
    <t>Descuento del 5</t>
  </si>
  <si>
    <t>Descuento del 3</t>
  </si>
  <si>
    <t>Descuento del 2</t>
  </si>
  <si>
    <t>Maria Solead Carro</t>
  </si>
  <si>
    <t>Retiro Abono 600+400 para prestar alex alvaro revocadores otros trabajadores</t>
  </si>
  <si>
    <t>Retiro Abono  +600+600+600 para 300 deventanas y 1500 de ventanales</t>
  </si>
  <si>
    <t xml:space="preserve">Se los dia gabriel </t>
  </si>
  <si>
    <t xml:space="preserve">Compra de varios en deposito rodillos, pinura y otros </t>
  </si>
  <si>
    <t xml:space="preserve">Compra de varios en deposito </t>
  </si>
  <si>
    <t>Compra de pintura</t>
  </si>
  <si>
    <t xml:space="preserve">Abono Ventanero </t>
  </si>
  <si>
    <t>Pago de eletricidad Amaga trabajos</t>
  </si>
  <si>
    <t xml:space="preserve">Abono Gabriel Efectivo amaga </t>
  </si>
  <si>
    <t xml:space="preserve">Envio a Eduar para pagar descargues y compra de materiales </t>
  </si>
  <si>
    <t xml:space="preserve">Pago de Nomina </t>
  </si>
  <si>
    <t xml:space="preserve">Factura en Amaga </t>
  </si>
  <si>
    <t>Compra de materiales en amaga</t>
  </si>
  <si>
    <t>Gargolas y Mezcladores y otros materiales</t>
  </si>
  <si>
    <t>tranferencia alvaro</t>
  </si>
  <si>
    <t xml:space="preserve">Retiro para pagar nomina </t>
  </si>
  <si>
    <t xml:space="preserve">Compra de en ferreteria </t>
  </si>
  <si>
    <t xml:space="preserve">Compra de ceramica baños y  lavamanos y sanitarios </t>
  </si>
  <si>
    <t>Compra de ceramica baños y  lavamanos y sanitarios  transporte de esto</t>
  </si>
  <si>
    <t xml:space="preserve">compra de varios materiaes el ferreteria </t>
  </si>
  <si>
    <t xml:space="preserve">Compra de puertas y puertas vidrieras </t>
  </si>
  <si>
    <t xml:space="preserve">Pago a  Factura de agua </t>
  </si>
  <si>
    <t xml:space="preserve">Compra de certificados </t>
  </si>
  <si>
    <t>Pago de puerta vidrieras quedamso en 0</t>
  </si>
  <si>
    <t>Compra en deposito gasolina y gas</t>
  </si>
  <si>
    <t xml:space="preserve">compra de materiales </t>
  </si>
  <si>
    <t>Abono Gabriel Efectivo amaga que retiro dela tarjeta 1400</t>
  </si>
  <si>
    <t>Retiro para gabriel</t>
  </si>
  <si>
    <t xml:space="preserve">Abono Gabriel Efectivo amaga que retiro dela tarjeta </t>
  </si>
  <si>
    <t xml:space="preserve">Abono Gabriel Efectivo amaga que retiro dela tarjeta Ditaires </t>
  </si>
  <si>
    <t xml:space="preserve">Abono Gabriel retiro por pac </t>
  </si>
  <si>
    <t xml:space="preserve">Abono Gabriel traslado </t>
  </si>
  <si>
    <t>Abono Gabriel retiro transferecnia x 850000</t>
  </si>
  <si>
    <t>Abono gabriel retiro en amaga sabado de nomina  retiro de 400 + 600</t>
  </si>
  <si>
    <t>Abono gabriel retiro en bello</t>
  </si>
  <si>
    <t xml:space="preserve">Pago en notaria por autenticacion </t>
  </si>
  <si>
    <t xml:space="preserve">Utilidades Socio Cristian </t>
  </si>
  <si>
    <t>Abono en el deposito hoy 22-12</t>
  </si>
  <si>
    <t>Utilidades Socio yelsid</t>
  </si>
  <si>
    <t>Utilidaes entregadas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</si>
</sst>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u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4" borderId="0" applyNumberFormat="0" applyBorder="0" applyAlignment="0" applyProtection="0"/>
  </cellStyleXfs>
  <cellXfs count="114">
    <xf numFmtId="0" fontId="0" fillId="0" borderId="0" xfId="0"/>
    <xf numFmtId="3" fontId="0" fillId="0" borderId="0" xfId="0" applyNumberFormat="1"/>
    <xf numFmtId="0" fontId="0" fillId="3" borderId="1" xfId="0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0" fontId="0" fillId="0" borderId="1" xfId="0" applyBorder="1"/>
    <xf numFmtId="3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Font="1" applyBorder="1"/>
    <xf numFmtId="0" fontId="2" fillId="0" borderId="1" xfId="0" applyFont="1" applyBorder="1"/>
    <xf numFmtId="0" fontId="1" fillId="2" borderId="1" xfId="1" applyBorder="1" applyAlignment="1">
      <alignment horizontal="center"/>
    </xf>
    <xf numFmtId="3" fontId="1" fillId="2" borderId="1" xfId="1" applyNumberFormat="1" applyBorder="1" applyAlignment="1">
      <alignment horizontal="center"/>
    </xf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4" fontId="4" fillId="5" borderId="0" xfId="0" applyNumberFormat="1" applyFont="1" applyFill="1" applyAlignment="1">
      <alignment horizontal="center"/>
    </xf>
    <xf numFmtId="4" fontId="4" fillId="0" borderId="0" xfId="0" applyNumberFormat="1" applyFont="1" applyFill="1" applyAlignment="1">
      <alignment horizontal="center"/>
    </xf>
    <xf numFmtId="4" fontId="4" fillId="6" borderId="0" xfId="0" applyNumberFormat="1" applyFont="1" applyFill="1" applyAlignment="1">
      <alignment horizontal="center"/>
    </xf>
    <xf numFmtId="4" fontId="4" fillId="7" borderId="0" xfId="0" applyNumberFormat="1" applyFont="1" applyFill="1" applyAlignment="1">
      <alignment horizontal="center"/>
    </xf>
    <xf numFmtId="4" fontId="4" fillId="8" borderId="0" xfId="0" applyNumberFormat="1" applyFont="1" applyFill="1" applyAlignment="1">
      <alignment horizontal="center"/>
    </xf>
    <xf numFmtId="0" fontId="4" fillId="9" borderId="0" xfId="0" applyFont="1" applyFill="1" applyAlignment="1">
      <alignment horizontal="center"/>
    </xf>
    <xf numFmtId="4" fontId="4" fillId="9" borderId="0" xfId="0" applyNumberFormat="1" applyFont="1" applyFill="1" applyAlignment="1">
      <alignment horizontal="center"/>
    </xf>
    <xf numFmtId="4" fontId="0" fillId="0" borderId="0" xfId="0" applyNumberFormat="1" applyAlignment="1">
      <alignment horizontal="center"/>
    </xf>
    <xf numFmtId="4" fontId="3" fillId="4" borderId="0" xfId="2" applyNumberFormat="1" applyAlignment="1">
      <alignment horizontal="center"/>
    </xf>
    <xf numFmtId="0" fontId="0" fillId="0" borderId="0" xfId="0" applyAlignment="1">
      <alignment horizontal="left"/>
    </xf>
    <xf numFmtId="0" fontId="0" fillId="0" borderId="1" xfId="0" applyFill="1" applyBorder="1"/>
    <xf numFmtId="3" fontId="0" fillId="0" borderId="1" xfId="0" applyNumberFormat="1" applyFill="1" applyBorder="1"/>
    <xf numFmtId="0" fontId="0" fillId="0" borderId="0" xfId="0" applyFill="1"/>
    <xf numFmtId="0" fontId="0" fillId="0" borderId="0" xfId="0" applyFont="1"/>
    <xf numFmtId="3" fontId="0" fillId="0" borderId="1" xfId="0" applyNumberFormat="1" applyFont="1" applyBorder="1"/>
    <xf numFmtId="0" fontId="0" fillId="0" borderId="0" xfId="0" applyAlignment="1">
      <alignment horizontal="left"/>
    </xf>
    <xf numFmtId="3" fontId="3" fillId="4" borderId="0" xfId="2" applyNumberFormat="1"/>
    <xf numFmtId="0" fontId="0" fillId="0" borderId="0" xfId="0" applyFill="1" applyAlignment="1">
      <alignment horizontal="left"/>
    </xf>
    <xf numFmtId="4" fontId="0" fillId="0" borderId="0" xfId="0" applyNumberFormat="1" applyAlignment="1">
      <alignment horizontal="left"/>
    </xf>
    <xf numFmtId="0" fontId="0" fillId="0" borderId="0" xfId="0" applyFont="1" applyFill="1" applyAlignment="1">
      <alignment horizontal="left"/>
    </xf>
    <xf numFmtId="4" fontId="0" fillId="0" borderId="0" xfId="0" applyNumberFormat="1"/>
    <xf numFmtId="0" fontId="5" fillId="10" borderId="0" xfId="0" applyFont="1" applyFill="1" applyAlignment="1">
      <alignment horizontal="center"/>
    </xf>
    <xf numFmtId="0" fontId="0" fillId="0" borderId="1" xfId="0" applyFont="1" applyBorder="1" applyAlignment="1">
      <alignment wrapText="1"/>
    </xf>
    <xf numFmtId="0" fontId="0" fillId="11" borderId="0" xfId="0" applyFill="1"/>
    <xf numFmtId="3" fontId="0" fillId="11" borderId="0" xfId="0" applyNumberFormat="1" applyFill="1"/>
    <xf numFmtId="16" fontId="0" fillId="0" borderId="0" xfId="0" applyNumberFormat="1" applyFill="1"/>
    <xf numFmtId="0" fontId="0" fillId="0" borderId="1" xfId="0" applyFont="1" applyFill="1" applyBorder="1"/>
    <xf numFmtId="3" fontId="0" fillId="0" borderId="1" xfId="0" applyNumberFormat="1" applyFont="1" applyFill="1" applyBorder="1"/>
    <xf numFmtId="0" fontId="0" fillId="0" borderId="0" xfId="0" applyFont="1" applyFill="1"/>
    <xf numFmtId="4" fontId="0" fillId="0" borderId="0" xfId="0" applyNumberFormat="1" applyFill="1" applyAlignment="1">
      <alignment horizontal="center"/>
    </xf>
    <xf numFmtId="16" fontId="0" fillId="0" borderId="0" xfId="0" applyNumberFormat="1" applyFont="1" applyFill="1"/>
    <xf numFmtId="4" fontId="0" fillId="11" borderId="0" xfId="0" applyNumberFormat="1" applyFill="1"/>
    <xf numFmtId="0" fontId="8" fillId="12" borderId="0" xfId="0" applyFont="1" applyFill="1"/>
    <xf numFmtId="4" fontId="8" fillId="12" borderId="0" xfId="0" applyNumberFormat="1" applyFont="1" applyFill="1"/>
    <xf numFmtId="3" fontId="6" fillId="11" borderId="0" xfId="0" applyNumberFormat="1" applyFont="1" applyFill="1"/>
    <xf numFmtId="3" fontId="8" fillId="12" borderId="0" xfId="0" applyNumberFormat="1" applyFont="1" applyFill="1"/>
    <xf numFmtId="3" fontId="0" fillId="0" borderId="0" xfId="0" applyNumberFormat="1" applyFont="1" applyFill="1"/>
    <xf numFmtId="3" fontId="7" fillId="10" borderId="0" xfId="0" applyNumberFormat="1" applyFont="1" applyFill="1"/>
    <xf numFmtId="3" fontId="8" fillId="10" borderId="0" xfId="0" applyNumberFormat="1" applyFont="1" applyFill="1"/>
    <xf numFmtId="0" fontId="7" fillId="10" borderId="0" xfId="0" applyFont="1" applyFill="1"/>
    <xf numFmtId="14" fontId="0" fillId="0" borderId="0" xfId="0" applyNumberFormat="1"/>
    <xf numFmtId="0" fontId="7" fillId="12" borderId="0" xfId="0" applyFont="1" applyFill="1" applyAlignment="1">
      <alignment horizontal="right"/>
    </xf>
    <xf numFmtId="3" fontId="7" fillId="12" borderId="0" xfId="0" applyNumberFormat="1" applyFont="1" applyFill="1" applyAlignment="1">
      <alignment horizontal="right"/>
    </xf>
    <xf numFmtId="0" fontId="9" fillId="12" borderId="0" xfId="0" applyFont="1" applyFill="1"/>
    <xf numFmtId="14" fontId="9" fillId="12" borderId="0" xfId="0" applyNumberFormat="1" applyFont="1" applyFill="1"/>
    <xf numFmtId="0" fontId="0" fillId="0" borderId="0" xfId="0" applyAlignment="1">
      <alignment vertical="top" wrapText="1"/>
    </xf>
    <xf numFmtId="3" fontId="0" fillId="0" borderId="0" xfId="0" applyNumberFormat="1" applyAlignment="1"/>
    <xf numFmtId="3" fontId="0" fillId="0" borderId="0" xfId="0" applyNumberFormat="1" applyFill="1"/>
    <xf numFmtId="3" fontId="6" fillId="0" borderId="0" xfId="0" applyNumberFormat="1" applyFont="1"/>
    <xf numFmtId="3" fontId="0" fillId="0" borderId="0" xfId="0" applyNumberFormat="1" applyFont="1"/>
    <xf numFmtId="3" fontId="2" fillId="0" borderId="1" xfId="0" applyNumberFormat="1" applyFont="1" applyBorder="1"/>
    <xf numFmtId="0" fontId="7" fillId="13" borderId="2" xfId="0" applyFont="1" applyFill="1" applyBorder="1" applyAlignment="1">
      <alignment horizontal="center"/>
    </xf>
    <xf numFmtId="0" fontId="7" fillId="13" borderId="3" xfId="0" applyFont="1" applyFill="1" applyBorder="1" applyAlignment="1">
      <alignment horizontal="center"/>
    </xf>
    <xf numFmtId="0" fontId="7" fillId="13" borderId="4" xfId="0" applyFont="1" applyFill="1" applyBorder="1" applyAlignment="1">
      <alignment horizontal="center"/>
    </xf>
    <xf numFmtId="0" fontId="0" fillId="10" borderId="0" xfId="0" applyFill="1"/>
    <xf numFmtId="0" fontId="8" fillId="10" borderId="0" xfId="0" applyFont="1" applyFill="1"/>
    <xf numFmtId="0" fontId="0" fillId="5" borderId="0" xfId="0" applyFill="1"/>
    <xf numFmtId="3" fontId="0" fillId="5" borderId="0" xfId="0" applyNumberFormat="1" applyFill="1"/>
    <xf numFmtId="3" fontId="0" fillId="5" borderId="0" xfId="0" applyNumberFormat="1" applyFont="1" applyFill="1"/>
    <xf numFmtId="0" fontId="0" fillId="0" borderId="0" xfId="0" applyFont="1" applyAlignment="1">
      <alignment horizontal="left"/>
    </xf>
    <xf numFmtId="14" fontId="8" fillId="10" borderId="0" xfId="0" applyNumberFormat="1" applyFont="1" applyFill="1"/>
    <xf numFmtId="0" fontId="0" fillId="3" borderId="0" xfId="0" applyFill="1"/>
    <xf numFmtId="4" fontId="0" fillId="3" borderId="0" xfId="0" applyNumberFormat="1" applyFill="1"/>
    <xf numFmtId="0" fontId="10" fillId="14" borderId="0" xfId="0" applyFont="1" applyFill="1" applyAlignment="1">
      <alignment horizontal="center"/>
    </xf>
    <xf numFmtId="4" fontId="10" fillId="14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8" fillId="3" borderId="0" xfId="0" applyFont="1" applyFill="1" applyAlignment="1">
      <alignment horizontal="center"/>
    </xf>
    <xf numFmtId="0" fontId="0" fillId="0" borderId="1" xfId="0" applyFont="1" applyBorder="1" applyAlignment="1"/>
    <xf numFmtId="3" fontId="8" fillId="3" borderId="0" xfId="0" applyNumberFormat="1" applyFont="1" applyFill="1" applyAlignment="1">
      <alignment horizontal="center"/>
    </xf>
    <xf numFmtId="0" fontId="7" fillId="3" borderId="0" xfId="0" applyFont="1" applyFill="1" applyAlignment="1">
      <alignment horizontal="right"/>
    </xf>
    <xf numFmtId="3" fontId="7" fillId="3" borderId="0" xfId="0" applyNumberFormat="1" applyFont="1" applyFill="1" applyAlignment="1">
      <alignment horizontal="right"/>
    </xf>
    <xf numFmtId="0" fontId="4" fillId="15" borderId="0" xfId="0" applyFont="1" applyFill="1" applyAlignment="1">
      <alignment horizontal="center"/>
    </xf>
    <xf numFmtId="4" fontId="4" fillId="15" borderId="0" xfId="0" applyNumberFormat="1" applyFont="1" applyFill="1" applyAlignment="1">
      <alignment horizontal="center"/>
    </xf>
    <xf numFmtId="3" fontId="0" fillId="15" borderId="0" xfId="0" applyNumberFormat="1" applyFill="1"/>
    <xf numFmtId="0" fontId="11" fillId="15" borderId="0" xfId="0" applyFont="1" applyFill="1" applyAlignment="1">
      <alignment horizontal="right"/>
    </xf>
    <xf numFmtId="0" fontId="12" fillId="16" borderId="0" xfId="0" applyFont="1" applyFill="1" applyAlignment="1">
      <alignment horizontal="center"/>
    </xf>
    <xf numFmtId="4" fontId="12" fillId="16" borderId="0" xfId="0" applyNumberFormat="1" applyFont="1" applyFill="1" applyAlignment="1">
      <alignment horizontal="center"/>
    </xf>
    <xf numFmtId="0" fontId="0" fillId="11" borderId="1" xfId="0" applyFont="1" applyFill="1" applyBorder="1" applyAlignment="1"/>
    <xf numFmtId="0" fontId="2" fillId="11" borderId="1" xfId="0" applyFont="1" applyFill="1" applyBorder="1"/>
    <xf numFmtId="3" fontId="0" fillId="11" borderId="1" xfId="0" applyNumberFormat="1" applyFill="1" applyBorder="1"/>
    <xf numFmtId="0" fontId="0" fillId="11" borderId="0" xfId="0" applyFill="1" applyAlignment="1">
      <alignment horizontal="center"/>
    </xf>
    <xf numFmtId="0" fontId="0" fillId="0" borderId="1" xfId="0" applyFont="1" applyFill="1" applyBorder="1" applyAlignment="1"/>
    <xf numFmtId="0" fontId="0" fillId="11" borderId="1" xfId="0" applyFont="1" applyFill="1" applyBorder="1"/>
    <xf numFmtId="0" fontId="0" fillId="0" borderId="1" xfId="0" applyFont="1" applyFill="1" applyBorder="1" applyAlignment="1">
      <alignment wrapText="1"/>
    </xf>
    <xf numFmtId="14" fontId="0" fillId="5" borderId="0" xfId="0" applyNumberFormat="1" applyFill="1"/>
    <xf numFmtId="3" fontId="6" fillId="5" borderId="0" xfId="0" applyNumberFormat="1" applyFont="1" applyFill="1"/>
    <xf numFmtId="3" fontId="0" fillId="5" borderId="1" xfId="0" applyNumberFormat="1" applyFont="1" applyFill="1" applyBorder="1"/>
    <xf numFmtId="0" fontId="0" fillId="0" borderId="0" xfId="0" applyAlignment="1">
      <alignment horizontal="left"/>
    </xf>
    <xf numFmtId="0" fontId="0" fillId="12" borderId="0" xfId="0" applyFill="1" applyAlignment="1">
      <alignment horizontal="center"/>
    </xf>
    <xf numFmtId="0" fontId="0" fillId="3" borderId="0" xfId="0" applyFill="1" applyAlignment="1">
      <alignment horizontal="center" wrapText="1"/>
    </xf>
    <xf numFmtId="0" fontId="0" fillId="11" borderId="0" xfId="0" applyFill="1" applyAlignment="1">
      <alignment horizontal="left"/>
    </xf>
    <xf numFmtId="0" fontId="0" fillId="0" borderId="0" xfId="0" applyAlignment="1">
      <alignment horizontal="left" vertical="top" wrapText="1"/>
    </xf>
    <xf numFmtId="0" fontId="8" fillId="3" borderId="0" xfId="0" applyFont="1" applyFill="1" applyAlignment="1">
      <alignment horizontal="center"/>
    </xf>
    <xf numFmtId="3" fontId="0" fillId="0" borderId="0" xfId="0" applyNumberFormat="1" applyAlignment="1"/>
  </cellXfs>
  <cellStyles count="3">
    <cellStyle name="Bueno" xfId="2" builtinId="26"/>
    <cellStyle name="Incorrecto" xfId="1" builtinId="27"/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hon\Documents\Diamante\informe%20de%20cuentas%20gabri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briel informe"/>
      <sheetName val="Anexo1"/>
      <sheetName val="Anexo2"/>
      <sheetName val="Anexo3"/>
    </sheetNames>
    <sheetDataSet>
      <sheetData sheetId="0">
        <row r="91">
          <cell r="B91">
            <v>15594402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353"/>
  <sheetViews>
    <sheetView tabSelected="1" workbookViewId="0">
      <selection activeCell="B11" sqref="B11"/>
    </sheetView>
  </sheetViews>
  <sheetFormatPr baseColWidth="10" defaultColWidth="9.140625" defaultRowHeight="15" x14ac:dyDescent="0.25"/>
  <cols>
    <col min="2" max="2" width="71.85546875" customWidth="1"/>
    <col min="3" max="4" width="11.7109375" style="1" bestFit="1" customWidth="1"/>
    <col min="5" max="5" width="13.7109375" style="1" bestFit="1" customWidth="1"/>
    <col min="6" max="6" width="13.5703125" bestFit="1" customWidth="1"/>
    <col min="7" max="7" width="15.28515625" style="12" bestFit="1" customWidth="1"/>
    <col min="8" max="8" width="3.28515625" style="13" customWidth="1"/>
    <col min="9" max="9" width="13.42578125" style="12" bestFit="1" customWidth="1"/>
    <col min="10" max="10" width="3.28515625" style="13" customWidth="1"/>
    <col min="11" max="11" width="19.85546875" style="12" bestFit="1" customWidth="1"/>
    <col min="12" max="12" width="3.28515625" style="13" customWidth="1"/>
    <col min="13" max="13" width="12.28515625" style="12" customWidth="1"/>
    <col min="14" max="14" width="3.28515625" customWidth="1"/>
    <col min="15" max="15" width="13.5703125" customWidth="1"/>
    <col min="16" max="16" width="2.28515625" customWidth="1"/>
    <col min="17" max="17" width="13.5703125" customWidth="1"/>
    <col min="18" max="18" width="2.7109375" customWidth="1"/>
    <col min="19" max="19" width="13.5703125" bestFit="1" customWidth="1"/>
    <col min="20" max="20" width="3.42578125" customWidth="1"/>
    <col min="21" max="21" width="15.28515625" bestFit="1" customWidth="1"/>
    <col min="22" max="22" width="3.140625" customWidth="1"/>
    <col min="23" max="23" width="12.7109375" bestFit="1" customWidth="1"/>
    <col min="24" max="24" width="4.42578125" customWidth="1"/>
    <col min="25" max="25" width="11.7109375" bestFit="1" customWidth="1"/>
  </cols>
  <sheetData>
    <row r="2" spans="1:25" x14ac:dyDescent="0.25">
      <c r="A2" s="2" t="s">
        <v>4</v>
      </c>
      <c r="B2" s="2" t="s">
        <v>145</v>
      </c>
      <c r="C2" s="3" t="s">
        <v>24</v>
      </c>
      <c r="D2" s="3" t="s">
        <v>25</v>
      </c>
      <c r="E2" s="3" t="s">
        <v>26</v>
      </c>
    </row>
    <row r="3" spans="1:25" x14ac:dyDescent="0.25">
      <c r="A3" s="11">
        <v>43194</v>
      </c>
      <c r="B3" s="4" t="s">
        <v>27</v>
      </c>
      <c r="C3" s="5">
        <v>80000000</v>
      </c>
      <c r="D3" s="5">
        <v>0</v>
      </c>
      <c r="E3" s="5">
        <f>+C3-D3</f>
        <v>80000000</v>
      </c>
      <c r="G3" s="15" t="s">
        <v>62</v>
      </c>
      <c r="H3" s="16"/>
      <c r="I3" s="17" t="s">
        <v>61</v>
      </c>
      <c r="J3" s="16"/>
      <c r="K3" s="14" t="s">
        <v>64</v>
      </c>
      <c r="L3" s="16"/>
      <c r="M3" s="18" t="s">
        <v>39</v>
      </c>
      <c r="O3" s="91" t="s">
        <v>294</v>
      </c>
      <c r="Q3" s="24" t="s">
        <v>346</v>
      </c>
      <c r="S3" s="24" t="s">
        <v>349</v>
      </c>
      <c r="U3" s="24" t="s">
        <v>362</v>
      </c>
      <c r="W3" s="95" t="s">
        <v>371</v>
      </c>
      <c r="Y3" s="95" t="s">
        <v>182</v>
      </c>
    </row>
    <row r="4" spans="1:25" x14ac:dyDescent="0.25">
      <c r="A4" s="11"/>
      <c r="B4" s="4" t="s">
        <v>28</v>
      </c>
      <c r="C4" s="5">
        <v>2000000</v>
      </c>
      <c r="D4" s="5">
        <v>0</v>
      </c>
      <c r="E4" s="5">
        <f>+E3+C4-D4</f>
        <v>82000000</v>
      </c>
      <c r="F4" t="s">
        <v>349</v>
      </c>
      <c r="G4" s="19">
        <f>SUMIF(F:F,"Diamante",D:D)</f>
        <v>5951263</v>
      </c>
      <c r="H4" s="20"/>
      <c r="I4" s="21">
        <f>SUMIF(F:F,"Proyecto",D:D)</f>
        <v>58838400</v>
      </c>
      <c r="J4" s="20"/>
      <c r="K4" s="22">
        <f>SUMIF(F:F,"Milagrosa",D:D)</f>
        <v>75188198</v>
      </c>
      <c r="L4" s="20"/>
      <c r="M4" s="23">
        <f>SUMIF(F:F,"NominaJhon",D:D)</f>
        <v>5568000</v>
      </c>
      <c r="O4" s="92">
        <f>SUMIF(F:F,"Karla",C:C)</f>
        <v>5200000</v>
      </c>
      <c r="Q4" s="25">
        <f>SUMIF(F:F,"Cristian",D:D)</f>
        <v>3200000</v>
      </c>
      <c r="S4" s="25">
        <f>SUMIF(F:F,"Maria Soledad",C:C)</f>
        <v>56000000</v>
      </c>
      <c r="U4" s="25">
        <f>SUMIF(F:F,"Ultima Etapa ",D:D)+(SUMIF(F:F,"MO Utlima Etapa ",D:D))</f>
        <v>54268161</v>
      </c>
      <c r="W4" s="96">
        <f>SUMIF(F:F,"Leidy",C:C)</f>
        <v>11300000</v>
      </c>
      <c r="Y4" s="96">
        <f>SUMIF(F:F,"Utilidades",D:D)</f>
        <v>1555600</v>
      </c>
    </row>
    <row r="5" spans="1:25" x14ac:dyDescent="0.25">
      <c r="A5" s="11"/>
      <c r="B5" s="4" t="s">
        <v>114</v>
      </c>
      <c r="C5" s="5">
        <v>24000000</v>
      </c>
      <c r="D5" s="5"/>
      <c r="E5" s="5">
        <f t="shared" ref="E5:E68" si="0">+E4+C5-D5</f>
        <v>106000000</v>
      </c>
      <c r="F5" t="s">
        <v>349</v>
      </c>
      <c r="G5" s="19"/>
      <c r="H5" s="20"/>
      <c r="I5" s="21"/>
      <c r="J5" s="20"/>
      <c r="K5" s="22"/>
      <c r="L5" s="20"/>
      <c r="M5" s="23"/>
      <c r="O5" s="92" t="s">
        <v>145</v>
      </c>
      <c r="Q5" s="25"/>
      <c r="S5" s="25">
        <f>+S4-82400000</f>
        <v>-26400000</v>
      </c>
      <c r="U5" s="25"/>
      <c r="W5" s="96"/>
      <c r="Y5" s="96"/>
    </row>
    <row r="6" spans="1:25" x14ac:dyDescent="0.25">
      <c r="A6" s="11"/>
      <c r="B6" s="4" t="s">
        <v>114</v>
      </c>
      <c r="C6" s="5">
        <v>3000000</v>
      </c>
      <c r="D6" s="5"/>
      <c r="E6" s="5">
        <f t="shared" si="0"/>
        <v>109000000</v>
      </c>
      <c r="F6" t="s">
        <v>349</v>
      </c>
      <c r="G6" s="19"/>
      <c r="H6" s="20"/>
      <c r="I6" s="21"/>
      <c r="J6" s="20"/>
      <c r="K6" s="22"/>
      <c r="L6" s="20"/>
      <c r="M6" s="23"/>
      <c r="O6" s="92"/>
      <c r="Q6" s="25"/>
      <c r="S6" s="25"/>
      <c r="U6" s="25"/>
      <c r="W6" s="96"/>
      <c r="Y6" s="96"/>
    </row>
    <row r="7" spans="1:25" x14ac:dyDescent="0.25">
      <c r="A7" s="11"/>
      <c r="B7" s="4" t="s">
        <v>114</v>
      </c>
      <c r="C7" s="5">
        <v>2000000</v>
      </c>
      <c r="D7" s="5"/>
      <c r="E7" s="5">
        <f t="shared" si="0"/>
        <v>111000000</v>
      </c>
      <c r="F7" t="s">
        <v>349</v>
      </c>
      <c r="G7" s="19"/>
      <c r="H7" s="20"/>
      <c r="I7" s="21"/>
      <c r="J7" s="20"/>
      <c r="K7" s="22"/>
      <c r="L7" s="20"/>
      <c r="M7" s="23"/>
      <c r="O7" s="92"/>
      <c r="Q7" s="25"/>
      <c r="S7" s="25"/>
      <c r="U7" s="25"/>
      <c r="W7" s="96"/>
      <c r="Y7" s="96"/>
    </row>
    <row r="8" spans="1:25" x14ac:dyDescent="0.25">
      <c r="A8" s="11">
        <v>43295</v>
      </c>
      <c r="B8" s="4" t="s">
        <v>114</v>
      </c>
      <c r="C8" s="5">
        <v>1000000</v>
      </c>
      <c r="D8" s="5"/>
      <c r="E8" s="5">
        <f t="shared" si="0"/>
        <v>112000000</v>
      </c>
      <c r="F8" t="s">
        <v>349</v>
      </c>
      <c r="G8" s="19"/>
      <c r="H8" s="20"/>
      <c r="I8" s="21"/>
      <c r="J8" s="20"/>
      <c r="K8" s="22"/>
      <c r="L8" s="20"/>
      <c r="M8" s="23"/>
      <c r="O8" s="92"/>
      <c r="Q8" s="25"/>
      <c r="S8" s="25"/>
      <c r="U8" s="25"/>
      <c r="W8" s="96"/>
      <c r="Y8" s="96"/>
    </row>
    <row r="9" spans="1:25" x14ac:dyDescent="0.25">
      <c r="A9" s="11">
        <v>43295</v>
      </c>
      <c r="B9" s="4" t="s">
        <v>282</v>
      </c>
      <c r="C9" s="5">
        <v>1000000</v>
      </c>
      <c r="D9" s="5"/>
      <c r="E9" s="5">
        <f t="shared" si="0"/>
        <v>113000000</v>
      </c>
      <c r="F9" t="s">
        <v>349</v>
      </c>
      <c r="G9" s="19"/>
      <c r="H9" s="20"/>
      <c r="I9" s="21"/>
      <c r="J9" s="20"/>
      <c r="K9" s="22"/>
      <c r="L9" s="20"/>
      <c r="M9" s="23"/>
      <c r="O9" s="92"/>
      <c r="Q9" s="25"/>
      <c r="S9" s="25"/>
      <c r="U9" s="25"/>
      <c r="W9" s="96"/>
      <c r="Y9" s="96"/>
    </row>
    <row r="10" spans="1:25" x14ac:dyDescent="0.25">
      <c r="A10" s="11">
        <v>43195</v>
      </c>
      <c r="B10" s="4" t="s">
        <v>29</v>
      </c>
      <c r="C10" s="5"/>
      <c r="D10" s="5">
        <v>3000000</v>
      </c>
      <c r="E10" s="5">
        <f t="shared" si="0"/>
        <v>110000000</v>
      </c>
      <c r="F10" t="s">
        <v>346</v>
      </c>
    </row>
    <row r="11" spans="1:25" x14ac:dyDescent="0.25">
      <c r="A11" s="11">
        <v>43195</v>
      </c>
      <c r="B11" s="4" t="s">
        <v>30</v>
      </c>
      <c r="C11" s="5"/>
      <c r="D11" s="5">
        <v>34560</v>
      </c>
      <c r="E11" s="5">
        <f t="shared" si="0"/>
        <v>109965440</v>
      </c>
      <c r="F11" t="s">
        <v>62</v>
      </c>
      <c r="G11" s="107"/>
      <c r="H11" s="107"/>
      <c r="I11" s="107"/>
      <c r="J11" s="107"/>
      <c r="K11" s="107"/>
    </row>
    <row r="12" spans="1:25" x14ac:dyDescent="0.25">
      <c r="A12" s="11">
        <v>43195</v>
      </c>
      <c r="B12" s="4" t="s">
        <v>31</v>
      </c>
      <c r="C12" s="5"/>
      <c r="D12" s="5">
        <v>19500</v>
      </c>
      <c r="E12" s="5">
        <f t="shared" si="0"/>
        <v>109945940</v>
      </c>
      <c r="F12" t="s">
        <v>62</v>
      </c>
      <c r="G12" s="34"/>
      <c r="H12" s="36"/>
      <c r="I12" s="37"/>
      <c r="J12" s="36"/>
      <c r="K12" s="34"/>
    </row>
    <row r="13" spans="1:25" x14ac:dyDescent="0.25">
      <c r="A13" s="11">
        <v>43195</v>
      </c>
      <c r="B13" s="4" t="s">
        <v>32</v>
      </c>
      <c r="C13" s="5"/>
      <c r="D13" s="5">
        <v>12000</v>
      </c>
      <c r="E13" s="5">
        <f t="shared" si="0"/>
        <v>109933940</v>
      </c>
      <c r="F13" t="s">
        <v>62</v>
      </c>
      <c r="G13" s="34"/>
      <c r="H13" s="36"/>
      <c r="I13" s="37"/>
      <c r="J13" s="36"/>
      <c r="K13" s="34"/>
    </row>
    <row r="14" spans="1:25" x14ac:dyDescent="0.25">
      <c r="A14" s="11">
        <v>43195</v>
      </c>
      <c r="B14" s="4" t="s">
        <v>71</v>
      </c>
      <c r="C14" s="5"/>
      <c r="D14" s="5">
        <v>53000</v>
      </c>
      <c r="E14" s="5">
        <f t="shared" si="0"/>
        <v>109880940</v>
      </c>
      <c r="F14" t="s">
        <v>62</v>
      </c>
      <c r="G14" s="34"/>
      <c r="H14" s="36"/>
      <c r="I14" s="37"/>
      <c r="J14" s="36"/>
      <c r="K14" s="34"/>
    </row>
    <row r="15" spans="1:25" x14ac:dyDescent="0.25">
      <c r="A15" s="11">
        <v>43195</v>
      </c>
      <c r="B15" s="4" t="s">
        <v>33</v>
      </c>
      <c r="C15" s="5"/>
      <c r="D15" s="5">
        <v>50000</v>
      </c>
      <c r="E15" s="5">
        <f t="shared" si="0"/>
        <v>109830940</v>
      </c>
      <c r="F15" t="s">
        <v>62</v>
      </c>
      <c r="G15" s="34"/>
      <c r="H15" s="36"/>
      <c r="I15" s="37"/>
      <c r="J15" s="36"/>
      <c r="K15" s="34"/>
    </row>
    <row r="16" spans="1:25" x14ac:dyDescent="0.25">
      <c r="A16" s="11">
        <v>43195</v>
      </c>
      <c r="B16" s="4" t="s">
        <v>34</v>
      </c>
      <c r="C16" s="5"/>
      <c r="D16" s="5">
        <v>100000</v>
      </c>
      <c r="E16" s="5">
        <f t="shared" si="0"/>
        <v>109730940</v>
      </c>
      <c r="F16" t="s">
        <v>62</v>
      </c>
      <c r="G16" s="34"/>
      <c r="H16" s="36"/>
      <c r="I16" s="37"/>
      <c r="J16" s="36"/>
      <c r="K16" s="34"/>
    </row>
    <row r="17" spans="1:13" x14ac:dyDescent="0.25">
      <c r="A17" s="11">
        <v>43195</v>
      </c>
      <c r="B17" s="4" t="s">
        <v>35</v>
      </c>
      <c r="C17" s="5"/>
      <c r="D17" s="5">
        <v>11000</v>
      </c>
      <c r="E17" s="5">
        <f t="shared" si="0"/>
        <v>109719940</v>
      </c>
      <c r="F17" t="s">
        <v>62</v>
      </c>
      <c r="G17" s="34"/>
      <c r="H17" s="36"/>
      <c r="I17" s="37"/>
      <c r="J17" s="36"/>
      <c r="K17" s="34"/>
    </row>
    <row r="18" spans="1:13" x14ac:dyDescent="0.25">
      <c r="A18" s="11">
        <v>43195</v>
      </c>
      <c r="B18" s="4" t="s">
        <v>36</v>
      </c>
      <c r="C18" s="5"/>
      <c r="D18" s="5">
        <v>439000</v>
      </c>
      <c r="E18" s="5">
        <f t="shared" si="0"/>
        <v>109280940</v>
      </c>
      <c r="F18" t="s">
        <v>63</v>
      </c>
      <c r="G18" s="78"/>
      <c r="H18" s="36"/>
      <c r="I18" s="37"/>
      <c r="J18" s="36"/>
      <c r="K18" s="34"/>
    </row>
    <row r="19" spans="1:13" x14ac:dyDescent="0.25">
      <c r="A19" s="11">
        <v>43196</v>
      </c>
      <c r="B19" s="4" t="s">
        <v>5</v>
      </c>
      <c r="C19" s="5"/>
      <c r="D19" s="5">
        <v>4000000</v>
      </c>
      <c r="E19" s="5">
        <f t="shared" si="0"/>
        <v>105280940</v>
      </c>
      <c r="F19" t="s">
        <v>61</v>
      </c>
      <c r="G19" s="34"/>
      <c r="H19" s="36"/>
      <c r="I19" s="37"/>
      <c r="J19" s="36"/>
      <c r="K19" s="34"/>
    </row>
    <row r="20" spans="1:13" x14ac:dyDescent="0.25">
      <c r="A20" s="11">
        <v>43196</v>
      </c>
      <c r="B20" s="4" t="s">
        <v>7</v>
      </c>
      <c r="C20" s="5"/>
      <c r="D20" s="5">
        <v>2000000</v>
      </c>
      <c r="E20" s="5">
        <f t="shared" si="0"/>
        <v>103280940</v>
      </c>
      <c r="F20" t="s">
        <v>61</v>
      </c>
      <c r="G20" s="34"/>
      <c r="H20" s="36"/>
      <c r="I20" s="34"/>
      <c r="J20" s="38"/>
      <c r="K20" s="34"/>
    </row>
    <row r="21" spans="1:13" x14ac:dyDescent="0.25">
      <c r="A21" s="11">
        <v>43196</v>
      </c>
      <c r="B21" s="4" t="s">
        <v>8</v>
      </c>
      <c r="C21" s="5"/>
      <c r="D21" s="5">
        <v>900000</v>
      </c>
      <c r="E21" s="5">
        <f t="shared" si="0"/>
        <v>102380940</v>
      </c>
      <c r="F21" t="s">
        <v>61</v>
      </c>
      <c r="K21" s="28"/>
    </row>
    <row r="22" spans="1:13" x14ac:dyDescent="0.25">
      <c r="A22" s="11">
        <v>43204</v>
      </c>
      <c r="B22" s="4" t="s">
        <v>9</v>
      </c>
      <c r="C22" s="5"/>
      <c r="D22" s="5">
        <v>1000000</v>
      </c>
      <c r="E22" s="5">
        <f t="shared" si="0"/>
        <v>101380940</v>
      </c>
      <c r="F22" t="s">
        <v>61</v>
      </c>
      <c r="K22" s="28"/>
    </row>
    <row r="23" spans="1:13" x14ac:dyDescent="0.25">
      <c r="A23" s="11">
        <v>43200</v>
      </c>
      <c r="B23" s="4" t="s">
        <v>10</v>
      </c>
      <c r="C23" s="5"/>
      <c r="D23" s="5">
        <v>210000</v>
      </c>
      <c r="E23" s="5">
        <f t="shared" si="0"/>
        <v>101170940</v>
      </c>
      <c r="F23" t="s">
        <v>61</v>
      </c>
      <c r="G23" s="27"/>
      <c r="H23" s="27"/>
      <c r="I23" s="27"/>
      <c r="K23" s="28"/>
    </row>
    <row r="24" spans="1:13" x14ac:dyDescent="0.25">
      <c r="A24" s="11">
        <v>43199</v>
      </c>
      <c r="B24" s="4" t="s">
        <v>11</v>
      </c>
      <c r="C24" s="5"/>
      <c r="D24" s="5">
        <v>2526850</v>
      </c>
      <c r="E24" s="5">
        <f t="shared" si="0"/>
        <v>98644090</v>
      </c>
      <c r="F24" t="s">
        <v>64</v>
      </c>
      <c r="K24" s="28"/>
    </row>
    <row r="25" spans="1:13" x14ac:dyDescent="0.25">
      <c r="A25" s="11">
        <v>43203</v>
      </c>
      <c r="B25" s="4" t="s">
        <v>502</v>
      </c>
      <c r="C25" s="5"/>
      <c r="D25" s="5">
        <v>150000</v>
      </c>
      <c r="E25" s="5">
        <f t="shared" si="0"/>
        <v>98494090</v>
      </c>
      <c r="F25" t="s">
        <v>61</v>
      </c>
      <c r="I25" s="26"/>
      <c r="K25" s="28"/>
    </row>
    <row r="26" spans="1:13" x14ac:dyDescent="0.25">
      <c r="A26" s="11">
        <v>43203</v>
      </c>
      <c r="B26" s="6" t="s">
        <v>65</v>
      </c>
      <c r="C26" s="5"/>
      <c r="D26" s="5">
        <v>325000</v>
      </c>
      <c r="E26" s="5">
        <f t="shared" si="0"/>
        <v>98169090</v>
      </c>
      <c r="F26" t="s">
        <v>64</v>
      </c>
      <c r="K26" s="28"/>
    </row>
    <row r="27" spans="1:13" x14ac:dyDescent="0.25">
      <c r="A27" s="11">
        <v>43203</v>
      </c>
      <c r="B27" s="6" t="s">
        <v>37</v>
      </c>
      <c r="C27" s="5"/>
      <c r="D27" s="5">
        <v>24000</v>
      </c>
      <c r="E27" s="5">
        <f t="shared" si="0"/>
        <v>98145090</v>
      </c>
      <c r="F27" t="s">
        <v>62</v>
      </c>
      <c r="K27" s="28"/>
    </row>
    <row r="28" spans="1:13" x14ac:dyDescent="0.25">
      <c r="A28" s="11">
        <v>43203</v>
      </c>
      <c r="B28" s="6" t="s">
        <v>38</v>
      </c>
      <c r="C28" s="5"/>
      <c r="D28" s="5">
        <v>175000</v>
      </c>
      <c r="E28" s="5">
        <f t="shared" si="0"/>
        <v>97970090</v>
      </c>
      <c r="F28" t="s">
        <v>63</v>
      </c>
      <c r="K28" s="28"/>
    </row>
    <row r="29" spans="1:13" x14ac:dyDescent="0.25">
      <c r="A29" s="11">
        <v>43203</v>
      </c>
      <c r="B29" s="4" t="s">
        <v>40</v>
      </c>
      <c r="C29" s="5"/>
      <c r="D29" s="5">
        <v>1000000</v>
      </c>
      <c r="E29" s="5">
        <f t="shared" si="0"/>
        <v>96970090</v>
      </c>
      <c r="F29" t="s">
        <v>61</v>
      </c>
      <c r="K29" s="28"/>
    </row>
    <row r="30" spans="1:13" x14ac:dyDescent="0.25">
      <c r="A30" s="11">
        <v>43203</v>
      </c>
      <c r="B30" s="4" t="s">
        <v>10</v>
      </c>
      <c r="C30" s="5"/>
      <c r="D30" s="5">
        <v>180000</v>
      </c>
      <c r="E30" s="5">
        <f t="shared" si="0"/>
        <v>96790090</v>
      </c>
      <c r="F30" t="s">
        <v>61</v>
      </c>
      <c r="K30" s="28"/>
    </row>
    <row r="31" spans="1:13" x14ac:dyDescent="0.25">
      <c r="A31" s="11">
        <v>43203</v>
      </c>
      <c r="B31" s="4" t="s">
        <v>14</v>
      </c>
      <c r="C31" s="5"/>
      <c r="D31" s="5">
        <v>170000</v>
      </c>
      <c r="E31" s="5">
        <f t="shared" si="0"/>
        <v>96620090</v>
      </c>
      <c r="F31" t="s">
        <v>61</v>
      </c>
      <c r="K31" s="28"/>
    </row>
    <row r="32" spans="1:13" s="31" customFormat="1" x14ac:dyDescent="0.25">
      <c r="A32" s="44">
        <v>43203</v>
      </c>
      <c r="B32" s="29" t="s">
        <v>15</v>
      </c>
      <c r="C32" s="30"/>
      <c r="D32" s="30">
        <v>60000</v>
      </c>
      <c r="E32" s="5">
        <f t="shared" si="0"/>
        <v>96560090</v>
      </c>
      <c r="F32" s="31" t="s">
        <v>61</v>
      </c>
      <c r="G32" s="13"/>
      <c r="H32" s="13"/>
      <c r="I32" s="13"/>
      <c r="J32" s="13"/>
      <c r="K32" s="36"/>
      <c r="L32" s="13"/>
      <c r="M32" s="13"/>
    </row>
    <row r="33" spans="1:13" s="31" customFormat="1" x14ac:dyDescent="0.25">
      <c r="A33" s="44">
        <v>43203</v>
      </c>
      <c r="B33" s="29" t="s">
        <v>16</v>
      </c>
      <c r="C33" s="30"/>
      <c r="D33" s="30">
        <v>1500000</v>
      </c>
      <c r="E33" s="5">
        <f t="shared" si="0"/>
        <v>95060090</v>
      </c>
      <c r="F33" s="31" t="s">
        <v>64</v>
      </c>
      <c r="G33" s="13"/>
      <c r="H33" s="13"/>
      <c r="I33" s="13"/>
      <c r="J33" s="13"/>
      <c r="K33" s="36"/>
      <c r="L33" s="13"/>
      <c r="M33" s="13"/>
    </row>
    <row r="34" spans="1:13" s="31" customFormat="1" x14ac:dyDescent="0.25">
      <c r="A34" s="44">
        <v>43203</v>
      </c>
      <c r="B34" s="29" t="s">
        <v>17</v>
      </c>
      <c r="C34" s="30"/>
      <c r="D34" s="30">
        <v>1000000</v>
      </c>
      <c r="E34" s="5">
        <f t="shared" si="0"/>
        <v>94060090</v>
      </c>
      <c r="F34" s="31" t="s">
        <v>61</v>
      </c>
      <c r="G34" s="13"/>
      <c r="H34" s="13"/>
      <c r="I34" s="13"/>
      <c r="J34" s="13"/>
      <c r="K34" s="13"/>
      <c r="L34" s="13"/>
      <c r="M34" s="13"/>
    </row>
    <row r="35" spans="1:13" s="31" customFormat="1" x14ac:dyDescent="0.25">
      <c r="A35" s="44">
        <v>43203</v>
      </c>
      <c r="B35" s="29" t="s">
        <v>18</v>
      </c>
      <c r="C35" s="30"/>
      <c r="D35" s="30">
        <v>2308000</v>
      </c>
      <c r="E35" s="5">
        <f t="shared" si="0"/>
        <v>91752090</v>
      </c>
      <c r="F35" s="31" t="s">
        <v>61</v>
      </c>
      <c r="G35" s="13"/>
      <c r="H35" s="13"/>
      <c r="I35" s="13"/>
      <c r="J35" s="13"/>
      <c r="K35" s="13"/>
      <c r="L35" s="13"/>
      <c r="M35" s="13"/>
    </row>
    <row r="36" spans="1:13" s="31" customFormat="1" x14ac:dyDescent="0.25">
      <c r="A36" s="44">
        <v>43203</v>
      </c>
      <c r="B36" s="29" t="s">
        <v>19</v>
      </c>
      <c r="C36" s="30"/>
      <c r="D36" s="30">
        <v>100000</v>
      </c>
      <c r="E36" s="5">
        <f t="shared" si="0"/>
        <v>91652090</v>
      </c>
      <c r="F36" s="31" t="s">
        <v>61</v>
      </c>
      <c r="G36" s="13"/>
      <c r="H36" s="13"/>
      <c r="I36" s="13"/>
      <c r="J36" s="13"/>
      <c r="K36" s="13"/>
      <c r="L36" s="13"/>
      <c r="M36" s="13"/>
    </row>
    <row r="37" spans="1:13" s="31" customFormat="1" x14ac:dyDescent="0.25">
      <c r="A37" s="44">
        <v>43203</v>
      </c>
      <c r="B37" s="29" t="s">
        <v>41</v>
      </c>
      <c r="C37" s="30"/>
      <c r="D37" s="30">
        <v>17000</v>
      </c>
      <c r="E37" s="5">
        <f t="shared" si="0"/>
        <v>91635090</v>
      </c>
      <c r="F37" s="31" t="s">
        <v>62</v>
      </c>
      <c r="G37" s="13"/>
      <c r="H37" s="13"/>
      <c r="I37" s="13"/>
      <c r="J37" s="13"/>
      <c r="K37" s="13"/>
      <c r="L37" s="13"/>
      <c r="M37" s="13"/>
    </row>
    <row r="38" spans="1:13" s="31" customFormat="1" x14ac:dyDescent="0.25">
      <c r="A38" s="44">
        <v>43203</v>
      </c>
      <c r="B38" s="29" t="s">
        <v>10</v>
      </c>
      <c r="C38" s="30"/>
      <c r="D38" s="30">
        <v>180000</v>
      </c>
      <c r="E38" s="5">
        <f t="shared" si="0"/>
        <v>91455090</v>
      </c>
      <c r="F38" s="31" t="s">
        <v>61</v>
      </c>
      <c r="G38" s="13"/>
      <c r="H38" s="13"/>
      <c r="I38" s="13"/>
      <c r="J38" s="13"/>
      <c r="K38" s="13"/>
      <c r="L38" s="13"/>
      <c r="M38" s="13"/>
    </row>
    <row r="39" spans="1:13" s="31" customFormat="1" x14ac:dyDescent="0.25">
      <c r="A39" s="44">
        <v>43203</v>
      </c>
      <c r="B39" s="29" t="s">
        <v>10</v>
      </c>
      <c r="C39" s="30"/>
      <c r="D39" s="30">
        <v>180000</v>
      </c>
      <c r="E39" s="5">
        <f t="shared" si="0"/>
        <v>91275090</v>
      </c>
      <c r="F39" s="31" t="s">
        <v>61</v>
      </c>
      <c r="G39" s="13"/>
      <c r="H39" s="13"/>
      <c r="I39" s="13"/>
      <c r="J39" s="13"/>
      <c r="K39" s="13"/>
      <c r="L39" s="13"/>
      <c r="M39" s="13"/>
    </row>
    <row r="40" spans="1:13" s="31" customFormat="1" x14ac:dyDescent="0.25">
      <c r="A40" s="44">
        <v>43203</v>
      </c>
      <c r="B40" s="29" t="s">
        <v>503</v>
      </c>
      <c r="C40" s="30"/>
      <c r="D40" s="30">
        <v>240000</v>
      </c>
      <c r="E40" s="5">
        <f t="shared" si="0"/>
        <v>91035090</v>
      </c>
      <c r="F40" s="31" t="s">
        <v>61</v>
      </c>
      <c r="G40" s="13"/>
      <c r="H40" s="13"/>
      <c r="I40" s="13"/>
      <c r="J40" s="13"/>
      <c r="K40" s="13"/>
      <c r="L40" s="13"/>
      <c r="M40" s="13"/>
    </row>
    <row r="41" spans="1:13" s="31" customFormat="1" x14ac:dyDescent="0.25">
      <c r="A41" s="44">
        <v>43203</v>
      </c>
      <c r="B41" s="29" t="s">
        <v>20</v>
      </c>
      <c r="C41" s="30"/>
      <c r="D41" s="30">
        <v>40000</v>
      </c>
      <c r="E41" s="5">
        <f t="shared" si="0"/>
        <v>90995090</v>
      </c>
      <c r="F41" s="31" t="s">
        <v>61</v>
      </c>
      <c r="G41" s="13"/>
      <c r="H41" s="13"/>
      <c r="I41" s="13"/>
      <c r="J41" s="13"/>
      <c r="K41" s="13"/>
      <c r="L41" s="13"/>
      <c r="M41" s="13"/>
    </row>
    <row r="42" spans="1:13" s="31" customFormat="1" x14ac:dyDescent="0.25">
      <c r="A42" s="44">
        <v>43203</v>
      </c>
      <c r="B42" s="29" t="s">
        <v>43</v>
      </c>
      <c r="C42" s="30"/>
      <c r="D42" s="30">
        <v>2000000</v>
      </c>
      <c r="E42" s="5">
        <f t="shared" si="0"/>
        <v>88995090</v>
      </c>
      <c r="F42" s="31" t="s">
        <v>61</v>
      </c>
      <c r="G42" s="13"/>
      <c r="H42" s="13"/>
      <c r="I42" s="13"/>
      <c r="J42" s="13"/>
      <c r="K42" s="13"/>
      <c r="L42" s="13"/>
      <c r="M42" s="13"/>
    </row>
    <row r="43" spans="1:13" s="31" customFormat="1" x14ac:dyDescent="0.25">
      <c r="A43" s="44">
        <v>43203</v>
      </c>
      <c r="B43" s="29" t="s">
        <v>44</v>
      </c>
      <c r="C43" s="30"/>
      <c r="D43" s="30">
        <v>230000</v>
      </c>
      <c r="E43" s="5">
        <f t="shared" si="0"/>
        <v>88765090</v>
      </c>
      <c r="F43" s="31" t="s">
        <v>61</v>
      </c>
      <c r="G43" s="13"/>
      <c r="H43" s="13"/>
      <c r="I43" s="13"/>
      <c r="J43" s="13"/>
      <c r="K43" s="13"/>
      <c r="L43" s="13"/>
      <c r="M43" s="13"/>
    </row>
    <row r="44" spans="1:13" s="31" customFormat="1" x14ac:dyDescent="0.25">
      <c r="A44" s="44">
        <v>43203</v>
      </c>
      <c r="B44" s="29" t="s">
        <v>45</v>
      </c>
      <c r="C44" s="30"/>
      <c r="D44" s="30">
        <v>1067000</v>
      </c>
      <c r="E44" s="5">
        <f t="shared" si="0"/>
        <v>87698090</v>
      </c>
      <c r="F44" s="31" t="s">
        <v>61</v>
      </c>
      <c r="G44" s="13"/>
      <c r="H44" s="13"/>
      <c r="I44" s="13"/>
      <c r="J44" s="13"/>
      <c r="K44" s="13"/>
      <c r="L44" s="13"/>
      <c r="M44" s="13"/>
    </row>
    <row r="45" spans="1:13" s="31" customFormat="1" x14ac:dyDescent="0.25">
      <c r="A45" s="44">
        <v>43203</v>
      </c>
      <c r="B45" s="29" t="s">
        <v>46</v>
      </c>
      <c r="C45" s="30"/>
      <c r="D45" s="30">
        <v>17000</v>
      </c>
      <c r="E45" s="5">
        <f t="shared" si="0"/>
        <v>87681090</v>
      </c>
      <c r="F45" s="31" t="s">
        <v>62</v>
      </c>
      <c r="G45" s="13"/>
      <c r="H45" s="13"/>
      <c r="I45" s="13"/>
      <c r="J45" s="13"/>
      <c r="K45" s="13"/>
      <c r="L45" s="13"/>
      <c r="M45" s="13"/>
    </row>
    <row r="46" spans="1:13" s="31" customFormat="1" x14ac:dyDescent="0.25">
      <c r="A46" s="44">
        <v>43203</v>
      </c>
      <c r="B46" s="29" t="s">
        <v>42</v>
      </c>
      <c r="C46" s="30"/>
      <c r="D46" s="30">
        <v>130000</v>
      </c>
      <c r="E46" s="5">
        <f t="shared" si="0"/>
        <v>87551090</v>
      </c>
      <c r="F46" s="31" t="s">
        <v>62</v>
      </c>
      <c r="G46" s="13"/>
      <c r="H46" s="13"/>
      <c r="I46" s="13"/>
      <c r="J46" s="13"/>
      <c r="K46" s="13"/>
      <c r="L46" s="13"/>
      <c r="M46" s="13"/>
    </row>
    <row r="47" spans="1:13" s="31" customFormat="1" x14ac:dyDescent="0.25">
      <c r="A47" s="44">
        <v>43203</v>
      </c>
      <c r="B47" s="29" t="s">
        <v>42</v>
      </c>
      <c r="C47" s="30"/>
      <c r="D47" s="30">
        <v>130000</v>
      </c>
      <c r="E47" s="5">
        <f t="shared" si="0"/>
        <v>87421090</v>
      </c>
      <c r="F47" s="31" t="s">
        <v>61</v>
      </c>
      <c r="G47" s="13"/>
      <c r="H47" s="13"/>
      <c r="I47" s="13"/>
      <c r="J47" s="13"/>
      <c r="K47" s="13"/>
      <c r="L47" s="13"/>
      <c r="M47" s="13"/>
    </row>
    <row r="48" spans="1:13" s="31" customFormat="1" x14ac:dyDescent="0.25">
      <c r="A48" s="44">
        <v>43203</v>
      </c>
      <c r="B48" s="29" t="s">
        <v>47</v>
      </c>
      <c r="C48" s="30"/>
      <c r="D48" s="30">
        <v>227500</v>
      </c>
      <c r="E48" s="5">
        <f t="shared" si="0"/>
        <v>87193590</v>
      </c>
      <c r="F48" s="31" t="s">
        <v>62</v>
      </c>
      <c r="G48" s="13"/>
      <c r="H48" s="13"/>
      <c r="I48" s="13"/>
      <c r="J48" s="13"/>
      <c r="K48" s="13"/>
      <c r="L48" s="13"/>
      <c r="M48" s="13"/>
    </row>
    <row r="49" spans="1:13" s="31" customFormat="1" x14ac:dyDescent="0.25">
      <c r="A49" s="44">
        <v>43203</v>
      </c>
      <c r="B49" s="29" t="s">
        <v>48</v>
      </c>
      <c r="C49" s="30"/>
      <c r="D49" s="30">
        <v>347000</v>
      </c>
      <c r="E49" s="5">
        <f t="shared" si="0"/>
        <v>86846590</v>
      </c>
      <c r="F49" s="31" t="s">
        <v>62</v>
      </c>
      <c r="G49" s="13"/>
      <c r="H49" s="13"/>
      <c r="I49" s="13"/>
      <c r="J49" s="13"/>
      <c r="K49" s="13"/>
      <c r="L49" s="13"/>
      <c r="M49" s="13"/>
    </row>
    <row r="50" spans="1:13" s="31" customFormat="1" x14ac:dyDescent="0.25">
      <c r="A50" s="44">
        <v>43203</v>
      </c>
      <c r="B50" s="29" t="s">
        <v>49</v>
      </c>
      <c r="C50" s="30"/>
      <c r="D50" s="30">
        <v>500000</v>
      </c>
      <c r="E50" s="5">
        <f t="shared" si="0"/>
        <v>86346590</v>
      </c>
      <c r="F50" s="31" t="s">
        <v>61</v>
      </c>
      <c r="G50" s="13"/>
      <c r="H50" s="13"/>
      <c r="I50" s="13"/>
      <c r="J50" s="13"/>
      <c r="K50" s="13"/>
      <c r="L50" s="13"/>
      <c r="M50" s="13"/>
    </row>
    <row r="51" spans="1:13" s="31" customFormat="1" x14ac:dyDescent="0.25">
      <c r="A51" s="44">
        <v>43203</v>
      </c>
      <c r="B51" s="29" t="s">
        <v>50</v>
      </c>
      <c r="C51" s="30"/>
      <c r="D51" s="30">
        <v>50000</v>
      </c>
      <c r="E51" s="5">
        <f t="shared" si="0"/>
        <v>86296590</v>
      </c>
      <c r="F51" s="31" t="s">
        <v>61</v>
      </c>
      <c r="G51" s="13"/>
      <c r="H51" s="13"/>
      <c r="I51" s="13"/>
      <c r="J51" s="13"/>
      <c r="K51" s="13"/>
      <c r="L51" s="13"/>
      <c r="M51" s="13"/>
    </row>
    <row r="52" spans="1:13" s="31" customFormat="1" x14ac:dyDescent="0.25">
      <c r="A52" s="44">
        <v>43203</v>
      </c>
      <c r="B52" s="29" t="s">
        <v>503</v>
      </c>
      <c r="C52" s="30"/>
      <c r="D52" s="30">
        <v>100000</v>
      </c>
      <c r="E52" s="5">
        <f t="shared" si="0"/>
        <v>86196590</v>
      </c>
      <c r="F52" s="31" t="s">
        <v>61</v>
      </c>
      <c r="G52" s="13"/>
      <c r="H52" s="13"/>
      <c r="I52" s="13"/>
      <c r="J52" s="13"/>
      <c r="K52" s="13"/>
      <c r="L52" s="13"/>
      <c r="M52" s="13"/>
    </row>
    <row r="53" spans="1:13" s="31" customFormat="1" x14ac:dyDescent="0.25">
      <c r="A53" s="44">
        <v>43203</v>
      </c>
      <c r="B53" s="29" t="s">
        <v>51</v>
      </c>
      <c r="C53" s="30"/>
      <c r="D53" s="30">
        <v>40000</v>
      </c>
      <c r="E53" s="5">
        <f t="shared" si="0"/>
        <v>86156590</v>
      </c>
      <c r="F53" s="31" t="s">
        <v>62</v>
      </c>
      <c r="G53" s="13"/>
      <c r="H53" s="13"/>
      <c r="I53" s="13"/>
      <c r="J53" s="13"/>
      <c r="K53" s="13"/>
      <c r="L53" s="13"/>
      <c r="M53" s="13"/>
    </row>
    <row r="54" spans="1:13" s="31" customFormat="1" x14ac:dyDescent="0.25">
      <c r="A54" s="44">
        <v>43203</v>
      </c>
      <c r="B54" s="29" t="s">
        <v>52</v>
      </c>
      <c r="C54" s="30"/>
      <c r="D54" s="30">
        <v>22000</v>
      </c>
      <c r="E54" s="5">
        <f t="shared" si="0"/>
        <v>86134590</v>
      </c>
      <c r="F54" s="31" t="s">
        <v>62</v>
      </c>
      <c r="G54" s="13"/>
      <c r="H54" s="13"/>
      <c r="I54" s="13"/>
      <c r="J54" s="13"/>
      <c r="K54" s="13"/>
      <c r="L54" s="13"/>
      <c r="M54" s="13"/>
    </row>
    <row r="55" spans="1:13" s="31" customFormat="1" x14ac:dyDescent="0.25">
      <c r="A55" s="44">
        <v>43203</v>
      </c>
      <c r="B55" s="29" t="s">
        <v>38</v>
      </c>
      <c r="C55" s="30"/>
      <c r="D55" s="30">
        <v>1000000</v>
      </c>
      <c r="E55" s="5">
        <f t="shared" si="0"/>
        <v>85134590</v>
      </c>
      <c r="F55" s="31" t="s">
        <v>63</v>
      </c>
      <c r="G55" s="13"/>
      <c r="H55" s="13"/>
      <c r="I55" s="13"/>
      <c r="J55" s="13"/>
      <c r="K55" s="13"/>
      <c r="L55" s="13"/>
      <c r="M55" s="13"/>
    </row>
    <row r="56" spans="1:13" s="31" customFormat="1" x14ac:dyDescent="0.25">
      <c r="A56" s="44">
        <v>43203</v>
      </c>
      <c r="B56" s="29" t="s">
        <v>53</v>
      </c>
      <c r="C56" s="30"/>
      <c r="D56" s="30">
        <v>150000</v>
      </c>
      <c r="E56" s="5">
        <f t="shared" si="0"/>
        <v>84984590</v>
      </c>
      <c r="F56" s="31" t="s">
        <v>62</v>
      </c>
      <c r="G56" s="13"/>
      <c r="H56" s="13"/>
      <c r="I56" s="13"/>
      <c r="J56" s="13"/>
      <c r="K56" s="13"/>
      <c r="L56" s="13"/>
      <c r="M56" s="13"/>
    </row>
    <row r="57" spans="1:13" s="31" customFormat="1" x14ac:dyDescent="0.25">
      <c r="A57" s="44">
        <v>43203</v>
      </c>
      <c r="B57" s="29" t="s">
        <v>53</v>
      </c>
      <c r="C57" s="30"/>
      <c r="D57" s="30">
        <v>150000</v>
      </c>
      <c r="E57" s="5">
        <f t="shared" si="0"/>
        <v>84834590</v>
      </c>
      <c r="F57" s="31" t="s">
        <v>62</v>
      </c>
      <c r="G57" s="13"/>
      <c r="H57" s="13"/>
      <c r="I57" s="13"/>
      <c r="J57" s="13"/>
      <c r="K57" s="13"/>
      <c r="L57" s="13"/>
      <c r="M57" s="13"/>
    </row>
    <row r="58" spans="1:13" s="31" customFormat="1" x14ac:dyDescent="0.25">
      <c r="A58" s="44">
        <v>43203</v>
      </c>
      <c r="B58" s="29" t="s">
        <v>54</v>
      </c>
      <c r="C58" s="30"/>
      <c r="D58" s="30">
        <v>931400</v>
      </c>
      <c r="E58" s="5">
        <f t="shared" si="0"/>
        <v>83903190</v>
      </c>
      <c r="F58" s="31" t="s">
        <v>61</v>
      </c>
      <c r="G58" s="13"/>
      <c r="H58" s="13"/>
      <c r="I58" s="13"/>
      <c r="J58" s="13"/>
      <c r="K58" s="13"/>
      <c r="L58" s="13"/>
      <c r="M58" s="13"/>
    </row>
    <row r="59" spans="1:13" s="31" customFormat="1" x14ac:dyDescent="0.25">
      <c r="A59" s="44">
        <v>43203</v>
      </c>
      <c r="B59" s="29" t="s">
        <v>55</v>
      </c>
      <c r="C59" s="30"/>
      <c r="D59" s="30">
        <v>302000</v>
      </c>
      <c r="E59" s="5">
        <f t="shared" si="0"/>
        <v>83601190</v>
      </c>
      <c r="F59" s="31" t="s">
        <v>61</v>
      </c>
      <c r="G59" s="13"/>
      <c r="H59" s="13"/>
      <c r="I59" s="13"/>
      <c r="J59" s="13"/>
      <c r="K59" s="13"/>
      <c r="L59" s="13"/>
      <c r="M59" s="13"/>
    </row>
    <row r="60" spans="1:13" s="31" customFormat="1" x14ac:dyDescent="0.25">
      <c r="A60" s="44">
        <v>43203</v>
      </c>
      <c r="B60" s="29" t="s">
        <v>56</v>
      </c>
      <c r="C60" s="30"/>
      <c r="D60" s="30">
        <v>25000</v>
      </c>
      <c r="E60" s="5">
        <f t="shared" si="0"/>
        <v>83576190</v>
      </c>
      <c r="F60" s="31" t="s">
        <v>62</v>
      </c>
      <c r="G60" s="13"/>
      <c r="H60" s="13"/>
      <c r="I60" s="13"/>
      <c r="J60" s="13"/>
      <c r="K60" s="13"/>
      <c r="L60" s="13"/>
      <c r="M60" s="13"/>
    </row>
    <row r="61" spans="1:13" s="31" customFormat="1" x14ac:dyDescent="0.25">
      <c r="A61" s="44">
        <v>43203</v>
      </c>
      <c r="B61" s="29" t="s">
        <v>57</v>
      </c>
      <c r="C61" s="30"/>
      <c r="D61" s="30">
        <v>4000000</v>
      </c>
      <c r="E61" s="5">
        <f t="shared" si="0"/>
        <v>79576190</v>
      </c>
      <c r="F61" s="31" t="s">
        <v>61</v>
      </c>
      <c r="G61" s="13"/>
      <c r="H61" s="13"/>
      <c r="I61" s="13"/>
      <c r="J61" s="13"/>
      <c r="K61" s="13"/>
      <c r="L61" s="13"/>
      <c r="M61" s="13"/>
    </row>
    <row r="62" spans="1:13" s="31" customFormat="1" x14ac:dyDescent="0.25">
      <c r="A62" s="44">
        <v>43203</v>
      </c>
      <c r="B62" s="45" t="s">
        <v>58</v>
      </c>
      <c r="C62" s="30"/>
      <c r="D62" s="30">
        <v>180000</v>
      </c>
      <c r="E62" s="5">
        <f t="shared" si="0"/>
        <v>79396190</v>
      </c>
      <c r="F62" s="31" t="s">
        <v>61</v>
      </c>
      <c r="G62" s="13"/>
      <c r="H62" s="13"/>
      <c r="I62" s="13"/>
      <c r="J62" s="13"/>
      <c r="K62" s="13"/>
      <c r="L62" s="13"/>
      <c r="M62" s="13"/>
    </row>
    <row r="63" spans="1:13" s="31" customFormat="1" x14ac:dyDescent="0.25">
      <c r="A63" s="44">
        <v>43203</v>
      </c>
      <c r="B63" s="45" t="s">
        <v>59</v>
      </c>
      <c r="C63" s="30"/>
      <c r="D63" s="30">
        <v>784000</v>
      </c>
      <c r="E63" s="5">
        <f t="shared" si="0"/>
        <v>78612190</v>
      </c>
      <c r="F63" s="31" t="s">
        <v>64</v>
      </c>
      <c r="G63" s="13"/>
      <c r="H63" s="13"/>
      <c r="I63" s="13"/>
      <c r="J63" s="13"/>
      <c r="K63" s="13"/>
      <c r="L63" s="13"/>
      <c r="M63" s="13"/>
    </row>
    <row r="64" spans="1:13" s="31" customFormat="1" x14ac:dyDescent="0.25">
      <c r="A64" s="44">
        <v>43203</v>
      </c>
      <c r="B64" s="45" t="s">
        <v>59</v>
      </c>
      <c r="C64" s="30"/>
      <c r="D64" s="30">
        <v>546000</v>
      </c>
      <c r="E64" s="5">
        <f t="shared" si="0"/>
        <v>78066190</v>
      </c>
      <c r="F64" s="31" t="s">
        <v>64</v>
      </c>
      <c r="G64" s="13"/>
      <c r="H64" s="13"/>
      <c r="I64" s="13"/>
      <c r="J64" s="13"/>
      <c r="K64" s="13"/>
      <c r="L64" s="13"/>
      <c r="M64" s="13"/>
    </row>
    <row r="65" spans="1:13" s="31" customFormat="1" x14ac:dyDescent="0.25">
      <c r="A65" s="44">
        <v>43203</v>
      </c>
      <c r="B65" s="45" t="s">
        <v>54</v>
      </c>
      <c r="C65" s="30"/>
      <c r="D65" s="30">
        <v>1064000</v>
      </c>
      <c r="E65" s="5">
        <f t="shared" si="0"/>
        <v>77002190</v>
      </c>
      <c r="F65" s="31" t="s">
        <v>61</v>
      </c>
      <c r="G65" s="13"/>
      <c r="H65" s="13"/>
      <c r="I65" s="13"/>
      <c r="J65" s="13"/>
      <c r="K65" s="13"/>
      <c r="L65" s="13"/>
      <c r="M65" s="13"/>
    </row>
    <row r="66" spans="1:13" s="31" customFormat="1" x14ac:dyDescent="0.25">
      <c r="A66" s="44">
        <v>43203</v>
      </c>
      <c r="B66" s="45" t="s">
        <v>60</v>
      </c>
      <c r="C66" s="30"/>
      <c r="D66" s="30">
        <v>53900</v>
      </c>
      <c r="E66" s="5">
        <f t="shared" si="0"/>
        <v>76948290</v>
      </c>
      <c r="F66" s="31" t="s">
        <v>62</v>
      </c>
      <c r="G66" s="13"/>
      <c r="H66" s="13"/>
      <c r="I66" s="13"/>
      <c r="J66" s="13"/>
      <c r="K66" s="13"/>
      <c r="L66" s="13"/>
      <c r="M66" s="13"/>
    </row>
    <row r="67" spans="1:13" s="31" customFormat="1" x14ac:dyDescent="0.25">
      <c r="A67" s="44">
        <v>43203</v>
      </c>
      <c r="B67" s="45" t="s">
        <v>66</v>
      </c>
      <c r="C67" s="30"/>
      <c r="D67" s="30">
        <v>25000</v>
      </c>
      <c r="E67" s="5">
        <f t="shared" si="0"/>
        <v>76923290</v>
      </c>
      <c r="F67" s="31" t="s">
        <v>62</v>
      </c>
      <c r="G67" s="13"/>
      <c r="H67" s="13"/>
      <c r="I67" s="13"/>
      <c r="J67" s="13"/>
      <c r="K67" s="13"/>
      <c r="L67" s="13"/>
      <c r="M67" s="13"/>
    </row>
    <row r="68" spans="1:13" s="31" customFormat="1" x14ac:dyDescent="0.25">
      <c r="A68" s="44">
        <v>43203</v>
      </c>
      <c r="B68" s="45" t="s">
        <v>67</v>
      </c>
      <c r="C68" s="30"/>
      <c r="D68" s="30">
        <v>25000</v>
      </c>
      <c r="E68" s="5">
        <f t="shared" si="0"/>
        <v>76898290</v>
      </c>
      <c r="F68" s="31" t="s">
        <v>62</v>
      </c>
      <c r="G68" s="13"/>
      <c r="H68" s="13"/>
      <c r="I68" s="13"/>
      <c r="J68" s="13"/>
      <c r="K68" s="13"/>
      <c r="L68" s="13"/>
      <c r="M68" s="13"/>
    </row>
    <row r="69" spans="1:13" s="31" customFormat="1" x14ac:dyDescent="0.25">
      <c r="A69" s="44">
        <v>43203</v>
      </c>
      <c r="B69" s="45" t="s">
        <v>68</v>
      </c>
      <c r="C69" s="30"/>
      <c r="D69" s="30">
        <v>50000</v>
      </c>
      <c r="E69" s="5">
        <f t="shared" ref="E69:E132" si="1">+E68+C69-D69</f>
        <v>76848290</v>
      </c>
      <c r="F69" s="47" t="s">
        <v>61</v>
      </c>
      <c r="G69" s="13"/>
      <c r="H69" s="13"/>
      <c r="I69" s="13"/>
      <c r="J69" s="13"/>
      <c r="K69" s="13"/>
      <c r="L69" s="13"/>
      <c r="M69" s="13"/>
    </row>
    <row r="70" spans="1:13" s="31" customFormat="1" x14ac:dyDescent="0.25">
      <c r="A70" s="44">
        <v>43232</v>
      </c>
      <c r="B70" s="45" t="s">
        <v>69</v>
      </c>
      <c r="C70" s="30"/>
      <c r="D70" s="30">
        <v>2100000</v>
      </c>
      <c r="E70" s="5">
        <f t="shared" si="1"/>
        <v>74748290</v>
      </c>
      <c r="F70" s="31" t="s">
        <v>64</v>
      </c>
      <c r="G70" s="13"/>
      <c r="H70" s="13"/>
      <c r="I70" s="13"/>
      <c r="J70" s="13"/>
      <c r="K70" s="13"/>
      <c r="L70" s="13"/>
      <c r="M70" s="13"/>
    </row>
    <row r="71" spans="1:13" s="31" customFormat="1" x14ac:dyDescent="0.25">
      <c r="A71" s="44">
        <v>43232</v>
      </c>
      <c r="B71" s="45" t="s">
        <v>70</v>
      </c>
      <c r="C71" s="30"/>
      <c r="D71" s="30">
        <v>2000000</v>
      </c>
      <c r="E71" s="5">
        <f t="shared" si="1"/>
        <v>72748290</v>
      </c>
      <c r="F71" s="47" t="s">
        <v>61</v>
      </c>
      <c r="G71" s="13"/>
      <c r="H71" s="13"/>
      <c r="I71" s="13"/>
      <c r="J71" s="13"/>
      <c r="K71" s="13"/>
      <c r="L71" s="13"/>
      <c r="M71" s="13"/>
    </row>
    <row r="72" spans="1:13" s="31" customFormat="1" x14ac:dyDescent="0.25">
      <c r="A72" s="44">
        <v>43237</v>
      </c>
      <c r="B72" s="45" t="s">
        <v>70</v>
      </c>
      <c r="C72" s="30"/>
      <c r="D72" s="30">
        <v>1500000</v>
      </c>
      <c r="E72" s="5">
        <f t="shared" si="1"/>
        <v>71248290</v>
      </c>
      <c r="F72" s="47" t="s">
        <v>61</v>
      </c>
      <c r="G72" s="13"/>
      <c r="H72" s="13"/>
      <c r="I72" s="13"/>
      <c r="J72" s="13"/>
      <c r="K72" s="13"/>
      <c r="L72" s="13"/>
      <c r="M72" s="13"/>
    </row>
    <row r="73" spans="1:13" s="31" customFormat="1" x14ac:dyDescent="0.25">
      <c r="A73" s="44">
        <v>43237</v>
      </c>
      <c r="B73" s="45" t="s">
        <v>72</v>
      </c>
      <c r="C73" s="30"/>
      <c r="D73" s="30">
        <v>700000</v>
      </c>
      <c r="E73" s="5">
        <f t="shared" si="1"/>
        <v>70548290</v>
      </c>
      <c r="F73" s="47" t="s">
        <v>64</v>
      </c>
      <c r="G73" s="13"/>
      <c r="H73" s="13"/>
      <c r="I73" s="13"/>
      <c r="J73" s="13"/>
      <c r="K73" s="13"/>
      <c r="L73" s="13"/>
      <c r="M73" s="13"/>
    </row>
    <row r="74" spans="1:13" s="31" customFormat="1" x14ac:dyDescent="0.25">
      <c r="A74" s="44">
        <v>43237</v>
      </c>
      <c r="B74" s="45" t="s">
        <v>73</v>
      </c>
      <c r="C74" s="30"/>
      <c r="D74" s="30">
        <v>15400</v>
      </c>
      <c r="E74" s="5">
        <f t="shared" si="1"/>
        <v>70532890</v>
      </c>
      <c r="F74" s="47" t="s">
        <v>62</v>
      </c>
      <c r="G74" s="13"/>
      <c r="H74" s="13"/>
      <c r="I74" s="13"/>
      <c r="J74" s="13"/>
      <c r="K74" s="48"/>
      <c r="L74" s="13"/>
      <c r="M74" s="13"/>
    </row>
    <row r="75" spans="1:13" s="31" customFormat="1" x14ac:dyDescent="0.25">
      <c r="A75" s="44">
        <v>43237</v>
      </c>
      <c r="B75" s="45" t="s">
        <v>51</v>
      </c>
      <c r="C75" s="30"/>
      <c r="D75" s="30">
        <v>8800</v>
      </c>
      <c r="E75" s="5">
        <f t="shared" si="1"/>
        <v>70524090</v>
      </c>
      <c r="F75" s="47" t="s">
        <v>62</v>
      </c>
      <c r="G75" s="13"/>
      <c r="H75" s="13"/>
      <c r="I75" s="13"/>
      <c r="J75" s="13"/>
      <c r="K75" s="48"/>
      <c r="L75" s="13"/>
      <c r="M75" s="13"/>
    </row>
    <row r="76" spans="1:13" s="31" customFormat="1" x14ac:dyDescent="0.25">
      <c r="A76" s="44">
        <v>43237</v>
      </c>
      <c r="B76" s="45" t="s">
        <v>51</v>
      </c>
      <c r="C76" s="30"/>
      <c r="D76" s="30">
        <v>35000</v>
      </c>
      <c r="E76" s="5">
        <f t="shared" si="1"/>
        <v>70489090</v>
      </c>
      <c r="F76" s="47" t="s">
        <v>62</v>
      </c>
      <c r="G76" s="13"/>
      <c r="H76" s="13"/>
      <c r="I76" s="13"/>
      <c r="J76" s="13"/>
      <c r="K76" s="13"/>
      <c r="L76" s="13"/>
      <c r="M76" s="13"/>
    </row>
    <row r="77" spans="1:13" s="31" customFormat="1" x14ac:dyDescent="0.25">
      <c r="A77" s="44">
        <v>43239</v>
      </c>
      <c r="B77" s="45" t="s">
        <v>74</v>
      </c>
      <c r="C77" s="30"/>
      <c r="D77" s="46">
        <v>3967000</v>
      </c>
      <c r="E77" s="5">
        <f t="shared" si="1"/>
        <v>66522090</v>
      </c>
      <c r="F77" s="47" t="s">
        <v>61</v>
      </c>
      <c r="G77" s="13"/>
      <c r="H77" s="13"/>
      <c r="I77" s="13"/>
      <c r="J77" s="13"/>
      <c r="K77" s="13"/>
      <c r="L77" s="13"/>
      <c r="M77" s="13"/>
    </row>
    <row r="78" spans="1:13" s="31" customFormat="1" x14ac:dyDescent="0.25">
      <c r="A78" s="44">
        <v>43237</v>
      </c>
      <c r="B78" s="45" t="s">
        <v>75</v>
      </c>
      <c r="C78" s="30"/>
      <c r="D78" s="46">
        <v>1130000</v>
      </c>
      <c r="E78" s="5">
        <f t="shared" si="1"/>
        <v>65392090</v>
      </c>
      <c r="F78" s="47" t="s">
        <v>64</v>
      </c>
      <c r="G78" s="13"/>
      <c r="H78" s="13"/>
      <c r="I78" s="13"/>
      <c r="J78" s="13"/>
      <c r="K78" s="13"/>
      <c r="L78" s="13"/>
      <c r="M78" s="13"/>
    </row>
    <row r="79" spans="1:13" s="31" customFormat="1" x14ac:dyDescent="0.25">
      <c r="A79" s="44">
        <v>43237</v>
      </c>
      <c r="B79" s="45" t="s">
        <v>76</v>
      </c>
      <c r="C79" s="30"/>
      <c r="D79" s="46">
        <v>3000000</v>
      </c>
      <c r="E79" s="5">
        <f t="shared" si="1"/>
        <v>62392090</v>
      </c>
      <c r="F79" s="47" t="s">
        <v>64</v>
      </c>
      <c r="G79" s="13"/>
      <c r="H79" s="13"/>
      <c r="I79" s="13"/>
      <c r="J79" s="13"/>
      <c r="K79" s="13"/>
      <c r="L79" s="13"/>
      <c r="M79" s="13"/>
    </row>
    <row r="80" spans="1:13" s="31" customFormat="1" x14ac:dyDescent="0.25">
      <c r="A80" s="44">
        <v>43237</v>
      </c>
      <c r="B80" s="45" t="s">
        <v>77</v>
      </c>
      <c r="C80" s="30"/>
      <c r="D80" s="46">
        <v>796000</v>
      </c>
      <c r="E80" s="5">
        <f t="shared" si="1"/>
        <v>61596090</v>
      </c>
      <c r="F80" s="47" t="s">
        <v>64</v>
      </c>
      <c r="G80" s="13"/>
      <c r="H80" s="13"/>
      <c r="I80" s="13"/>
      <c r="J80" s="13"/>
      <c r="K80" s="13"/>
      <c r="L80" s="13"/>
      <c r="M80" s="13"/>
    </row>
    <row r="81" spans="1:13" s="31" customFormat="1" x14ac:dyDescent="0.25">
      <c r="A81" s="44">
        <v>43237</v>
      </c>
      <c r="B81" s="45" t="s">
        <v>78</v>
      </c>
      <c r="C81" s="30"/>
      <c r="D81" s="46">
        <v>769000</v>
      </c>
      <c r="E81" s="5">
        <f t="shared" si="1"/>
        <v>60827090</v>
      </c>
      <c r="F81" s="47" t="s">
        <v>64</v>
      </c>
      <c r="G81" s="13"/>
      <c r="H81" s="13"/>
      <c r="I81" s="13"/>
      <c r="J81" s="13"/>
      <c r="K81" s="13"/>
      <c r="L81" s="13"/>
      <c r="M81" s="13"/>
    </row>
    <row r="82" spans="1:13" s="31" customFormat="1" x14ac:dyDescent="0.25">
      <c r="A82" s="44">
        <v>43237</v>
      </c>
      <c r="B82" s="45" t="s">
        <v>79</v>
      </c>
      <c r="C82" s="30"/>
      <c r="D82" s="46">
        <v>1159000</v>
      </c>
      <c r="E82" s="5">
        <f t="shared" si="1"/>
        <v>59668090</v>
      </c>
      <c r="F82" s="47" t="s">
        <v>64</v>
      </c>
      <c r="G82" s="13"/>
      <c r="H82" s="13"/>
      <c r="I82" s="13"/>
      <c r="J82" s="13"/>
      <c r="K82" s="13"/>
      <c r="L82" s="13"/>
      <c r="M82" s="13"/>
    </row>
    <row r="83" spans="1:13" s="31" customFormat="1" x14ac:dyDescent="0.25">
      <c r="A83" s="44">
        <v>43237</v>
      </c>
      <c r="B83" s="45" t="s">
        <v>80</v>
      </c>
      <c r="C83" s="30"/>
      <c r="D83" s="46">
        <v>200000</v>
      </c>
      <c r="E83" s="5">
        <f t="shared" si="1"/>
        <v>59468090</v>
      </c>
      <c r="F83" s="47" t="s">
        <v>64</v>
      </c>
      <c r="G83" s="13"/>
      <c r="H83" s="13"/>
      <c r="I83" s="13"/>
      <c r="J83" s="13"/>
      <c r="K83" s="13"/>
      <c r="L83" s="13"/>
      <c r="M83" s="13"/>
    </row>
    <row r="84" spans="1:13" s="31" customFormat="1" x14ac:dyDescent="0.25">
      <c r="A84" s="44">
        <v>43237</v>
      </c>
      <c r="B84" s="45" t="s">
        <v>81</v>
      </c>
      <c r="C84" s="30"/>
      <c r="D84" s="46">
        <v>400000</v>
      </c>
      <c r="E84" s="5">
        <f t="shared" si="1"/>
        <v>59068090</v>
      </c>
      <c r="F84" s="31" t="s">
        <v>63</v>
      </c>
      <c r="G84" s="13"/>
      <c r="H84" s="13"/>
      <c r="I84" s="13"/>
      <c r="J84" s="13"/>
      <c r="K84" s="13"/>
      <c r="L84" s="13"/>
      <c r="M84" s="13"/>
    </row>
    <row r="85" spans="1:13" s="31" customFormat="1" x14ac:dyDescent="0.25">
      <c r="A85" s="44">
        <v>43237</v>
      </c>
      <c r="B85" s="45" t="s">
        <v>101</v>
      </c>
      <c r="C85" s="30"/>
      <c r="D85" s="46">
        <v>400000</v>
      </c>
      <c r="E85" s="5">
        <f t="shared" si="1"/>
        <v>58668090</v>
      </c>
      <c r="F85" s="31" t="s">
        <v>61</v>
      </c>
      <c r="G85" s="13"/>
      <c r="H85" s="13"/>
      <c r="I85" s="13"/>
      <c r="J85" s="13"/>
      <c r="K85" s="13"/>
      <c r="L85" s="13"/>
      <c r="M85" s="13"/>
    </row>
    <row r="86" spans="1:13" s="31" customFormat="1" x14ac:dyDescent="0.25">
      <c r="A86" s="44">
        <v>43237</v>
      </c>
      <c r="B86" s="45" t="s">
        <v>82</v>
      </c>
      <c r="C86" s="30"/>
      <c r="D86" s="46">
        <v>1349623</v>
      </c>
      <c r="E86" s="5">
        <f t="shared" si="1"/>
        <v>57318467</v>
      </c>
      <c r="F86" s="47" t="s">
        <v>64</v>
      </c>
      <c r="G86" s="13"/>
      <c r="H86" s="13"/>
      <c r="I86" s="13"/>
      <c r="J86" s="13"/>
      <c r="K86" s="13"/>
      <c r="L86" s="13"/>
      <c r="M86" s="13"/>
    </row>
    <row r="87" spans="1:13" s="31" customFormat="1" x14ac:dyDescent="0.25">
      <c r="A87" s="44">
        <v>43237</v>
      </c>
      <c r="B87" s="45" t="s">
        <v>83</v>
      </c>
      <c r="C87" s="30"/>
      <c r="D87" s="46">
        <v>714000</v>
      </c>
      <c r="E87" s="5">
        <f t="shared" si="1"/>
        <v>56604467</v>
      </c>
      <c r="F87" s="47" t="s">
        <v>61</v>
      </c>
      <c r="G87" s="13"/>
      <c r="H87" s="13"/>
      <c r="I87" s="13"/>
      <c r="J87" s="13"/>
      <c r="K87" s="13"/>
      <c r="L87" s="13"/>
      <c r="M87" s="13"/>
    </row>
    <row r="88" spans="1:13" s="31" customFormat="1" x14ac:dyDescent="0.25">
      <c r="A88" s="44">
        <v>43237</v>
      </c>
      <c r="B88" s="45" t="s">
        <v>92</v>
      </c>
      <c r="C88" s="30"/>
      <c r="D88" s="46">
        <v>425000</v>
      </c>
      <c r="E88" s="5">
        <f t="shared" si="1"/>
        <v>56179467</v>
      </c>
      <c r="F88" s="47" t="s">
        <v>61</v>
      </c>
      <c r="G88" s="13"/>
      <c r="H88" s="13"/>
      <c r="I88" s="13"/>
      <c r="J88" s="13"/>
      <c r="K88" s="13"/>
      <c r="L88" s="13"/>
      <c r="M88" s="13"/>
    </row>
    <row r="89" spans="1:13" s="31" customFormat="1" x14ac:dyDescent="0.25">
      <c r="A89" s="44">
        <v>43237</v>
      </c>
      <c r="B89" s="45" t="s">
        <v>10</v>
      </c>
      <c r="C89" s="30"/>
      <c r="D89" s="46">
        <v>180000</v>
      </c>
      <c r="E89" s="5">
        <f t="shared" si="1"/>
        <v>55999467</v>
      </c>
      <c r="F89" s="47" t="s">
        <v>61</v>
      </c>
      <c r="G89" s="13"/>
      <c r="H89" s="13"/>
      <c r="I89" s="13"/>
      <c r="J89" s="13"/>
      <c r="K89" s="13"/>
      <c r="L89" s="13"/>
      <c r="M89" s="13"/>
    </row>
    <row r="90" spans="1:13" s="31" customFormat="1" x14ac:dyDescent="0.25">
      <c r="A90" s="44">
        <v>43237</v>
      </c>
      <c r="B90" s="45" t="s">
        <v>84</v>
      </c>
      <c r="C90" s="30"/>
      <c r="D90" s="46">
        <v>5264000</v>
      </c>
      <c r="E90" s="5">
        <f t="shared" si="1"/>
        <v>50735467</v>
      </c>
      <c r="F90" s="47" t="s">
        <v>64</v>
      </c>
      <c r="G90" s="13"/>
      <c r="H90" s="13"/>
      <c r="I90" s="13"/>
      <c r="J90" s="13"/>
      <c r="K90" s="13"/>
      <c r="L90" s="13"/>
      <c r="M90" s="13"/>
    </row>
    <row r="91" spans="1:13" s="31" customFormat="1" x14ac:dyDescent="0.25">
      <c r="A91" s="44">
        <v>43237</v>
      </c>
      <c r="B91" s="45" t="s">
        <v>85</v>
      </c>
      <c r="C91" s="30"/>
      <c r="D91" s="46">
        <v>3000000</v>
      </c>
      <c r="E91" s="5">
        <f t="shared" si="1"/>
        <v>47735467</v>
      </c>
      <c r="F91" s="47" t="s">
        <v>64</v>
      </c>
      <c r="G91" s="13"/>
      <c r="H91" s="13"/>
      <c r="I91" s="13"/>
      <c r="J91" s="13"/>
      <c r="K91" s="13"/>
      <c r="L91" s="13"/>
      <c r="M91" s="13"/>
    </row>
    <row r="92" spans="1:13" s="31" customFormat="1" x14ac:dyDescent="0.25">
      <c r="A92" s="44">
        <v>43246</v>
      </c>
      <c r="B92" s="45" t="s">
        <v>87</v>
      </c>
      <c r="C92" s="30"/>
      <c r="D92" s="46">
        <v>2050000</v>
      </c>
      <c r="E92" s="5">
        <f t="shared" si="1"/>
        <v>45685467</v>
      </c>
      <c r="F92" s="47" t="s">
        <v>64</v>
      </c>
      <c r="G92" s="13"/>
      <c r="H92" s="13"/>
      <c r="I92" s="13"/>
      <c r="J92" s="13"/>
      <c r="K92" s="13"/>
      <c r="L92" s="13"/>
      <c r="M92" s="13"/>
    </row>
    <row r="93" spans="1:13" s="31" customFormat="1" x14ac:dyDescent="0.25">
      <c r="A93" s="44">
        <v>43243</v>
      </c>
      <c r="B93" s="45" t="s">
        <v>88</v>
      </c>
      <c r="C93" s="30"/>
      <c r="D93" s="46">
        <v>1000000</v>
      </c>
      <c r="E93" s="5">
        <f t="shared" si="1"/>
        <v>44685467</v>
      </c>
      <c r="F93" s="47" t="s">
        <v>61</v>
      </c>
      <c r="G93" s="13"/>
      <c r="H93" s="13"/>
      <c r="I93" s="13"/>
      <c r="J93" s="13"/>
      <c r="K93" s="13"/>
      <c r="L93" s="13"/>
      <c r="M93" s="13"/>
    </row>
    <row r="94" spans="1:13" s="31" customFormat="1" x14ac:dyDescent="0.25">
      <c r="A94" s="44">
        <v>43248</v>
      </c>
      <c r="B94" s="45" t="s">
        <v>86</v>
      </c>
      <c r="C94" s="30"/>
      <c r="D94" s="46">
        <f>2325000+35000</f>
        <v>2360000</v>
      </c>
      <c r="E94" s="5">
        <f t="shared" si="1"/>
        <v>42325467</v>
      </c>
      <c r="F94" s="47" t="s">
        <v>61</v>
      </c>
      <c r="G94" s="13"/>
      <c r="H94" s="13"/>
      <c r="I94" s="13"/>
      <c r="J94" s="13"/>
      <c r="K94" s="13"/>
      <c r="L94" s="13"/>
      <c r="M94" s="13"/>
    </row>
    <row r="95" spans="1:13" s="31" customFormat="1" x14ac:dyDescent="0.25">
      <c r="A95" s="44">
        <v>43248</v>
      </c>
      <c r="B95" s="45" t="s">
        <v>89</v>
      </c>
      <c r="C95" s="30"/>
      <c r="D95" s="46">
        <v>50000</v>
      </c>
      <c r="E95" s="5">
        <f t="shared" si="1"/>
        <v>42275467</v>
      </c>
      <c r="F95" s="47" t="s">
        <v>62</v>
      </c>
      <c r="G95" s="13"/>
      <c r="H95" s="13"/>
      <c r="I95" s="13"/>
      <c r="J95" s="13"/>
      <c r="K95" s="13"/>
      <c r="L95" s="13"/>
      <c r="M95" s="13"/>
    </row>
    <row r="96" spans="1:13" s="31" customFormat="1" x14ac:dyDescent="0.25">
      <c r="A96" s="44">
        <v>43248</v>
      </c>
      <c r="B96" s="45" t="s">
        <v>97</v>
      </c>
      <c r="C96" s="30"/>
      <c r="D96" s="46">
        <v>20000</v>
      </c>
      <c r="E96" s="5">
        <f t="shared" si="1"/>
        <v>42255467</v>
      </c>
      <c r="F96" s="47" t="s">
        <v>62</v>
      </c>
      <c r="G96" s="13"/>
      <c r="H96" s="13"/>
      <c r="I96" s="13"/>
      <c r="J96" s="13"/>
      <c r="K96" s="13"/>
      <c r="L96" s="13"/>
      <c r="M96" s="13"/>
    </row>
    <row r="97" spans="1:13" s="31" customFormat="1" x14ac:dyDescent="0.25">
      <c r="A97" s="44">
        <v>43248</v>
      </c>
      <c r="B97" s="45" t="s">
        <v>90</v>
      </c>
      <c r="C97" s="30"/>
      <c r="D97" s="46">
        <v>180000</v>
      </c>
      <c r="E97" s="5">
        <f t="shared" si="1"/>
        <v>42075467</v>
      </c>
      <c r="F97" s="47" t="s">
        <v>62</v>
      </c>
      <c r="G97" s="13"/>
      <c r="H97" s="13"/>
      <c r="I97" s="13"/>
      <c r="J97" s="13"/>
      <c r="K97" s="13"/>
      <c r="L97" s="13"/>
      <c r="M97" s="13"/>
    </row>
    <row r="98" spans="1:13" s="31" customFormat="1" x14ac:dyDescent="0.25">
      <c r="A98" s="44">
        <v>43248</v>
      </c>
      <c r="B98" s="45" t="s">
        <v>91</v>
      </c>
      <c r="C98" s="30"/>
      <c r="D98" s="46">
        <v>200000</v>
      </c>
      <c r="E98" s="5">
        <f t="shared" si="1"/>
        <v>41875467</v>
      </c>
      <c r="F98" s="47" t="s">
        <v>63</v>
      </c>
      <c r="G98" s="13"/>
      <c r="H98" s="13"/>
      <c r="I98" s="13"/>
      <c r="J98" s="13"/>
      <c r="K98" s="13"/>
      <c r="L98" s="13"/>
      <c r="M98" s="13"/>
    </row>
    <row r="99" spans="1:13" s="31" customFormat="1" x14ac:dyDescent="0.25">
      <c r="A99" s="44">
        <v>43253</v>
      </c>
      <c r="B99" s="45" t="s">
        <v>504</v>
      </c>
      <c r="C99" s="30"/>
      <c r="D99" s="46">
        <v>300000</v>
      </c>
      <c r="E99" s="5">
        <f t="shared" si="1"/>
        <v>41575467</v>
      </c>
      <c r="F99" s="47" t="s">
        <v>61</v>
      </c>
      <c r="G99" s="13"/>
      <c r="H99" s="13"/>
      <c r="I99" s="13"/>
      <c r="J99" s="13"/>
      <c r="K99" s="13"/>
      <c r="L99" s="13"/>
      <c r="M99" s="13"/>
    </row>
    <row r="100" spans="1:13" s="31" customFormat="1" x14ac:dyDescent="0.25">
      <c r="A100" s="44">
        <v>43253</v>
      </c>
      <c r="B100" s="45" t="s">
        <v>100</v>
      </c>
      <c r="C100" s="30"/>
      <c r="D100" s="46">
        <v>600000</v>
      </c>
      <c r="E100" s="5">
        <f t="shared" si="1"/>
        <v>40975467</v>
      </c>
      <c r="F100" s="47" t="s">
        <v>61</v>
      </c>
      <c r="G100" s="13"/>
      <c r="H100" s="13"/>
      <c r="I100" s="13"/>
      <c r="J100" s="13"/>
      <c r="K100" s="13"/>
      <c r="L100" s="13"/>
      <c r="M100" s="13"/>
    </row>
    <row r="101" spans="1:13" s="31" customFormat="1" x14ac:dyDescent="0.25">
      <c r="A101" s="44">
        <v>43253</v>
      </c>
      <c r="B101" s="45" t="s">
        <v>98</v>
      </c>
      <c r="C101" s="30"/>
      <c r="D101" s="46">
        <v>180000</v>
      </c>
      <c r="E101" s="5">
        <f t="shared" si="1"/>
        <v>40795467</v>
      </c>
      <c r="F101" s="47" t="s">
        <v>61</v>
      </c>
      <c r="G101" s="13"/>
      <c r="H101" s="13"/>
      <c r="I101" s="13"/>
      <c r="J101" s="13"/>
      <c r="K101" s="13"/>
      <c r="L101" s="13"/>
      <c r="M101" s="13"/>
    </row>
    <row r="102" spans="1:13" s="31" customFormat="1" x14ac:dyDescent="0.25">
      <c r="A102" s="44">
        <v>43253</v>
      </c>
      <c r="B102" s="45" t="s">
        <v>93</v>
      </c>
      <c r="C102" s="30"/>
      <c r="D102" s="46">
        <v>1000000</v>
      </c>
      <c r="E102" s="5">
        <f t="shared" si="1"/>
        <v>39795467</v>
      </c>
      <c r="F102" s="47" t="s">
        <v>61</v>
      </c>
      <c r="G102" s="13"/>
      <c r="H102" s="13"/>
      <c r="I102" s="13"/>
      <c r="J102" s="13"/>
      <c r="K102" s="13"/>
      <c r="L102" s="13"/>
      <c r="M102" s="13"/>
    </row>
    <row r="103" spans="1:13" s="31" customFormat="1" x14ac:dyDescent="0.25">
      <c r="A103" s="44">
        <v>43253</v>
      </c>
      <c r="B103" s="45" t="s">
        <v>96</v>
      </c>
      <c r="C103" s="30"/>
      <c r="D103" s="46">
        <v>2800000</v>
      </c>
      <c r="E103" s="5">
        <f t="shared" si="1"/>
        <v>36995467</v>
      </c>
      <c r="F103" s="47" t="s">
        <v>61</v>
      </c>
      <c r="G103" s="13"/>
      <c r="H103" s="13"/>
      <c r="I103" s="13"/>
      <c r="J103" s="13"/>
      <c r="K103" s="13"/>
      <c r="L103" s="13"/>
      <c r="M103" s="13"/>
    </row>
    <row r="104" spans="1:13" s="31" customFormat="1" x14ac:dyDescent="0.25">
      <c r="A104" s="44">
        <v>43253</v>
      </c>
      <c r="B104" s="45" t="s">
        <v>123</v>
      </c>
      <c r="C104" s="30"/>
      <c r="D104" s="46">
        <v>680000</v>
      </c>
      <c r="E104" s="5">
        <f t="shared" si="1"/>
        <v>36315467</v>
      </c>
      <c r="F104" s="47" t="s">
        <v>64</v>
      </c>
      <c r="G104" s="13"/>
      <c r="H104" s="13"/>
      <c r="I104" s="13"/>
      <c r="J104" s="13"/>
      <c r="K104" s="13"/>
      <c r="L104" s="13"/>
      <c r="M104" s="13"/>
    </row>
    <row r="105" spans="1:13" s="31" customFormat="1" x14ac:dyDescent="0.25">
      <c r="A105" s="44">
        <v>43253</v>
      </c>
      <c r="B105" s="45" t="s">
        <v>94</v>
      </c>
      <c r="C105" s="30"/>
      <c r="D105" s="46">
        <v>500000</v>
      </c>
      <c r="E105" s="5">
        <f t="shared" si="1"/>
        <v>35815467</v>
      </c>
      <c r="F105" s="47" t="s">
        <v>61</v>
      </c>
      <c r="G105" s="13"/>
      <c r="H105" s="13"/>
      <c r="I105" s="13"/>
      <c r="J105" s="13"/>
      <c r="K105" s="13"/>
      <c r="L105" s="13"/>
      <c r="M105" s="13"/>
    </row>
    <row r="106" spans="1:13" s="31" customFormat="1" x14ac:dyDescent="0.25">
      <c r="A106" s="44">
        <v>43253</v>
      </c>
      <c r="B106" s="45" t="s">
        <v>109</v>
      </c>
      <c r="C106" s="30"/>
      <c r="D106" s="46">
        <v>750000</v>
      </c>
      <c r="E106" s="5">
        <f t="shared" si="1"/>
        <v>35065467</v>
      </c>
      <c r="F106" s="47" t="s">
        <v>64</v>
      </c>
      <c r="G106" s="13"/>
      <c r="H106" s="13"/>
      <c r="I106" s="13"/>
      <c r="J106" s="13"/>
      <c r="K106" s="13"/>
      <c r="L106" s="13"/>
      <c r="M106" s="13"/>
    </row>
    <row r="107" spans="1:13" s="31" customFormat="1" x14ac:dyDescent="0.25">
      <c r="A107" s="44">
        <v>43253</v>
      </c>
      <c r="B107" s="45" t="s">
        <v>95</v>
      </c>
      <c r="C107" s="30"/>
      <c r="D107" s="46">
        <v>1400000</v>
      </c>
      <c r="E107" s="5">
        <f t="shared" si="1"/>
        <v>33665467</v>
      </c>
      <c r="F107" s="47" t="s">
        <v>61</v>
      </c>
      <c r="G107" s="13"/>
      <c r="H107" s="13"/>
      <c r="I107" s="13"/>
      <c r="J107" s="13"/>
      <c r="K107" s="13"/>
      <c r="L107" s="13"/>
      <c r="M107" s="13"/>
    </row>
    <row r="108" spans="1:13" s="31" customFormat="1" x14ac:dyDescent="0.25">
      <c r="A108" s="44">
        <v>43253</v>
      </c>
      <c r="B108" s="45" t="s">
        <v>99</v>
      </c>
      <c r="C108" s="30"/>
      <c r="D108" s="46">
        <v>70000</v>
      </c>
      <c r="E108" s="5">
        <f t="shared" si="1"/>
        <v>33595467</v>
      </c>
      <c r="F108" s="47" t="s">
        <v>63</v>
      </c>
      <c r="G108" s="13"/>
      <c r="H108" s="13"/>
      <c r="I108" s="13"/>
      <c r="J108" s="13"/>
      <c r="K108" s="13"/>
      <c r="L108" s="13"/>
      <c r="M108" s="13"/>
    </row>
    <row r="109" spans="1:13" s="31" customFormat="1" x14ac:dyDescent="0.25">
      <c r="A109" s="44">
        <v>43248</v>
      </c>
      <c r="B109" s="45" t="s">
        <v>506</v>
      </c>
      <c r="C109" s="30"/>
      <c r="D109" s="46">
        <v>800000</v>
      </c>
      <c r="E109" s="5">
        <f t="shared" si="1"/>
        <v>32795467</v>
      </c>
      <c r="F109" s="47" t="s">
        <v>61</v>
      </c>
      <c r="G109" s="13"/>
      <c r="H109" s="13"/>
      <c r="I109" s="13"/>
      <c r="J109" s="13"/>
      <c r="K109" s="13"/>
      <c r="L109" s="13"/>
      <c r="M109" s="13"/>
    </row>
    <row r="110" spans="1:13" s="31" customFormat="1" x14ac:dyDescent="0.25">
      <c r="A110" s="44">
        <v>43248</v>
      </c>
      <c r="B110" s="45" t="s">
        <v>82</v>
      </c>
      <c r="C110" s="30"/>
      <c r="D110" s="46">
        <v>600000</v>
      </c>
      <c r="E110" s="5">
        <f t="shared" si="1"/>
        <v>32195467</v>
      </c>
      <c r="F110" s="47" t="s">
        <v>64</v>
      </c>
      <c r="G110" s="13"/>
      <c r="H110" s="13"/>
      <c r="I110" s="13"/>
      <c r="J110" s="13"/>
      <c r="K110" s="13"/>
      <c r="L110" s="13"/>
      <c r="M110" s="13"/>
    </row>
    <row r="111" spans="1:13" s="31" customFormat="1" x14ac:dyDescent="0.25">
      <c r="A111" s="44">
        <v>43248</v>
      </c>
      <c r="B111" s="45" t="s">
        <v>104</v>
      </c>
      <c r="C111" s="30"/>
      <c r="D111" s="46">
        <v>1100000</v>
      </c>
      <c r="E111" s="5">
        <f t="shared" si="1"/>
        <v>31095467</v>
      </c>
      <c r="F111" s="47" t="s">
        <v>64</v>
      </c>
      <c r="G111" s="13"/>
      <c r="H111" s="13"/>
      <c r="I111" s="13"/>
      <c r="J111" s="13"/>
      <c r="K111" s="13"/>
      <c r="L111" s="13"/>
      <c r="M111" s="13"/>
    </row>
    <row r="112" spans="1:13" s="31" customFormat="1" x14ac:dyDescent="0.25">
      <c r="A112" s="44">
        <v>43248</v>
      </c>
      <c r="B112" s="102" t="s">
        <v>105</v>
      </c>
      <c r="C112" s="30"/>
      <c r="D112" s="46">
        <v>230000</v>
      </c>
      <c r="E112" s="5">
        <f t="shared" si="1"/>
        <v>30865467</v>
      </c>
      <c r="F112" s="47" t="s">
        <v>61</v>
      </c>
      <c r="G112" s="13"/>
      <c r="H112" s="13"/>
      <c r="I112" s="13"/>
      <c r="J112" s="13"/>
      <c r="K112" s="13"/>
      <c r="L112" s="13"/>
      <c r="M112" s="13"/>
    </row>
    <row r="113" spans="1:13" s="31" customFormat="1" x14ac:dyDescent="0.25">
      <c r="A113" s="44">
        <v>43248</v>
      </c>
      <c r="B113" s="45" t="s">
        <v>505</v>
      </c>
      <c r="C113" s="30"/>
      <c r="D113" s="46">
        <v>200000</v>
      </c>
      <c r="E113" s="5">
        <f t="shared" si="1"/>
        <v>30665467</v>
      </c>
      <c r="F113" s="47" t="s">
        <v>61</v>
      </c>
      <c r="G113" s="13"/>
      <c r="H113" s="13"/>
      <c r="I113" s="13"/>
      <c r="J113" s="13"/>
      <c r="K113" s="13"/>
      <c r="L113" s="13"/>
      <c r="M113" s="13"/>
    </row>
    <row r="114" spans="1:13" s="31" customFormat="1" x14ac:dyDescent="0.25">
      <c r="A114" s="44">
        <v>43248</v>
      </c>
      <c r="B114" s="45" t="s">
        <v>102</v>
      </c>
      <c r="C114" s="30"/>
      <c r="D114" s="46">
        <v>1200000</v>
      </c>
      <c r="E114" s="5">
        <f t="shared" si="1"/>
        <v>29465467</v>
      </c>
      <c r="F114" s="47" t="s">
        <v>64</v>
      </c>
      <c r="G114" s="13"/>
      <c r="H114" s="13"/>
      <c r="I114" s="13"/>
      <c r="J114" s="13"/>
      <c r="K114" s="13"/>
      <c r="L114" s="13"/>
      <c r="M114" s="13"/>
    </row>
    <row r="115" spans="1:13" s="31" customFormat="1" x14ac:dyDescent="0.25">
      <c r="A115" s="49">
        <v>43248</v>
      </c>
      <c r="B115" s="45" t="s">
        <v>103</v>
      </c>
      <c r="C115" s="30"/>
      <c r="D115" s="46">
        <v>2000000</v>
      </c>
      <c r="E115" s="5">
        <f t="shared" si="1"/>
        <v>27465467</v>
      </c>
      <c r="F115" s="47" t="s">
        <v>61</v>
      </c>
      <c r="G115" s="13"/>
      <c r="H115" s="13"/>
      <c r="I115" s="13"/>
      <c r="J115" s="13"/>
      <c r="K115" s="13"/>
      <c r="L115" s="13"/>
      <c r="M115" s="13"/>
    </row>
    <row r="116" spans="1:13" s="31" customFormat="1" x14ac:dyDescent="0.25">
      <c r="A116" s="44">
        <v>43259</v>
      </c>
      <c r="B116" s="45" t="s">
        <v>107</v>
      </c>
      <c r="C116" s="30"/>
      <c r="D116" s="46">
        <v>1400000</v>
      </c>
      <c r="E116" s="5">
        <f t="shared" si="1"/>
        <v>26065467</v>
      </c>
      <c r="F116" s="47" t="s">
        <v>61</v>
      </c>
      <c r="G116" s="13"/>
      <c r="H116" s="13"/>
      <c r="I116" s="13"/>
      <c r="J116" s="13"/>
      <c r="K116" s="13"/>
      <c r="L116" s="13"/>
      <c r="M116" s="13"/>
    </row>
    <row r="117" spans="1:13" s="31" customFormat="1" x14ac:dyDescent="0.25">
      <c r="A117" s="44">
        <v>43259</v>
      </c>
      <c r="B117" s="45" t="s">
        <v>106</v>
      </c>
      <c r="C117" s="30"/>
      <c r="D117" s="46">
        <v>3000000</v>
      </c>
      <c r="E117" s="5">
        <f t="shared" si="1"/>
        <v>23065467</v>
      </c>
      <c r="F117" s="47" t="s">
        <v>64</v>
      </c>
      <c r="G117" s="13"/>
      <c r="H117" s="13"/>
      <c r="I117" s="13"/>
      <c r="J117" s="13"/>
      <c r="K117" s="13"/>
      <c r="L117" s="13"/>
      <c r="M117" s="13"/>
    </row>
    <row r="118" spans="1:13" s="31" customFormat="1" x14ac:dyDescent="0.25">
      <c r="A118" s="44">
        <v>43260</v>
      </c>
      <c r="B118" s="45" t="s">
        <v>108</v>
      </c>
      <c r="C118" s="30"/>
      <c r="D118" s="46">
        <v>1100000</v>
      </c>
      <c r="E118" s="5">
        <f t="shared" si="1"/>
        <v>21965467</v>
      </c>
      <c r="F118" s="47" t="s">
        <v>61</v>
      </c>
      <c r="G118" s="13"/>
      <c r="H118" s="13"/>
      <c r="I118" s="13"/>
      <c r="J118" s="13"/>
      <c r="K118" s="13"/>
      <c r="L118" s="13"/>
      <c r="M118" s="13"/>
    </row>
    <row r="119" spans="1:13" s="31" customFormat="1" x14ac:dyDescent="0.25">
      <c r="A119" s="44">
        <v>43260</v>
      </c>
      <c r="B119" s="45" t="s">
        <v>166</v>
      </c>
      <c r="C119" s="30"/>
      <c r="D119" s="46">
        <v>700000</v>
      </c>
      <c r="E119" s="5">
        <f t="shared" si="1"/>
        <v>21265467</v>
      </c>
      <c r="F119" s="47" t="s">
        <v>64</v>
      </c>
      <c r="G119" s="13"/>
      <c r="H119" s="13"/>
      <c r="I119" s="13"/>
      <c r="J119" s="13"/>
      <c r="K119" s="13"/>
      <c r="L119" s="13"/>
      <c r="M119" s="13"/>
    </row>
    <row r="120" spans="1:13" s="31" customFormat="1" x14ac:dyDescent="0.25">
      <c r="A120" s="44">
        <v>43260</v>
      </c>
      <c r="B120" s="45" t="s">
        <v>110</v>
      </c>
      <c r="C120" s="30"/>
      <c r="D120" s="46">
        <v>600000</v>
      </c>
      <c r="E120" s="5">
        <f t="shared" si="1"/>
        <v>20665467</v>
      </c>
      <c r="F120" s="47" t="s">
        <v>61</v>
      </c>
      <c r="G120" s="13"/>
      <c r="H120" s="13"/>
      <c r="I120" s="13"/>
      <c r="J120" s="13"/>
      <c r="K120" s="13"/>
      <c r="L120" s="13"/>
      <c r="M120" s="13"/>
    </row>
    <row r="121" spans="1:13" s="31" customFormat="1" x14ac:dyDescent="0.25">
      <c r="A121" s="44">
        <v>43260</v>
      </c>
      <c r="B121" s="45" t="s">
        <v>388</v>
      </c>
      <c r="C121" s="30"/>
      <c r="D121" s="46">
        <v>400000</v>
      </c>
      <c r="E121" s="5">
        <f t="shared" si="1"/>
        <v>20265467</v>
      </c>
      <c r="F121" s="47" t="s">
        <v>61</v>
      </c>
      <c r="G121" s="13"/>
      <c r="H121" s="13"/>
      <c r="I121" s="13"/>
      <c r="J121" s="13"/>
      <c r="K121" s="13"/>
      <c r="L121" s="13"/>
      <c r="M121" s="13"/>
    </row>
    <row r="122" spans="1:13" s="31" customFormat="1" x14ac:dyDescent="0.25">
      <c r="A122" s="44">
        <v>43260</v>
      </c>
      <c r="B122" s="45" t="s">
        <v>121</v>
      </c>
      <c r="C122" s="30"/>
      <c r="D122" s="46">
        <v>300000</v>
      </c>
      <c r="E122" s="5">
        <f t="shared" si="1"/>
        <v>19965467</v>
      </c>
      <c r="F122" s="47" t="s">
        <v>64</v>
      </c>
      <c r="G122" s="13"/>
      <c r="H122" s="13"/>
      <c r="I122" s="13"/>
      <c r="J122" s="13"/>
      <c r="K122" s="13"/>
      <c r="L122" s="13"/>
      <c r="M122" s="13"/>
    </row>
    <row r="123" spans="1:13" s="31" customFormat="1" x14ac:dyDescent="0.25">
      <c r="A123" s="44">
        <v>43260</v>
      </c>
      <c r="B123" s="45" t="s">
        <v>122</v>
      </c>
      <c r="C123" s="30"/>
      <c r="D123" s="46">
        <v>200000</v>
      </c>
      <c r="E123" s="5">
        <f t="shared" si="1"/>
        <v>19765467</v>
      </c>
      <c r="F123" s="47" t="s">
        <v>61</v>
      </c>
      <c r="G123" s="13"/>
      <c r="H123" s="13"/>
      <c r="I123" s="13"/>
      <c r="J123" s="13"/>
      <c r="K123" s="13"/>
      <c r="L123" s="13"/>
      <c r="M123" s="13"/>
    </row>
    <row r="124" spans="1:13" s="31" customFormat="1" x14ac:dyDescent="0.25">
      <c r="A124" s="44">
        <v>43260</v>
      </c>
      <c r="B124" s="102" t="s">
        <v>111</v>
      </c>
      <c r="C124" s="30"/>
      <c r="D124" s="46">
        <v>1400000</v>
      </c>
      <c r="E124" s="5">
        <f t="shared" si="1"/>
        <v>18365467</v>
      </c>
      <c r="F124" s="47" t="s">
        <v>61</v>
      </c>
      <c r="G124" s="13"/>
      <c r="H124" s="13"/>
      <c r="I124" s="13"/>
      <c r="J124" s="13"/>
      <c r="K124" s="13"/>
      <c r="L124" s="13"/>
      <c r="M124" s="13"/>
    </row>
    <row r="125" spans="1:13" s="31" customFormat="1" x14ac:dyDescent="0.25">
      <c r="A125" s="44">
        <v>43265</v>
      </c>
      <c r="B125" s="45" t="s">
        <v>389</v>
      </c>
      <c r="C125" s="30"/>
      <c r="D125" s="46">
        <v>1000000</v>
      </c>
      <c r="E125" s="5">
        <f t="shared" si="1"/>
        <v>17365467</v>
      </c>
      <c r="F125" s="47" t="s">
        <v>61</v>
      </c>
      <c r="G125" s="13"/>
      <c r="H125" s="13"/>
      <c r="I125" s="13"/>
      <c r="J125" s="13"/>
      <c r="K125" s="13"/>
      <c r="L125" s="13"/>
      <c r="M125" s="13"/>
    </row>
    <row r="126" spans="1:13" s="31" customFormat="1" x14ac:dyDescent="0.25">
      <c r="A126" s="44">
        <v>43265</v>
      </c>
      <c r="B126" s="45" t="s">
        <v>118</v>
      </c>
      <c r="C126" s="30"/>
      <c r="D126" s="46">
        <v>314000</v>
      </c>
      <c r="E126" s="5">
        <f t="shared" si="1"/>
        <v>17051467</v>
      </c>
      <c r="F126" s="47" t="s">
        <v>62</v>
      </c>
      <c r="G126" s="13"/>
      <c r="H126" s="13"/>
      <c r="I126" s="13"/>
      <c r="J126" s="13"/>
      <c r="K126" s="13"/>
      <c r="L126" s="13"/>
      <c r="M126" s="13"/>
    </row>
    <row r="127" spans="1:13" s="31" customFormat="1" x14ac:dyDescent="0.25">
      <c r="A127" s="44">
        <v>43265</v>
      </c>
      <c r="B127" s="45" t="s">
        <v>119</v>
      </c>
      <c r="C127" s="30"/>
      <c r="D127" s="46">
        <f>780000-D126</f>
        <v>466000</v>
      </c>
      <c r="E127" s="5">
        <f t="shared" si="1"/>
        <v>16585467</v>
      </c>
      <c r="F127" s="47" t="s">
        <v>64</v>
      </c>
      <c r="G127" s="13"/>
      <c r="H127" s="13"/>
      <c r="I127" s="13"/>
      <c r="J127" s="13"/>
      <c r="K127" s="13"/>
      <c r="L127" s="13"/>
      <c r="M127" s="13"/>
    </row>
    <row r="128" spans="1:13" s="31" customFormat="1" x14ac:dyDescent="0.25">
      <c r="A128" s="44">
        <v>43265</v>
      </c>
      <c r="B128" s="45" t="s">
        <v>112</v>
      </c>
      <c r="C128" s="30"/>
      <c r="D128" s="46">
        <v>700000</v>
      </c>
      <c r="E128" s="5">
        <f t="shared" si="1"/>
        <v>15885467</v>
      </c>
      <c r="F128" s="47" t="s">
        <v>61</v>
      </c>
      <c r="G128" s="13"/>
      <c r="H128" s="13"/>
      <c r="I128" s="13"/>
      <c r="J128" s="13"/>
      <c r="K128" s="13"/>
      <c r="L128" s="13"/>
      <c r="M128" s="13"/>
    </row>
    <row r="129" spans="1:13" s="31" customFormat="1" x14ac:dyDescent="0.25">
      <c r="A129" s="44">
        <v>43265</v>
      </c>
      <c r="B129" s="45" t="s">
        <v>170</v>
      </c>
      <c r="C129" s="30"/>
      <c r="D129" s="46">
        <v>200000</v>
      </c>
      <c r="E129" s="5">
        <f t="shared" si="1"/>
        <v>15685467</v>
      </c>
      <c r="F129" s="47" t="s">
        <v>61</v>
      </c>
      <c r="G129" s="13"/>
      <c r="H129" s="13"/>
      <c r="I129" s="13"/>
      <c r="J129" s="13"/>
      <c r="K129" s="13"/>
      <c r="L129" s="13"/>
      <c r="M129" s="13"/>
    </row>
    <row r="130" spans="1:13" s="31" customFormat="1" x14ac:dyDescent="0.25">
      <c r="A130" s="44">
        <v>43267</v>
      </c>
      <c r="B130" s="45" t="s">
        <v>113</v>
      </c>
      <c r="C130" s="30"/>
      <c r="D130" s="46">
        <v>15000</v>
      </c>
      <c r="E130" s="5">
        <f t="shared" si="1"/>
        <v>15670467</v>
      </c>
      <c r="F130" s="47" t="s">
        <v>62</v>
      </c>
      <c r="G130" s="13"/>
      <c r="H130" s="13"/>
      <c r="I130" s="13"/>
      <c r="J130" s="13"/>
      <c r="K130" s="13"/>
      <c r="L130" s="13"/>
      <c r="M130" s="13"/>
    </row>
    <row r="131" spans="1:13" s="31" customFormat="1" x14ac:dyDescent="0.25">
      <c r="A131" s="44">
        <v>43267</v>
      </c>
      <c r="B131" s="45" t="s">
        <v>120</v>
      </c>
      <c r="C131" s="30"/>
      <c r="D131" s="46">
        <v>20000</v>
      </c>
      <c r="E131" s="5">
        <f t="shared" si="1"/>
        <v>15650467</v>
      </c>
      <c r="F131" s="47" t="s">
        <v>62</v>
      </c>
      <c r="G131" s="13"/>
      <c r="H131" s="13"/>
      <c r="I131" s="13"/>
      <c r="J131" s="13"/>
      <c r="K131" s="13"/>
      <c r="L131" s="13"/>
      <c r="M131" s="13"/>
    </row>
    <row r="132" spans="1:13" s="31" customFormat="1" x14ac:dyDescent="0.25">
      <c r="A132" s="44">
        <v>43267</v>
      </c>
      <c r="B132" s="45" t="s">
        <v>115</v>
      </c>
      <c r="C132" s="30"/>
      <c r="D132" s="46">
        <v>400000</v>
      </c>
      <c r="E132" s="5">
        <f t="shared" si="1"/>
        <v>15250467</v>
      </c>
      <c r="F132" s="47" t="s">
        <v>61</v>
      </c>
      <c r="G132" s="13"/>
      <c r="H132" s="13"/>
      <c r="I132" s="13"/>
      <c r="J132" s="13"/>
      <c r="K132" s="13"/>
      <c r="L132" s="13"/>
      <c r="M132" s="13"/>
    </row>
    <row r="133" spans="1:13" s="31" customFormat="1" x14ac:dyDescent="0.25">
      <c r="A133" s="44">
        <v>43267</v>
      </c>
      <c r="B133" s="45" t="s">
        <v>117</v>
      </c>
      <c r="C133" s="30"/>
      <c r="D133" s="46">
        <v>500000</v>
      </c>
      <c r="E133" s="5">
        <f t="shared" ref="E133:E196" si="2">+E132+C133-D133</f>
        <v>14750467</v>
      </c>
      <c r="F133" s="47" t="s">
        <v>61</v>
      </c>
      <c r="G133" s="13"/>
      <c r="H133" s="13"/>
      <c r="I133" s="13"/>
      <c r="J133" s="13"/>
      <c r="K133" s="13"/>
      <c r="L133" s="13"/>
      <c r="M133" s="13"/>
    </row>
    <row r="134" spans="1:13" s="31" customFormat="1" x14ac:dyDescent="0.25">
      <c r="A134" s="44">
        <v>43267</v>
      </c>
      <c r="B134" s="45" t="s">
        <v>116</v>
      </c>
      <c r="C134" s="30"/>
      <c r="D134" s="46">
        <v>30000</v>
      </c>
      <c r="E134" s="5">
        <f t="shared" si="2"/>
        <v>14720467</v>
      </c>
      <c r="F134" s="47" t="s">
        <v>61</v>
      </c>
      <c r="G134" s="13"/>
      <c r="H134" s="13"/>
      <c r="I134" s="13"/>
      <c r="J134" s="13"/>
      <c r="K134" s="13"/>
      <c r="L134" s="13"/>
      <c r="M134" s="13"/>
    </row>
    <row r="135" spans="1:13" s="31" customFormat="1" x14ac:dyDescent="0.25">
      <c r="A135" s="44">
        <v>43267</v>
      </c>
      <c r="B135" s="45" t="s">
        <v>167</v>
      </c>
      <c r="C135" s="30"/>
      <c r="D135" s="46">
        <v>150000</v>
      </c>
      <c r="E135" s="5">
        <f t="shared" si="2"/>
        <v>14570467</v>
      </c>
      <c r="F135" s="47" t="s">
        <v>61</v>
      </c>
      <c r="G135" s="13"/>
      <c r="H135" s="13"/>
      <c r="I135" s="13"/>
      <c r="J135" s="13"/>
      <c r="K135" s="13"/>
      <c r="L135" s="13"/>
      <c r="M135" s="13"/>
    </row>
    <row r="136" spans="1:13" s="31" customFormat="1" x14ac:dyDescent="0.25">
      <c r="A136" s="44">
        <v>43274</v>
      </c>
      <c r="B136" s="45" t="s">
        <v>138</v>
      </c>
      <c r="C136" s="30"/>
      <c r="D136" s="46">
        <v>1800000</v>
      </c>
      <c r="E136" s="5">
        <f t="shared" si="2"/>
        <v>12770467</v>
      </c>
      <c r="F136" s="47" t="s">
        <v>61</v>
      </c>
      <c r="G136" s="13"/>
      <c r="H136" s="13"/>
      <c r="I136" s="13"/>
      <c r="J136" s="13"/>
      <c r="K136" s="13"/>
      <c r="L136" s="13"/>
      <c r="M136" s="13"/>
    </row>
    <row r="137" spans="1:13" x14ac:dyDescent="0.25">
      <c r="A137" s="11">
        <v>43275</v>
      </c>
      <c r="B137" s="7" t="s">
        <v>169</v>
      </c>
      <c r="C137" s="5"/>
      <c r="D137" s="33">
        <v>1300000</v>
      </c>
      <c r="E137" s="5">
        <f t="shared" si="2"/>
        <v>11470467</v>
      </c>
      <c r="F137" s="32" t="s">
        <v>64</v>
      </c>
    </row>
    <row r="138" spans="1:13" x14ac:dyDescent="0.25">
      <c r="A138" s="11">
        <v>43276</v>
      </c>
      <c r="B138" s="7" t="s">
        <v>139</v>
      </c>
      <c r="C138" s="5"/>
      <c r="D138" s="33">
        <v>500000</v>
      </c>
      <c r="E138" s="5">
        <f t="shared" si="2"/>
        <v>10970467</v>
      </c>
      <c r="F138" s="32" t="s">
        <v>64</v>
      </c>
    </row>
    <row r="139" spans="1:13" x14ac:dyDescent="0.25">
      <c r="A139" s="11">
        <v>43276</v>
      </c>
      <c r="B139" s="7" t="s">
        <v>140</v>
      </c>
      <c r="C139" s="5"/>
      <c r="D139" s="33">
        <v>500000</v>
      </c>
      <c r="E139" s="5">
        <f t="shared" si="2"/>
        <v>10470467</v>
      </c>
      <c r="F139" s="32" t="s">
        <v>63</v>
      </c>
    </row>
    <row r="140" spans="1:13" x14ac:dyDescent="0.25">
      <c r="A140" s="11">
        <v>43276</v>
      </c>
      <c r="B140" s="7" t="s">
        <v>165</v>
      </c>
      <c r="C140" s="5"/>
      <c r="D140" s="33">
        <v>700000</v>
      </c>
      <c r="E140" s="5">
        <f t="shared" si="2"/>
        <v>9770467</v>
      </c>
      <c r="F140" s="32" t="s">
        <v>64</v>
      </c>
    </row>
    <row r="141" spans="1:13" x14ac:dyDescent="0.25">
      <c r="A141" s="11">
        <v>43281</v>
      </c>
      <c r="B141" s="7" t="s">
        <v>141</v>
      </c>
      <c r="C141" s="5"/>
      <c r="D141" s="33">
        <v>616000</v>
      </c>
      <c r="E141" s="5">
        <f t="shared" si="2"/>
        <v>9154467</v>
      </c>
      <c r="F141" s="32" t="s">
        <v>62</v>
      </c>
    </row>
    <row r="142" spans="1:13" x14ac:dyDescent="0.25">
      <c r="A142" s="11">
        <v>43281</v>
      </c>
      <c r="B142" s="7" t="s">
        <v>142</v>
      </c>
      <c r="C142" s="5"/>
      <c r="D142" s="33">
        <v>430000</v>
      </c>
      <c r="E142" s="5">
        <f t="shared" si="2"/>
        <v>8724467</v>
      </c>
      <c r="F142" s="32" t="s">
        <v>62</v>
      </c>
    </row>
    <row r="143" spans="1:13" x14ac:dyDescent="0.25">
      <c r="A143" s="11">
        <v>43281</v>
      </c>
      <c r="B143" s="41" t="s">
        <v>143</v>
      </c>
      <c r="C143" s="5"/>
      <c r="D143" s="33">
        <v>160000</v>
      </c>
      <c r="E143" s="5">
        <f t="shared" si="2"/>
        <v>8564467</v>
      </c>
      <c r="F143" s="32" t="s">
        <v>62</v>
      </c>
    </row>
    <row r="144" spans="1:13" x14ac:dyDescent="0.25">
      <c r="A144" s="11">
        <v>43281</v>
      </c>
      <c r="B144" s="103" t="s">
        <v>144</v>
      </c>
      <c r="C144" s="5"/>
      <c r="D144" s="33">
        <v>80000</v>
      </c>
      <c r="E144" s="5">
        <f t="shared" si="2"/>
        <v>8484467</v>
      </c>
      <c r="F144" s="32" t="s">
        <v>61</v>
      </c>
    </row>
    <row r="145" spans="1:6" x14ac:dyDescent="0.25">
      <c r="A145" s="11">
        <v>43288</v>
      </c>
      <c r="B145" s="41" t="s">
        <v>215</v>
      </c>
      <c r="C145" s="5"/>
      <c r="D145" s="33">
        <v>100000</v>
      </c>
      <c r="E145" s="5">
        <f t="shared" si="2"/>
        <v>8384467</v>
      </c>
      <c r="F145" s="32" t="s">
        <v>64</v>
      </c>
    </row>
    <row r="146" spans="1:6" x14ac:dyDescent="0.25">
      <c r="A146" s="11">
        <v>43288</v>
      </c>
      <c r="B146" s="41" t="s">
        <v>213</v>
      </c>
      <c r="C146" s="5"/>
      <c r="D146" s="33">
        <v>2500000</v>
      </c>
      <c r="E146" s="5">
        <f t="shared" si="2"/>
        <v>5884467</v>
      </c>
      <c r="F146" s="32" t="s">
        <v>64</v>
      </c>
    </row>
    <row r="147" spans="1:6" x14ac:dyDescent="0.25">
      <c r="A147" s="11">
        <v>43288</v>
      </c>
      <c r="B147" s="41" t="s">
        <v>214</v>
      </c>
      <c r="C147" s="5"/>
      <c r="D147" s="33">
        <v>400000</v>
      </c>
      <c r="E147" s="5">
        <f t="shared" si="2"/>
        <v>5484467</v>
      </c>
      <c r="F147" s="32" t="s">
        <v>63</v>
      </c>
    </row>
    <row r="148" spans="1:6" x14ac:dyDescent="0.25">
      <c r="A148" s="11">
        <v>43288</v>
      </c>
      <c r="B148" s="41" t="s">
        <v>216</v>
      </c>
      <c r="C148" s="5"/>
      <c r="D148" s="33">
        <v>150000</v>
      </c>
      <c r="E148" s="5">
        <f t="shared" si="2"/>
        <v>5334467</v>
      </c>
      <c r="F148" s="32" t="s">
        <v>61</v>
      </c>
    </row>
    <row r="149" spans="1:6" x14ac:dyDescent="0.25">
      <c r="A149" s="11">
        <v>43288</v>
      </c>
      <c r="B149" s="41" t="s">
        <v>390</v>
      </c>
      <c r="C149" s="5"/>
      <c r="D149" s="69">
        <v>100000</v>
      </c>
      <c r="E149" s="5">
        <f t="shared" si="2"/>
        <v>5234467</v>
      </c>
      <c r="F149" s="32" t="s">
        <v>61</v>
      </c>
    </row>
    <row r="150" spans="1:6" x14ac:dyDescent="0.25">
      <c r="A150" s="11">
        <v>43288</v>
      </c>
      <c r="B150" s="41" t="s">
        <v>217</v>
      </c>
      <c r="C150" s="5"/>
      <c r="D150" s="69">
        <v>50000</v>
      </c>
      <c r="E150" s="5">
        <f t="shared" si="2"/>
        <v>5184467</v>
      </c>
      <c r="F150" s="32" t="s">
        <v>61</v>
      </c>
    </row>
    <row r="151" spans="1:6" x14ac:dyDescent="0.25">
      <c r="A151" s="11">
        <v>43295</v>
      </c>
      <c r="B151" s="41" t="s">
        <v>141</v>
      </c>
      <c r="C151" s="5"/>
      <c r="D151" s="69">
        <v>258000</v>
      </c>
      <c r="E151" s="5">
        <f t="shared" si="2"/>
        <v>4926467</v>
      </c>
      <c r="F151" s="32" t="s">
        <v>62</v>
      </c>
    </row>
    <row r="152" spans="1:6" x14ac:dyDescent="0.25">
      <c r="A152" s="11">
        <v>43295</v>
      </c>
      <c r="B152" s="41" t="s">
        <v>218</v>
      </c>
      <c r="C152" s="5"/>
      <c r="D152" s="69">
        <v>200000</v>
      </c>
      <c r="E152" s="5">
        <f t="shared" si="2"/>
        <v>4726467</v>
      </c>
      <c r="F152" s="32" t="s">
        <v>62</v>
      </c>
    </row>
    <row r="153" spans="1:6" x14ac:dyDescent="0.25">
      <c r="A153" s="11">
        <v>43295</v>
      </c>
      <c r="B153" s="41" t="s">
        <v>219</v>
      </c>
      <c r="C153" s="5"/>
      <c r="D153" s="33">
        <v>140000</v>
      </c>
      <c r="E153" s="5">
        <f t="shared" si="2"/>
        <v>4586467</v>
      </c>
      <c r="F153" s="32" t="s">
        <v>64</v>
      </c>
    </row>
    <row r="154" spans="1:6" x14ac:dyDescent="0.25">
      <c r="A154" s="11">
        <v>43295</v>
      </c>
      <c r="B154" s="41" t="s">
        <v>220</v>
      </c>
      <c r="C154" s="5"/>
      <c r="D154" s="69">
        <v>100000</v>
      </c>
      <c r="E154" s="5">
        <f t="shared" si="2"/>
        <v>4486467</v>
      </c>
      <c r="F154" s="32" t="s">
        <v>61</v>
      </c>
    </row>
    <row r="155" spans="1:6" x14ac:dyDescent="0.25">
      <c r="A155" s="11">
        <v>43295</v>
      </c>
      <c r="B155" s="41" t="s">
        <v>219</v>
      </c>
      <c r="C155" s="5"/>
      <c r="D155" s="33">
        <v>140000</v>
      </c>
      <c r="E155" s="5">
        <f t="shared" si="2"/>
        <v>4346467</v>
      </c>
      <c r="F155" s="32" t="s">
        <v>64</v>
      </c>
    </row>
    <row r="156" spans="1:6" x14ac:dyDescent="0.25">
      <c r="A156" s="11">
        <v>43295</v>
      </c>
      <c r="B156" s="41" t="s">
        <v>221</v>
      </c>
      <c r="C156" s="5"/>
      <c r="D156" s="33">
        <v>120000</v>
      </c>
      <c r="E156" s="5">
        <f t="shared" si="2"/>
        <v>4226467</v>
      </c>
      <c r="F156" s="32" t="s">
        <v>64</v>
      </c>
    </row>
    <row r="157" spans="1:6" x14ac:dyDescent="0.25">
      <c r="A157" s="11">
        <v>43295</v>
      </c>
      <c r="B157" s="41" t="s">
        <v>222</v>
      </c>
      <c r="C157" s="5"/>
      <c r="D157" s="33">
        <v>100000</v>
      </c>
      <c r="E157" s="5">
        <f t="shared" si="2"/>
        <v>4126467</v>
      </c>
      <c r="F157" s="32" t="s">
        <v>63</v>
      </c>
    </row>
    <row r="158" spans="1:6" x14ac:dyDescent="0.25">
      <c r="A158" s="11">
        <v>43300</v>
      </c>
      <c r="B158" s="41" t="s">
        <v>223</v>
      </c>
      <c r="C158" s="5"/>
      <c r="D158" s="33">
        <v>50000</v>
      </c>
      <c r="E158" s="5">
        <f t="shared" si="2"/>
        <v>4076467</v>
      </c>
      <c r="F158" s="32" t="s">
        <v>61</v>
      </c>
    </row>
    <row r="159" spans="1:6" x14ac:dyDescent="0.25">
      <c r="A159" s="11">
        <v>43300</v>
      </c>
      <c r="B159" s="41" t="s">
        <v>224</v>
      </c>
      <c r="C159" s="5"/>
      <c r="D159" s="33">
        <v>50000</v>
      </c>
      <c r="E159" s="5">
        <f t="shared" si="2"/>
        <v>4026467</v>
      </c>
      <c r="F159" s="32" t="s">
        <v>61</v>
      </c>
    </row>
    <row r="160" spans="1:6" x14ac:dyDescent="0.25">
      <c r="A160" s="11">
        <v>43300</v>
      </c>
      <c r="B160" s="41" t="s">
        <v>222</v>
      </c>
      <c r="C160" s="5"/>
      <c r="D160" s="33">
        <v>100000</v>
      </c>
      <c r="E160" s="5">
        <f t="shared" si="2"/>
        <v>3926467</v>
      </c>
      <c r="F160" s="32" t="s">
        <v>63</v>
      </c>
    </row>
    <row r="161" spans="1:6" x14ac:dyDescent="0.25">
      <c r="A161" s="11">
        <v>43300</v>
      </c>
      <c r="B161" s="41" t="s">
        <v>225</v>
      </c>
      <c r="C161" s="5"/>
      <c r="D161" s="33">
        <v>160000</v>
      </c>
      <c r="E161" s="5">
        <f t="shared" si="2"/>
        <v>3766467</v>
      </c>
      <c r="F161" s="32" t="s">
        <v>61</v>
      </c>
    </row>
    <row r="162" spans="1:6" x14ac:dyDescent="0.25">
      <c r="A162" s="11">
        <v>43300</v>
      </c>
      <c r="B162" s="41" t="s">
        <v>226</v>
      </c>
      <c r="C162" s="5"/>
      <c r="D162" s="33">
        <v>250000</v>
      </c>
      <c r="E162" s="5">
        <f t="shared" si="2"/>
        <v>3516467</v>
      </c>
      <c r="F162" s="32" t="s">
        <v>61</v>
      </c>
    </row>
    <row r="163" spans="1:6" x14ac:dyDescent="0.25">
      <c r="A163" s="11">
        <v>43300</v>
      </c>
      <c r="B163" s="41" t="s">
        <v>227</v>
      </c>
      <c r="C163" s="5"/>
      <c r="D163" s="33">
        <v>300000</v>
      </c>
      <c r="E163" s="5">
        <f t="shared" si="2"/>
        <v>3216467</v>
      </c>
      <c r="F163" s="32" t="s">
        <v>64</v>
      </c>
    </row>
    <row r="164" spans="1:6" x14ac:dyDescent="0.25">
      <c r="A164" s="11">
        <v>43300</v>
      </c>
      <c r="B164" s="41" t="s">
        <v>222</v>
      </c>
      <c r="C164" s="5"/>
      <c r="D164" s="33">
        <v>100000</v>
      </c>
      <c r="E164" s="5">
        <f t="shared" si="2"/>
        <v>3116467</v>
      </c>
      <c r="F164" s="32" t="s">
        <v>63</v>
      </c>
    </row>
    <row r="165" spans="1:6" x14ac:dyDescent="0.25">
      <c r="A165" s="11">
        <v>43300</v>
      </c>
      <c r="B165" s="41" t="s">
        <v>228</v>
      </c>
      <c r="C165" s="5"/>
      <c r="D165" s="33">
        <v>830000</v>
      </c>
      <c r="E165" s="5">
        <f t="shared" si="2"/>
        <v>2286467</v>
      </c>
      <c r="F165" s="32" t="s">
        <v>61</v>
      </c>
    </row>
    <row r="166" spans="1:6" x14ac:dyDescent="0.25">
      <c r="A166" s="11">
        <v>43300</v>
      </c>
      <c r="B166" s="41" t="s">
        <v>500</v>
      </c>
      <c r="C166" s="5"/>
      <c r="D166" s="33">
        <v>200000</v>
      </c>
      <c r="E166" s="5">
        <f t="shared" si="2"/>
        <v>2086467</v>
      </c>
      <c r="F166" s="32" t="s">
        <v>61</v>
      </c>
    </row>
    <row r="167" spans="1:6" x14ac:dyDescent="0.25">
      <c r="A167" s="11">
        <v>43300</v>
      </c>
      <c r="B167" s="41" t="s">
        <v>229</v>
      </c>
      <c r="C167" s="5"/>
      <c r="D167" s="33">
        <v>140000</v>
      </c>
      <c r="E167" s="5">
        <f t="shared" si="2"/>
        <v>1946467</v>
      </c>
      <c r="F167" s="32" t="s">
        <v>64</v>
      </c>
    </row>
    <row r="168" spans="1:6" x14ac:dyDescent="0.25">
      <c r="A168" s="11">
        <v>43300</v>
      </c>
      <c r="B168" s="41" t="s">
        <v>59</v>
      </c>
      <c r="C168" s="5"/>
      <c r="D168" s="33">
        <v>120000</v>
      </c>
      <c r="E168" s="5">
        <f t="shared" si="2"/>
        <v>1826467</v>
      </c>
      <c r="F168" s="32" t="s">
        <v>64</v>
      </c>
    </row>
    <row r="169" spans="1:6" x14ac:dyDescent="0.25">
      <c r="A169" s="11">
        <v>43300</v>
      </c>
      <c r="B169" s="41" t="s">
        <v>230</v>
      </c>
      <c r="C169" s="5"/>
      <c r="D169" s="33">
        <v>75000</v>
      </c>
      <c r="E169" s="5">
        <f t="shared" si="2"/>
        <v>1751467</v>
      </c>
      <c r="F169" s="32" t="s">
        <v>62</v>
      </c>
    </row>
    <row r="170" spans="1:6" x14ac:dyDescent="0.25">
      <c r="A170" s="11">
        <v>43300</v>
      </c>
      <c r="B170" s="41" t="s">
        <v>219</v>
      </c>
      <c r="C170" s="5"/>
      <c r="D170" s="33">
        <v>100000</v>
      </c>
      <c r="E170" s="5">
        <f t="shared" si="2"/>
        <v>1651467</v>
      </c>
      <c r="F170" s="32" t="s">
        <v>64</v>
      </c>
    </row>
    <row r="171" spans="1:6" x14ac:dyDescent="0.25">
      <c r="A171" s="11">
        <v>43300</v>
      </c>
      <c r="B171" s="41" t="s">
        <v>231</v>
      </c>
      <c r="C171" s="5"/>
      <c r="D171" s="33">
        <v>650000</v>
      </c>
      <c r="E171" s="5">
        <f t="shared" si="2"/>
        <v>1001467</v>
      </c>
      <c r="F171" s="32" t="s">
        <v>64</v>
      </c>
    </row>
    <row r="172" spans="1:6" x14ac:dyDescent="0.25">
      <c r="A172" s="11">
        <v>43300</v>
      </c>
      <c r="B172" s="41" t="s">
        <v>232</v>
      </c>
      <c r="C172" s="5"/>
      <c r="D172" s="33">
        <v>60000</v>
      </c>
      <c r="E172" s="5">
        <f t="shared" si="2"/>
        <v>941467</v>
      </c>
      <c r="F172" s="32" t="s">
        <v>61</v>
      </c>
    </row>
    <row r="173" spans="1:6" x14ac:dyDescent="0.25">
      <c r="A173" s="11">
        <v>43300</v>
      </c>
      <c r="B173" s="41" t="s">
        <v>267</v>
      </c>
      <c r="C173" s="5"/>
      <c r="D173" s="33">
        <v>1000000</v>
      </c>
      <c r="E173" s="5">
        <f t="shared" si="2"/>
        <v>-58533</v>
      </c>
      <c r="F173" s="32" t="s">
        <v>64</v>
      </c>
    </row>
    <row r="174" spans="1:6" x14ac:dyDescent="0.25">
      <c r="A174" s="11">
        <v>43333</v>
      </c>
      <c r="B174" s="41" t="s">
        <v>309</v>
      </c>
      <c r="C174" s="5"/>
      <c r="D174" s="33">
        <v>600000</v>
      </c>
      <c r="E174" s="5">
        <f t="shared" si="2"/>
        <v>-658533</v>
      </c>
      <c r="F174" s="32" t="s">
        <v>64</v>
      </c>
    </row>
    <row r="175" spans="1:6" x14ac:dyDescent="0.25">
      <c r="A175" s="11">
        <v>43333</v>
      </c>
      <c r="B175" s="41" t="s">
        <v>283</v>
      </c>
      <c r="C175" s="5">
        <v>1300000</v>
      </c>
      <c r="D175" s="33">
        <v>0</v>
      </c>
      <c r="E175" s="5">
        <f t="shared" si="2"/>
        <v>641467</v>
      </c>
      <c r="F175" s="32" t="s">
        <v>294</v>
      </c>
    </row>
    <row r="176" spans="1:6" x14ac:dyDescent="0.25">
      <c r="A176" s="11">
        <v>43333</v>
      </c>
      <c r="B176" s="41" t="s">
        <v>284</v>
      </c>
      <c r="C176" s="5"/>
      <c r="D176" s="33">
        <v>1000000</v>
      </c>
      <c r="E176" s="5">
        <f t="shared" si="2"/>
        <v>-358533</v>
      </c>
      <c r="F176" s="32" t="s">
        <v>64</v>
      </c>
    </row>
    <row r="177" spans="1:13" ht="15.75" customHeight="1" x14ac:dyDescent="0.25">
      <c r="A177" s="11">
        <v>43349</v>
      </c>
      <c r="B177" s="41" t="s">
        <v>286</v>
      </c>
      <c r="C177" s="5"/>
      <c r="D177" s="33">
        <v>87988</v>
      </c>
      <c r="E177" s="5">
        <f t="shared" si="2"/>
        <v>-446521</v>
      </c>
      <c r="F177" s="32" t="s">
        <v>62</v>
      </c>
    </row>
    <row r="178" spans="1:13" ht="15.75" customHeight="1" x14ac:dyDescent="0.25">
      <c r="A178" s="11">
        <v>43349</v>
      </c>
      <c r="B178" s="41" t="s">
        <v>286</v>
      </c>
      <c r="C178" s="5"/>
      <c r="D178" s="33">
        <v>9475</v>
      </c>
      <c r="E178" s="5">
        <f t="shared" si="2"/>
        <v>-455996</v>
      </c>
      <c r="F178" s="32" t="s">
        <v>62</v>
      </c>
    </row>
    <row r="179" spans="1:13" ht="15.75" customHeight="1" x14ac:dyDescent="0.25">
      <c r="A179" s="11">
        <v>43349</v>
      </c>
      <c r="B179" s="41" t="s">
        <v>287</v>
      </c>
      <c r="C179" s="5"/>
      <c r="D179" s="33">
        <v>24000</v>
      </c>
      <c r="E179" s="5">
        <f t="shared" si="2"/>
        <v>-479996</v>
      </c>
      <c r="F179" s="32" t="s">
        <v>62</v>
      </c>
    </row>
    <row r="180" spans="1:13" ht="15.75" customHeight="1" x14ac:dyDescent="0.25">
      <c r="A180" s="11">
        <v>43349</v>
      </c>
      <c r="B180" s="41" t="s">
        <v>285</v>
      </c>
      <c r="C180" s="5"/>
      <c r="D180" s="33">
        <v>80000</v>
      </c>
      <c r="E180" s="5">
        <f t="shared" si="2"/>
        <v>-559996</v>
      </c>
      <c r="F180" s="32" t="s">
        <v>64</v>
      </c>
      <c r="G180" s="84"/>
      <c r="I180" s="84"/>
      <c r="K180" s="84"/>
      <c r="M180" s="84"/>
    </row>
    <row r="181" spans="1:13" ht="15.75" customHeight="1" x14ac:dyDescent="0.25">
      <c r="A181" s="11">
        <v>43357</v>
      </c>
      <c r="B181" s="41" t="s">
        <v>307</v>
      </c>
      <c r="C181" s="5"/>
      <c r="D181" s="33">
        <v>130000</v>
      </c>
      <c r="E181" s="5">
        <f t="shared" si="2"/>
        <v>-689996</v>
      </c>
      <c r="F181" s="32" t="s">
        <v>64</v>
      </c>
      <c r="G181" s="84"/>
      <c r="I181" s="84"/>
      <c r="K181" s="84"/>
      <c r="M181" s="84"/>
    </row>
    <row r="182" spans="1:13" ht="15.75" customHeight="1" x14ac:dyDescent="0.25">
      <c r="A182" s="11">
        <v>43357</v>
      </c>
      <c r="B182" s="87" t="s">
        <v>311</v>
      </c>
      <c r="C182" s="5"/>
      <c r="D182" s="33">
        <v>550000</v>
      </c>
      <c r="E182" s="5">
        <f t="shared" si="2"/>
        <v>-1239996</v>
      </c>
      <c r="F182" s="32" t="s">
        <v>64</v>
      </c>
      <c r="G182" s="84"/>
      <c r="I182" s="84"/>
      <c r="K182" s="84"/>
      <c r="M182" s="84"/>
    </row>
    <row r="183" spans="1:13" ht="15.75" customHeight="1" x14ac:dyDescent="0.25">
      <c r="A183" s="11">
        <v>43357</v>
      </c>
      <c r="B183" s="41" t="s">
        <v>308</v>
      </c>
      <c r="C183" s="5"/>
      <c r="D183" s="33">
        <v>250000</v>
      </c>
      <c r="E183" s="5">
        <f t="shared" si="2"/>
        <v>-1489996</v>
      </c>
      <c r="F183" s="32" t="s">
        <v>64</v>
      </c>
      <c r="G183" s="85"/>
      <c r="I183" s="85"/>
      <c r="K183" s="85"/>
      <c r="M183" s="85"/>
    </row>
    <row r="184" spans="1:13" ht="15.75" customHeight="1" x14ac:dyDescent="0.25">
      <c r="A184" s="11">
        <v>43357</v>
      </c>
      <c r="B184" s="41" t="s">
        <v>312</v>
      </c>
      <c r="C184" s="5"/>
      <c r="D184" s="33">
        <v>70000</v>
      </c>
      <c r="E184" s="5">
        <f t="shared" si="2"/>
        <v>-1559996</v>
      </c>
      <c r="F184" s="32" t="s">
        <v>64</v>
      </c>
      <c r="G184" s="85"/>
      <c r="I184" s="85"/>
      <c r="K184" s="85"/>
      <c r="M184" s="85"/>
    </row>
    <row r="185" spans="1:13" ht="15.75" customHeight="1" x14ac:dyDescent="0.25">
      <c r="A185" s="11">
        <v>43369</v>
      </c>
      <c r="B185" s="41" t="s">
        <v>314</v>
      </c>
      <c r="C185" s="5"/>
      <c r="D185" s="33">
        <v>5500</v>
      </c>
      <c r="E185" s="5">
        <f t="shared" si="2"/>
        <v>-1565496</v>
      </c>
      <c r="F185" s="32" t="s">
        <v>62</v>
      </c>
    </row>
    <row r="186" spans="1:13" ht="15.75" customHeight="1" x14ac:dyDescent="0.25">
      <c r="A186" s="11">
        <v>43373</v>
      </c>
      <c r="B186" s="41" t="s">
        <v>343</v>
      </c>
      <c r="C186" s="5"/>
      <c r="D186" s="33">
        <v>1000000</v>
      </c>
      <c r="E186" s="5">
        <f t="shared" si="2"/>
        <v>-2565496</v>
      </c>
      <c r="F186" s="32" t="s">
        <v>64</v>
      </c>
      <c r="G186" s="85"/>
      <c r="I186" s="85"/>
      <c r="K186" s="85"/>
      <c r="M186" s="85"/>
    </row>
    <row r="187" spans="1:13" ht="15.75" customHeight="1" x14ac:dyDescent="0.25">
      <c r="A187" s="11">
        <v>43373</v>
      </c>
      <c r="B187" s="41" t="s">
        <v>344</v>
      </c>
      <c r="C187" s="5"/>
      <c r="D187" s="33">
        <v>450000</v>
      </c>
      <c r="E187" s="5">
        <f t="shared" si="2"/>
        <v>-3015496</v>
      </c>
      <c r="F187" s="32" t="s">
        <v>64</v>
      </c>
      <c r="G187" s="85"/>
      <c r="I187" s="85"/>
      <c r="K187" s="85"/>
      <c r="M187" s="85"/>
    </row>
    <row r="188" spans="1:13" ht="15.75" customHeight="1" x14ac:dyDescent="0.25">
      <c r="A188" s="11">
        <v>43373</v>
      </c>
      <c r="B188" s="41" t="s">
        <v>342</v>
      </c>
      <c r="C188" s="5"/>
      <c r="D188" s="33">
        <v>500000</v>
      </c>
      <c r="E188" s="5">
        <f t="shared" si="2"/>
        <v>-3515496</v>
      </c>
      <c r="F188" s="32" t="s">
        <v>64</v>
      </c>
      <c r="G188" s="85"/>
      <c r="I188" s="85"/>
      <c r="K188" s="85"/>
      <c r="M188" s="85"/>
    </row>
    <row r="189" spans="1:13" ht="15.75" customHeight="1" x14ac:dyDescent="0.25">
      <c r="A189" s="11">
        <v>43373</v>
      </c>
      <c r="B189" s="41" t="s">
        <v>345</v>
      </c>
      <c r="C189" s="5"/>
      <c r="D189" s="33">
        <v>200000</v>
      </c>
      <c r="E189" s="5">
        <f t="shared" si="2"/>
        <v>-3715496</v>
      </c>
      <c r="F189" s="32" t="s">
        <v>346</v>
      </c>
      <c r="G189" s="85"/>
      <c r="I189" s="85"/>
      <c r="K189" s="85"/>
      <c r="M189" s="85"/>
    </row>
    <row r="190" spans="1:13" ht="15.75" customHeight="1" x14ac:dyDescent="0.25">
      <c r="A190" s="11">
        <v>43373</v>
      </c>
      <c r="B190" s="41" t="s">
        <v>347</v>
      </c>
      <c r="C190" s="5"/>
      <c r="D190" s="33">
        <v>100000</v>
      </c>
      <c r="E190" s="5">
        <f t="shared" si="2"/>
        <v>-3815496</v>
      </c>
      <c r="F190" s="32" t="s">
        <v>351</v>
      </c>
      <c r="G190" s="85"/>
      <c r="I190" s="85"/>
      <c r="K190" s="85"/>
      <c r="M190" s="85"/>
    </row>
    <row r="191" spans="1:13" ht="15.75" customHeight="1" x14ac:dyDescent="0.25">
      <c r="A191" s="11">
        <v>43373</v>
      </c>
      <c r="B191" s="41" t="s">
        <v>354</v>
      </c>
      <c r="C191" s="5"/>
      <c r="D191" s="33">
        <v>116000</v>
      </c>
      <c r="E191" s="5">
        <f t="shared" si="2"/>
        <v>-3931496</v>
      </c>
      <c r="F191" s="32" t="s">
        <v>351</v>
      </c>
      <c r="G191" s="85"/>
      <c r="I191" s="85"/>
      <c r="K191" s="85"/>
      <c r="M191" s="85"/>
    </row>
    <row r="192" spans="1:13" ht="15.75" customHeight="1" x14ac:dyDescent="0.25">
      <c r="A192" s="11">
        <v>43373</v>
      </c>
      <c r="B192" s="41" t="s">
        <v>350</v>
      </c>
      <c r="C192" s="5"/>
      <c r="D192" s="33">
        <v>20000</v>
      </c>
      <c r="E192" s="5">
        <f t="shared" si="2"/>
        <v>-3951496</v>
      </c>
      <c r="F192" s="32" t="s">
        <v>62</v>
      </c>
      <c r="G192" s="85"/>
      <c r="I192" s="85"/>
      <c r="K192" s="85"/>
      <c r="M192" s="85"/>
    </row>
    <row r="193" spans="1:13" ht="15.75" customHeight="1" x14ac:dyDescent="0.25">
      <c r="A193" s="11">
        <v>43373</v>
      </c>
      <c r="B193" s="41" t="s">
        <v>348</v>
      </c>
      <c r="C193" s="5">
        <v>3000000</v>
      </c>
      <c r="D193" s="33">
        <v>0</v>
      </c>
      <c r="E193" s="5">
        <f t="shared" si="2"/>
        <v>-951496</v>
      </c>
      <c r="F193" s="32" t="s">
        <v>349</v>
      </c>
      <c r="G193" s="85"/>
      <c r="I193" s="85"/>
      <c r="K193" s="85"/>
      <c r="M193" s="85"/>
    </row>
    <row r="194" spans="1:13" ht="15.75" customHeight="1" x14ac:dyDescent="0.25">
      <c r="A194" s="11">
        <v>43373</v>
      </c>
      <c r="B194" s="41" t="s">
        <v>355</v>
      </c>
      <c r="C194" s="5">
        <v>1300000</v>
      </c>
      <c r="D194" s="33">
        <v>0</v>
      </c>
      <c r="E194" s="5">
        <f t="shared" si="2"/>
        <v>348504</v>
      </c>
      <c r="F194" s="32" t="s">
        <v>294</v>
      </c>
      <c r="G194" s="85"/>
      <c r="I194" s="85"/>
      <c r="K194" s="85"/>
      <c r="M194" s="85"/>
    </row>
    <row r="195" spans="1:13" ht="15.75" customHeight="1" x14ac:dyDescent="0.25">
      <c r="A195" s="11">
        <v>43374</v>
      </c>
      <c r="B195" s="41" t="s">
        <v>370</v>
      </c>
      <c r="C195" s="5">
        <v>9000000</v>
      </c>
      <c r="D195" s="33">
        <v>0</v>
      </c>
      <c r="E195" s="5">
        <f t="shared" si="2"/>
        <v>9348504</v>
      </c>
      <c r="F195" s="32" t="s">
        <v>371</v>
      </c>
      <c r="G195" s="85"/>
      <c r="I195" s="85"/>
      <c r="K195" s="85"/>
      <c r="M195" s="85"/>
    </row>
    <row r="196" spans="1:13" ht="15.75" customHeight="1" x14ac:dyDescent="0.25">
      <c r="A196" s="11">
        <v>43374</v>
      </c>
      <c r="B196" s="41" t="s">
        <v>356</v>
      </c>
      <c r="C196" s="5"/>
      <c r="D196" s="33">
        <v>218000</v>
      </c>
      <c r="E196" s="5">
        <f t="shared" si="2"/>
        <v>9130504</v>
      </c>
      <c r="F196" s="32" t="s">
        <v>351</v>
      </c>
      <c r="G196" s="85"/>
      <c r="K196" s="85"/>
      <c r="M196" s="85"/>
    </row>
    <row r="197" spans="1:13" ht="15.75" customHeight="1" x14ac:dyDescent="0.25">
      <c r="A197" s="11">
        <v>43374</v>
      </c>
      <c r="B197" s="41" t="s">
        <v>357</v>
      </c>
      <c r="C197" s="5"/>
      <c r="D197" s="33">
        <v>602000</v>
      </c>
      <c r="E197" s="5">
        <f t="shared" ref="E197:E260" si="3">+E196+C197-D197</f>
        <v>8528504</v>
      </c>
      <c r="F197" s="32" t="s">
        <v>351</v>
      </c>
      <c r="G197" s="85"/>
      <c r="I197" s="85"/>
      <c r="K197" s="85"/>
      <c r="M197" s="85"/>
    </row>
    <row r="198" spans="1:13" ht="15.75" customHeight="1" x14ac:dyDescent="0.25">
      <c r="A198" s="11">
        <v>43374</v>
      </c>
      <c r="B198" s="41" t="s">
        <v>358</v>
      </c>
      <c r="C198" s="5"/>
      <c r="D198" s="33">
        <v>50000</v>
      </c>
      <c r="E198" s="5">
        <f t="shared" si="3"/>
        <v>8478504</v>
      </c>
      <c r="F198" s="32" t="s">
        <v>351</v>
      </c>
      <c r="G198" s="85"/>
      <c r="I198" s="85"/>
      <c r="K198" s="85"/>
      <c r="M198" s="85"/>
    </row>
    <row r="199" spans="1:13" ht="15.75" customHeight="1" x14ac:dyDescent="0.25">
      <c r="A199" s="11">
        <v>43374</v>
      </c>
      <c r="B199" s="41" t="s">
        <v>359</v>
      </c>
      <c r="C199" s="5"/>
      <c r="D199" s="33">
        <v>272400</v>
      </c>
      <c r="E199" s="5">
        <f t="shared" si="3"/>
        <v>8206104</v>
      </c>
      <c r="F199" s="32" t="s">
        <v>351</v>
      </c>
      <c r="G199" s="85"/>
      <c r="I199" s="85"/>
      <c r="K199" s="85"/>
      <c r="M199" s="85"/>
    </row>
    <row r="200" spans="1:13" ht="15.75" customHeight="1" x14ac:dyDescent="0.25">
      <c r="A200" s="11">
        <v>43374</v>
      </c>
      <c r="B200" s="41" t="s">
        <v>360</v>
      </c>
      <c r="C200" s="5"/>
      <c r="D200" s="33">
        <v>217000</v>
      </c>
      <c r="E200" s="5">
        <f t="shared" si="3"/>
        <v>7989104</v>
      </c>
      <c r="F200" s="32" t="s">
        <v>351</v>
      </c>
      <c r="G200" s="85"/>
      <c r="I200" s="85"/>
      <c r="K200" s="85"/>
      <c r="M200" s="85"/>
    </row>
    <row r="201" spans="1:13" ht="15.75" customHeight="1" x14ac:dyDescent="0.25">
      <c r="A201" s="11">
        <v>43374</v>
      </c>
      <c r="B201" s="41" t="s">
        <v>364</v>
      </c>
      <c r="C201" s="5"/>
      <c r="D201" s="33">
        <v>11000</v>
      </c>
      <c r="E201" s="5">
        <f t="shared" si="3"/>
        <v>7978104</v>
      </c>
      <c r="F201" s="32" t="s">
        <v>64</v>
      </c>
      <c r="G201" s="85"/>
      <c r="I201" s="85"/>
      <c r="K201" s="85"/>
      <c r="M201" s="85"/>
    </row>
    <row r="202" spans="1:13" ht="15.75" customHeight="1" x14ac:dyDescent="0.25">
      <c r="A202" s="11">
        <v>43375</v>
      </c>
      <c r="B202" s="41" t="s">
        <v>369</v>
      </c>
      <c r="C202" s="5"/>
      <c r="D202" s="33">
        <v>218000</v>
      </c>
      <c r="E202" s="5">
        <f t="shared" si="3"/>
        <v>7760104</v>
      </c>
      <c r="F202" s="32" t="s">
        <v>351</v>
      </c>
      <c r="G202" s="85"/>
      <c r="I202" s="85"/>
      <c r="K202" s="85"/>
      <c r="M202" s="85"/>
    </row>
    <row r="203" spans="1:13" ht="15.75" customHeight="1" x14ac:dyDescent="0.25">
      <c r="A203" s="11">
        <v>43375</v>
      </c>
      <c r="B203" s="41" t="s">
        <v>368</v>
      </c>
      <c r="C203" s="5"/>
      <c r="D203" s="33">
        <v>72000</v>
      </c>
      <c r="E203" s="5">
        <f t="shared" si="3"/>
        <v>7688104</v>
      </c>
      <c r="F203" s="32" t="s">
        <v>64</v>
      </c>
      <c r="G203" s="85"/>
      <c r="I203" s="85"/>
      <c r="K203" s="85"/>
      <c r="M203" s="85"/>
    </row>
    <row r="204" spans="1:13" ht="15.75" customHeight="1" x14ac:dyDescent="0.25">
      <c r="A204" s="11">
        <v>43376</v>
      </c>
      <c r="B204" s="87" t="s">
        <v>365</v>
      </c>
      <c r="C204" s="5"/>
      <c r="D204" s="33">
        <v>1423000</v>
      </c>
      <c r="E204" s="5">
        <f t="shared" si="3"/>
        <v>6265104</v>
      </c>
      <c r="F204" s="32" t="s">
        <v>351</v>
      </c>
      <c r="G204" s="85"/>
      <c r="I204" s="85"/>
      <c r="K204" s="85"/>
      <c r="M204" s="85"/>
    </row>
    <row r="205" spans="1:13" ht="15.75" customHeight="1" x14ac:dyDescent="0.25">
      <c r="A205" s="11">
        <v>43376</v>
      </c>
      <c r="B205" s="87" t="s">
        <v>366</v>
      </c>
      <c r="C205" s="5"/>
      <c r="D205" s="33">
        <v>577000</v>
      </c>
      <c r="E205" s="5">
        <f t="shared" si="3"/>
        <v>5688104</v>
      </c>
      <c r="F205" s="32" t="s">
        <v>64</v>
      </c>
      <c r="G205" s="85"/>
      <c r="I205" s="85"/>
      <c r="K205" s="85"/>
      <c r="M205" s="85"/>
    </row>
    <row r="206" spans="1:13" ht="15.75" customHeight="1" x14ac:dyDescent="0.25">
      <c r="A206" s="11">
        <v>43376</v>
      </c>
      <c r="B206" s="87" t="s">
        <v>367</v>
      </c>
      <c r="C206" s="5"/>
      <c r="D206" s="33">
        <v>35000</v>
      </c>
      <c r="E206" s="5">
        <f t="shared" si="3"/>
        <v>5653104</v>
      </c>
      <c r="F206" s="32" t="s">
        <v>64</v>
      </c>
      <c r="G206" s="85"/>
      <c r="I206" s="85"/>
      <c r="K206" s="85"/>
      <c r="M206" s="85"/>
    </row>
    <row r="207" spans="1:13" ht="15.75" customHeight="1" x14ac:dyDescent="0.25">
      <c r="A207" s="11">
        <v>43376</v>
      </c>
      <c r="B207" s="87" t="s">
        <v>369</v>
      </c>
      <c r="C207" s="5"/>
      <c r="D207" s="33">
        <v>250000</v>
      </c>
      <c r="E207" s="5">
        <f t="shared" si="3"/>
        <v>5403104</v>
      </c>
      <c r="F207" s="32" t="s">
        <v>351</v>
      </c>
      <c r="G207" s="85"/>
      <c r="I207" s="85"/>
      <c r="K207" s="85"/>
      <c r="M207" s="85"/>
    </row>
    <row r="208" spans="1:13" ht="15.75" customHeight="1" x14ac:dyDescent="0.25">
      <c r="A208" s="11">
        <v>43376</v>
      </c>
      <c r="B208" s="87" t="s">
        <v>369</v>
      </c>
      <c r="C208" s="5"/>
      <c r="D208" s="33">
        <v>500000</v>
      </c>
      <c r="E208" s="5">
        <f t="shared" si="3"/>
        <v>4903104</v>
      </c>
      <c r="F208" s="32" t="s">
        <v>351</v>
      </c>
      <c r="G208" s="85"/>
      <c r="I208" s="85"/>
      <c r="K208" s="85"/>
      <c r="M208" s="85"/>
    </row>
    <row r="209" spans="1:13" ht="15.75" customHeight="1" x14ac:dyDescent="0.25">
      <c r="A209" s="11">
        <v>43376</v>
      </c>
      <c r="B209" s="87" t="s">
        <v>369</v>
      </c>
      <c r="C209" s="5"/>
      <c r="D209" s="33">
        <v>100000</v>
      </c>
      <c r="E209" s="5">
        <f t="shared" si="3"/>
        <v>4803104</v>
      </c>
      <c r="F209" s="32" t="s">
        <v>351</v>
      </c>
      <c r="G209" s="85"/>
      <c r="I209" s="85"/>
      <c r="K209" s="85"/>
      <c r="M209" s="85"/>
    </row>
    <row r="210" spans="1:13" ht="15.75" customHeight="1" x14ac:dyDescent="0.25">
      <c r="A210" s="11">
        <v>43376</v>
      </c>
      <c r="B210" s="87" t="s">
        <v>374</v>
      </c>
      <c r="C210" s="5"/>
      <c r="D210" s="33">
        <v>140000</v>
      </c>
      <c r="E210" s="5">
        <f t="shared" si="3"/>
        <v>4663104</v>
      </c>
      <c r="F210" s="32" t="s">
        <v>64</v>
      </c>
      <c r="G210" s="85"/>
      <c r="I210" s="85"/>
      <c r="K210" s="85"/>
      <c r="M210" s="85"/>
    </row>
    <row r="211" spans="1:13" ht="15.75" customHeight="1" x14ac:dyDescent="0.25">
      <c r="A211" s="11">
        <v>43376</v>
      </c>
      <c r="B211" s="87" t="s">
        <v>372</v>
      </c>
      <c r="C211" s="5"/>
      <c r="D211" s="33">
        <v>500000</v>
      </c>
      <c r="E211" s="5">
        <f t="shared" si="3"/>
        <v>4163104</v>
      </c>
      <c r="F211" s="32" t="s">
        <v>373</v>
      </c>
      <c r="G211" s="85"/>
      <c r="I211" s="85"/>
      <c r="K211" s="85"/>
      <c r="M211" s="85"/>
    </row>
    <row r="212" spans="1:13" ht="15.75" customHeight="1" x14ac:dyDescent="0.25">
      <c r="A212" s="11">
        <v>43376</v>
      </c>
      <c r="B212" s="87" t="s">
        <v>375</v>
      </c>
      <c r="C212" s="5"/>
      <c r="D212" s="33">
        <v>60000</v>
      </c>
      <c r="E212" s="5">
        <f t="shared" si="3"/>
        <v>4103104</v>
      </c>
      <c r="F212" s="32" t="s">
        <v>351</v>
      </c>
      <c r="G212" s="85"/>
      <c r="I212" s="85"/>
      <c r="K212" s="85"/>
      <c r="M212" s="85"/>
    </row>
    <row r="213" spans="1:13" ht="15.75" customHeight="1" x14ac:dyDescent="0.25">
      <c r="A213" s="11">
        <v>43376</v>
      </c>
      <c r="B213" s="87" t="s">
        <v>376</v>
      </c>
      <c r="C213" s="5"/>
      <c r="D213" s="33">
        <v>35000</v>
      </c>
      <c r="E213" s="5">
        <f t="shared" si="3"/>
        <v>4068104</v>
      </c>
      <c r="F213" s="32" t="s">
        <v>373</v>
      </c>
      <c r="G213" s="85"/>
      <c r="I213" s="85"/>
      <c r="K213" s="85"/>
      <c r="M213" s="85"/>
    </row>
    <row r="214" spans="1:13" ht="15.75" customHeight="1" x14ac:dyDescent="0.25">
      <c r="A214" s="11">
        <v>43376</v>
      </c>
      <c r="B214" s="87" t="s">
        <v>377</v>
      </c>
      <c r="C214" s="5"/>
      <c r="D214" s="33">
        <v>50000</v>
      </c>
      <c r="E214" s="5">
        <f t="shared" si="3"/>
        <v>4018104</v>
      </c>
      <c r="F214" s="32" t="s">
        <v>373</v>
      </c>
      <c r="G214" s="85"/>
      <c r="I214" s="85"/>
      <c r="K214" s="85"/>
      <c r="M214" s="85"/>
    </row>
    <row r="215" spans="1:13" ht="15.75" customHeight="1" x14ac:dyDescent="0.25">
      <c r="A215" s="11">
        <v>43379</v>
      </c>
      <c r="B215" s="101" t="s">
        <v>472</v>
      </c>
      <c r="C215" s="5"/>
      <c r="D215" s="33">
        <v>400000</v>
      </c>
      <c r="E215" s="5">
        <f t="shared" si="3"/>
        <v>3618104</v>
      </c>
      <c r="F215" s="32" t="s">
        <v>351</v>
      </c>
      <c r="G215" s="85"/>
      <c r="I215" s="85"/>
      <c r="K215" s="85"/>
      <c r="M215" s="85"/>
    </row>
    <row r="216" spans="1:13" ht="15.75" customHeight="1" x14ac:dyDescent="0.25">
      <c r="A216" s="11">
        <v>43379</v>
      </c>
      <c r="B216" s="101" t="s">
        <v>420</v>
      </c>
      <c r="C216" s="5"/>
      <c r="D216" s="33">
        <v>200000</v>
      </c>
      <c r="E216" s="5">
        <f t="shared" si="3"/>
        <v>3418104</v>
      </c>
      <c r="F216" s="32" t="s">
        <v>64</v>
      </c>
      <c r="G216" s="85"/>
      <c r="I216" s="85"/>
      <c r="K216" s="85"/>
      <c r="M216" s="85"/>
    </row>
    <row r="217" spans="1:13" ht="15.75" customHeight="1" x14ac:dyDescent="0.25">
      <c r="A217" s="11">
        <v>43379</v>
      </c>
      <c r="B217" s="87" t="s">
        <v>378</v>
      </c>
      <c r="C217" s="5"/>
      <c r="D217" s="33">
        <v>450000</v>
      </c>
      <c r="E217" s="5">
        <f t="shared" si="3"/>
        <v>2968104</v>
      </c>
      <c r="F217" s="32" t="s">
        <v>64</v>
      </c>
      <c r="G217" s="85"/>
      <c r="I217" s="85"/>
      <c r="K217" s="85"/>
      <c r="M217" s="85"/>
    </row>
    <row r="218" spans="1:13" ht="15.75" customHeight="1" x14ac:dyDescent="0.25">
      <c r="A218" s="11">
        <v>43379</v>
      </c>
      <c r="B218" s="101" t="s">
        <v>379</v>
      </c>
      <c r="C218" s="5"/>
      <c r="D218" s="33">
        <v>100000</v>
      </c>
      <c r="E218" s="5">
        <f t="shared" si="3"/>
        <v>2868104</v>
      </c>
      <c r="F218" s="32" t="s">
        <v>351</v>
      </c>
      <c r="G218" s="85"/>
      <c r="I218" s="85"/>
      <c r="K218" s="85"/>
      <c r="M218" s="85"/>
    </row>
    <row r="219" spans="1:13" ht="15.75" customHeight="1" x14ac:dyDescent="0.25">
      <c r="A219" s="11">
        <v>43379</v>
      </c>
      <c r="B219" s="87" t="s">
        <v>380</v>
      </c>
      <c r="C219" s="5"/>
      <c r="D219" s="33">
        <v>120000</v>
      </c>
      <c r="E219" s="5">
        <f t="shared" si="3"/>
        <v>2748104</v>
      </c>
      <c r="F219" s="32" t="s">
        <v>62</v>
      </c>
      <c r="G219" s="85"/>
      <c r="I219" s="85"/>
      <c r="K219" s="85"/>
      <c r="M219" s="85"/>
    </row>
    <row r="220" spans="1:13" ht="15.75" customHeight="1" x14ac:dyDescent="0.25">
      <c r="A220" s="11">
        <v>43379</v>
      </c>
      <c r="B220" s="87" t="s">
        <v>382</v>
      </c>
      <c r="C220" s="5"/>
      <c r="D220" s="33">
        <v>700000</v>
      </c>
      <c r="E220" s="5">
        <f t="shared" si="3"/>
        <v>2048104</v>
      </c>
      <c r="F220" s="32" t="s">
        <v>62</v>
      </c>
      <c r="G220" s="85"/>
      <c r="I220" s="85"/>
      <c r="K220" s="85"/>
      <c r="M220" s="85"/>
    </row>
    <row r="221" spans="1:13" ht="15.75" customHeight="1" x14ac:dyDescent="0.25">
      <c r="A221" s="11">
        <v>43379</v>
      </c>
      <c r="B221" s="87" t="s">
        <v>383</v>
      </c>
      <c r="C221" s="5"/>
      <c r="D221" s="33">
        <v>56000</v>
      </c>
      <c r="E221" s="5">
        <f t="shared" si="3"/>
        <v>1992104</v>
      </c>
      <c r="F221" s="32" t="s">
        <v>62</v>
      </c>
      <c r="G221" s="85"/>
      <c r="I221" s="85"/>
      <c r="K221" s="85"/>
      <c r="M221" s="85"/>
    </row>
    <row r="222" spans="1:13" ht="15.75" customHeight="1" x14ac:dyDescent="0.25">
      <c r="A222" s="11">
        <v>43379</v>
      </c>
      <c r="B222" s="87" t="s">
        <v>381</v>
      </c>
      <c r="C222" s="5"/>
      <c r="D222" s="33">
        <v>180000</v>
      </c>
      <c r="E222" s="5">
        <f t="shared" si="3"/>
        <v>1812104</v>
      </c>
      <c r="F222" s="32" t="s">
        <v>351</v>
      </c>
      <c r="G222" s="85"/>
      <c r="I222" s="85"/>
      <c r="K222" s="26"/>
      <c r="M222" s="85"/>
    </row>
    <row r="223" spans="1:13" ht="15.75" customHeight="1" x14ac:dyDescent="0.25">
      <c r="A223" s="11">
        <v>43379</v>
      </c>
      <c r="B223" s="87" t="s">
        <v>384</v>
      </c>
      <c r="C223" s="5"/>
      <c r="D223" s="33">
        <v>68550</v>
      </c>
      <c r="E223" s="5">
        <f t="shared" si="3"/>
        <v>1743554</v>
      </c>
      <c r="F223" s="32" t="s">
        <v>351</v>
      </c>
      <c r="G223" s="85"/>
      <c r="I223" s="85"/>
      <c r="K223" s="85"/>
      <c r="M223" s="85"/>
    </row>
    <row r="224" spans="1:13" ht="15.75" customHeight="1" x14ac:dyDescent="0.25">
      <c r="A224" s="11">
        <v>43379</v>
      </c>
      <c r="B224" s="87" t="s">
        <v>385</v>
      </c>
      <c r="C224" s="5"/>
      <c r="D224" s="33">
        <v>336932</v>
      </c>
      <c r="E224" s="5">
        <f t="shared" si="3"/>
        <v>1406622</v>
      </c>
      <c r="F224" s="32" t="s">
        <v>351</v>
      </c>
      <c r="G224" s="85"/>
      <c r="I224" s="85"/>
      <c r="K224" s="85"/>
      <c r="M224" s="85"/>
    </row>
    <row r="225" spans="1:13" ht="15.75" customHeight="1" x14ac:dyDescent="0.25">
      <c r="A225" s="11">
        <v>43379</v>
      </c>
      <c r="B225" s="87" t="s">
        <v>386</v>
      </c>
      <c r="C225" s="5"/>
      <c r="D225" s="33">
        <v>304304</v>
      </c>
      <c r="E225" s="5">
        <f t="shared" si="3"/>
        <v>1102318</v>
      </c>
      <c r="F225" s="32" t="s">
        <v>351</v>
      </c>
      <c r="G225" s="85"/>
      <c r="I225" s="85"/>
      <c r="K225" s="85"/>
      <c r="M225" s="85"/>
    </row>
    <row r="226" spans="1:13" ht="15.75" customHeight="1" x14ac:dyDescent="0.25">
      <c r="A226" s="11">
        <v>43379</v>
      </c>
      <c r="B226" s="87" t="s">
        <v>387</v>
      </c>
      <c r="C226" s="5"/>
      <c r="D226" s="33">
        <v>1483000</v>
      </c>
      <c r="E226" s="5">
        <f t="shared" si="3"/>
        <v>-380682</v>
      </c>
      <c r="F226" s="32" t="s">
        <v>351</v>
      </c>
      <c r="G226" s="85"/>
      <c r="I226" s="85"/>
      <c r="K226" s="85"/>
      <c r="M226" s="85"/>
    </row>
    <row r="227" spans="1:13" ht="15.75" customHeight="1" x14ac:dyDescent="0.25">
      <c r="A227" s="11">
        <v>43386</v>
      </c>
      <c r="B227" s="87" t="s">
        <v>393</v>
      </c>
      <c r="C227" s="5"/>
      <c r="D227" s="33">
        <v>400000</v>
      </c>
      <c r="E227" s="5">
        <f t="shared" si="3"/>
        <v>-780682</v>
      </c>
      <c r="F227" s="32" t="s">
        <v>373</v>
      </c>
      <c r="G227" s="85"/>
      <c r="I227" s="85"/>
      <c r="K227" s="85"/>
      <c r="M227" s="85"/>
    </row>
    <row r="228" spans="1:13" ht="15.75" customHeight="1" x14ac:dyDescent="0.25">
      <c r="A228" s="11">
        <v>43386</v>
      </c>
      <c r="B228" s="87" t="s">
        <v>394</v>
      </c>
      <c r="C228" s="5"/>
      <c r="D228" s="33">
        <v>1040000</v>
      </c>
      <c r="E228" s="5">
        <f t="shared" si="3"/>
        <v>-1820682</v>
      </c>
      <c r="F228" s="32" t="s">
        <v>64</v>
      </c>
      <c r="G228" s="85"/>
      <c r="I228" s="85"/>
      <c r="K228" s="85"/>
      <c r="M228" s="85"/>
    </row>
    <row r="229" spans="1:13" ht="15.75" customHeight="1" x14ac:dyDescent="0.25">
      <c r="A229" s="11">
        <v>43386</v>
      </c>
      <c r="B229" s="87" t="s">
        <v>391</v>
      </c>
      <c r="C229" s="5">
        <v>20000000</v>
      </c>
      <c r="D229" s="33">
        <v>0</v>
      </c>
      <c r="E229" s="5">
        <f t="shared" si="3"/>
        <v>18179318</v>
      </c>
      <c r="F229" s="32" t="s">
        <v>349</v>
      </c>
      <c r="G229" s="85"/>
      <c r="I229" s="85"/>
      <c r="K229" s="85"/>
      <c r="M229" s="85"/>
    </row>
    <row r="230" spans="1:13" ht="15.75" customHeight="1" x14ac:dyDescent="0.25">
      <c r="A230" s="11">
        <v>43386</v>
      </c>
      <c r="B230" s="87" t="s">
        <v>392</v>
      </c>
      <c r="C230" s="5"/>
      <c r="D230" s="33">
        <v>4000000</v>
      </c>
      <c r="E230" s="5">
        <f t="shared" si="3"/>
        <v>14179318</v>
      </c>
      <c r="F230" s="32"/>
      <c r="G230" s="85"/>
      <c r="I230" s="85"/>
      <c r="K230" s="85"/>
      <c r="M230" s="85"/>
    </row>
    <row r="231" spans="1:13" ht="15.75" customHeight="1" x14ac:dyDescent="0.25">
      <c r="A231" s="11">
        <v>43386</v>
      </c>
      <c r="B231" s="87" t="s">
        <v>396</v>
      </c>
      <c r="C231" s="5"/>
      <c r="D231" s="33">
        <v>100000</v>
      </c>
      <c r="E231" s="5">
        <f t="shared" si="3"/>
        <v>14079318</v>
      </c>
      <c r="F231" s="32" t="s">
        <v>373</v>
      </c>
      <c r="G231" s="85"/>
      <c r="I231" s="85"/>
      <c r="K231" s="85"/>
      <c r="M231" s="85"/>
    </row>
    <row r="232" spans="1:13" ht="15.75" customHeight="1" x14ac:dyDescent="0.25">
      <c r="A232" s="11">
        <v>43386</v>
      </c>
      <c r="B232" s="87" t="s">
        <v>395</v>
      </c>
      <c r="C232" s="5"/>
      <c r="D232" s="33">
        <v>300000</v>
      </c>
      <c r="E232" s="5">
        <f t="shared" si="3"/>
        <v>13779318</v>
      </c>
      <c r="F232" s="32" t="s">
        <v>373</v>
      </c>
      <c r="G232" s="85"/>
      <c r="I232" s="85"/>
      <c r="K232" s="85"/>
      <c r="M232" s="85"/>
    </row>
    <row r="233" spans="1:13" ht="15.75" customHeight="1" x14ac:dyDescent="0.25">
      <c r="A233" s="11">
        <v>43393</v>
      </c>
      <c r="B233" s="101" t="s">
        <v>402</v>
      </c>
      <c r="C233" s="30"/>
      <c r="D233" s="46">
        <v>100000</v>
      </c>
      <c r="E233" s="5">
        <f t="shared" si="3"/>
        <v>13679318</v>
      </c>
      <c r="F233" s="32" t="s">
        <v>64</v>
      </c>
      <c r="G233" s="85"/>
      <c r="I233" s="85"/>
      <c r="K233" s="85"/>
      <c r="M233" s="85"/>
    </row>
    <row r="234" spans="1:13" ht="15.75" customHeight="1" x14ac:dyDescent="0.25">
      <c r="A234" s="11">
        <v>43393</v>
      </c>
      <c r="B234" s="101" t="s">
        <v>518</v>
      </c>
      <c r="C234" s="30"/>
      <c r="D234" s="46">
        <v>2900000</v>
      </c>
      <c r="E234" s="5">
        <f t="shared" si="3"/>
        <v>10779318</v>
      </c>
      <c r="F234" s="32" t="s">
        <v>351</v>
      </c>
      <c r="G234" s="85"/>
      <c r="I234" s="85"/>
      <c r="K234" s="85"/>
      <c r="M234" s="85"/>
    </row>
    <row r="235" spans="1:13" ht="15.75" customHeight="1" x14ac:dyDescent="0.25">
      <c r="A235" s="11">
        <v>43393</v>
      </c>
      <c r="B235" s="87" t="s">
        <v>514</v>
      </c>
      <c r="C235" s="5"/>
      <c r="D235" s="33">
        <v>403000</v>
      </c>
      <c r="E235" s="5">
        <f t="shared" si="3"/>
        <v>10376318</v>
      </c>
      <c r="F235" s="32" t="s">
        <v>351</v>
      </c>
      <c r="G235" s="85"/>
      <c r="I235" s="85"/>
      <c r="K235" s="85"/>
      <c r="M235" s="85"/>
    </row>
    <row r="236" spans="1:13" ht="15.75" customHeight="1" x14ac:dyDescent="0.25">
      <c r="A236" s="11">
        <v>43393</v>
      </c>
      <c r="B236" s="87" t="s">
        <v>471</v>
      </c>
      <c r="C236" s="5"/>
      <c r="D236" s="33">
        <v>700000</v>
      </c>
      <c r="E236" s="5">
        <f t="shared" si="3"/>
        <v>9676318</v>
      </c>
      <c r="F236" s="32" t="s">
        <v>373</v>
      </c>
      <c r="G236" s="85"/>
      <c r="I236" s="85"/>
      <c r="K236" s="85"/>
      <c r="M236" s="85"/>
    </row>
    <row r="237" spans="1:13" ht="15.75" customHeight="1" x14ac:dyDescent="0.25">
      <c r="A237" s="11">
        <v>43393</v>
      </c>
      <c r="B237" s="87" t="s">
        <v>470</v>
      </c>
      <c r="C237" s="5"/>
      <c r="D237" s="33">
        <v>1200000</v>
      </c>
      <c r="E237" s="5">
        <f t="shared" si="3"/>
        <v>8476318</v>
      </c>
      <c r="F237" s="32" t="s">
        <v>373</v>
      </c>
      <c r="G237" s="85"/>
      <c r="I237" s="85"/>
      <c r="K237" s="85"/>
      <c r="M237" s="85"/>
    </row>
    <row r="238" spans="1:13" ht="15.75" customHeight="1" x14ac:dyDescent="0.25">
      <c r="A238" s="11">
        <v>43393</v>
      </c>
      <c r="B238" s="87" t="s">
        <v>397</v>
      </c>
      <c r="C238" s="5"/>
      <c r="D238" s="33">
        <v>2100000</v>
      </c>
      <c r="E238" s="5">
        <f t="shared" si="3"/>
        <v>6376318</v>
      </c>
      <c r="F238" s="32" t="s">
        <v>373</v>
      </c>
      <c r="G238" s="85"/>
      <c r="I238" s="85"/>
      <c r="K238" s="85"/>
      <c r="M238" s="85"/>
    </row>
    <row r="239" spans="1:13" ht="15.75" customHeight="1" x14ac:dyDescent="0.25">
      <c r="A239" s="11">
        <v>43393</v>
      </c>
      <c r="B239" s="87" t="s">
        <v>398</v>
      </c>
      <c r="C239" s="5"/>
      <c r="D239" s="33">
        <v>100000</v>
      </c>
      <c r="E239" s="5">
        <f t="shared" si="3"/>
        <v>6276318</v>
      </c>
      <c r="F239" s="32" t="s">
        <v>373</v>
      </c>
      <c r="G239" s="85"/>
      <c r="I239" s="85"/>
      <c r="K239" s="85"/>
      <c r="M239" s="85"/>
    </row>
    <row r="240" spans="1:13" ht="15.75" customHeight="1" x14ac:dyDescent="0.25">
      <c r="A240" s="11">
        <v>43393</v>
      </c>
      <c r="B240" s="87" t="s">
        <v>399</v>
      </c>
      <c r="C240" s="5"/>
      <c r="D240" s="33">
        <v>300000</v>
      </c>
      <c r="E240" s="5">
        <f t="shared" si="3"/>
        <v>5976318</v>
      </c>
      <c r="F240" s="32" t="s">
        <v>64</v>
      </c>
      <c r="G240" s="85"/>
      <c r="I240" s="85"/>
      <c r="K240" s="85"/>
      <c r="M240" s="85"/>
    </row>
    <row r="241" spans="1:13" ht="15.75" customHeight="1" x14ac:dyDescent="0.25">
      <c r="A241" s="11">
        <v>43393</v>
      </c>
      <c r="B241" s="87" t="s">
        <v>400</v>
      </c>
      <c r="C241" s="5"/>
      <c r="D241" s="33">
        <v>400000</v>
      </c>
      <c r="E241" s="5">
        <f t="shared" si="3"/>
        <v>5576318</v>
      </c>
      <c r="F241" s="32" t="s">
        <v>373</v>
      </c>
      <c r="G241" s="85"/>
      <c r="I241" s="85"/>
      <c r="K241" s="85"/>
      <c r="M241" s="85"/>
    </row>
    <row r="242" spans="1:13" ht="15.75" customHeight="1" x14ac:dyDescent="0.25">
      <c r="A242" s="11">
        <v>43393</v>
      </c>
      <c r="B242" s="87" t="s">
        <v>401</v>
      </c>
      <c r="C242" s="5"/>
      <c r="D242" s="33">
        <v>200000</v>
      </c>
      <c r="E242" s="5">
        <f t="shared" si="3"/>
        <v>5376318</v>
      </c>
      <c r="F242" s="32" t="s">
        <v>373</v>
      </c>
      <c r="G242" s="85"/>
      <c r="I242" s="85"/>
      <c r="K242" s="85"/>
      <c r="M242" s="85"/>
    </row>
    <row r="243" spans="1:13" ht="15.75" customHeight="1" x14ac:dyDescent="0.25">
      <c r="A243" s="11">
        <v>43393</v>
      </c>
      <c r="B243" s="87" t="s">
        <v>406</v>
      </c>
      <c r="C243" s="5"/>
      <c r="D243" s="33">
        <v>5000</v>
      </c>
      <c r="E243" s="5">
        <f t="shared" si="3"/>
        <v>5371318</v>
      </c>
      <c r="F243" s="32" t="s">
        <v>62</v>
      </c>
      <c r="G243" s="85"/>
      <c r="I243" s="85"/>
      <c r="K243" s="85"/>
      <c r="M243" s="85"/>
    </row>
    <row r="244" spans="1:13" ht="15.75" customHeight="1" x14ac:dyDescent="0.25">
      <c r="A244" s="11">
        <v>43393</v>
      </c>
      <c r="B244" s="87" t="s">
        <v>495</v>
      </c>
      <c r="C244" s="5"/>
      <c r="D244" s="33">
        <v>500000</v>
      </c>
      <c r="E244" s="5">
        <f t="shared" si="3"/>
        <v>4871318</v>
      </c>
      <c r="F244" s="32" t="s">
        <v>373</v>
      </c>
      <c r="G244" s="85"/>
      <c r="I244" s="85"/>
      <c r="K244" s="85"/>
      <c r="M244" s="85"/>
    </row>
    <row r="245" spans="1:13" ht="15.75" customHeight="1" x14ac:dyDescent="0.25">
      <c r="A245" s="11">
        <v>43393</v>
      </c>
      <c r="B245" s="87" t="s">
        <v>414</v>
      </c>
      <c r="C245" s="5">
        <v>1500000</v>
      </c>
      <c r="D245" s="33"/>
      <c r="E245" s="5">
        <f t="shared" si="3"/>
        <v>6371318</v>
      </c>
      <c r="F245" s="32" t="s">
        <v>371</v>
      </c>
      <c r="G245" s="85"/>
      <c r="I245" s="85"/>
      <c r="K245" s="85"/>
      <c r="M245" s="85"/>
    </row>
    <row r="246" spans="1:13" ht="15.75" customHeight="1" x14ac:dyDescent="0.25">
      <c r="A246" s="11">
        <v>43400</v>
      </c>
      <c r="B246" s="87" t="s">
        <v>407</v>
      </c>
      <c r="C246" s="5"/>
      <c r="D246" s="33">
        <v>50000</v>
      </c>
      <c r="E246" s="5">
        <f t="shared" si="3"/>
        <v>6321318</v>
      </c>
      <c r="F246" s="32" t="s">
        <v>373</v>
      </c>
      <c r="G246" s="85"/>
      <c r="I246" s="85"/>
      <c r="K246" s="85"/>
      <c r="M246" s="85"/>
    </row>
    <row r="247" spans="1:13" ht="15.75" customHeight="1" x14ac:dyDescent="0.25">
      <c r="A247" s="11">
        <v>43400</v>
      </c>
      <c r="B247" s="87" t="s">
        <v>513</v>
      </c>
      <c r="C247" s="5"/>
      <c r="D247" s="33">
        <v>1820000</v>
      </c>
      <c r="E247" s="5">
        <f t="shared" si="3"/>
        <v>4501318</v>
      </c>
      <c r="F247" s="32" t="s">
        <v>351</v>
      </c>
      <c r="G247" s="85"/>
      <c r="I247" s="85"/>
      <c r="K247" s="85"/>
      <c r="M247" s="85"/>
    </row>
    <row r="248" spans="1:13" ht="15.75" customHeight="1" x14ac:dyDescent="0.25">
      <c r="A248" s="11">
        <v>43400</v>
      </c>
      <c r="B248" s="87" t="s">
        <v>409</v>
      </c>
      <c r="C248" s="5"/>
      <c r="D248" s="33">
        <v>130000</v>
      </c>
      <c r="E248" s="5">
        <f t="shared" si="3"/>
        <v>4371318</v>
      </c>
      <c r="F248" s="32" t="s">
        <v>351</v>
      </c>
      <c r="G248" s="85"/>
      <c r="I248" s="85"/>
      <c r="K248" s="85"/>
      <c r="M248" s="85"/>
    </row>
    <row r="249" spans="1:13" ht="15.75" customHeight="1" x14ac:dyDescent="0.25">
      <c r="A249" s="11">
        <v>43400</v>
      </c>
      <c r="B249" s="87" t="s">
        <v>408</v>
      </c>
      <c r="C249" s="5"/>
      <c r="D249" s="33">
        <v>900000</v>
      </c>
      <c r="E249" s="5">
        <f t="shared" si="3"/>
        <v>3471318</v>
      </c>
      <c r="F249" s="32" t="s">
        <v>351</v>
      </c>
      <c r="G249" s="85"/>
      <c r="I249" s="85"/>
      <c r="K249" s="85"/>
      <c r="M249" s="85"/>
    </row>
    <row r="250" spans="1:13" ht="15.75" customHeight="1" x14ac:dyDescent="0.25">
      <c r="A250" s="11">
        <v>43400</v>
      </c>
      <c r="B250" s="87" t="s">
        <v>411</v>
      </c>
      <c r="C250" s="5"/>
      <c r="D250" s="33">
        <v>698500</v>
      </c>
      <c r="E250" s="5">
        <f t="shared" si="3"/>
        <v>2772818</v>
      </c>
      <c r="F250" s="32" t="s">
        <v>351</v>
      </c>
      <c r="G250" s="85"/>
      <c r="I250" s="85"/>
      <c r="K250" s="85"/>
      <c r="M250" s="85"/>
    </row>
    <row r="251" spans="1:13" ht="15.75" customHeight="1" x14ac:dyDescent="0.25">
      <c r="A251" s="11">
        <v>43400</v>
      </c>
      <c r="B251" s="87" t="s">
        <v>410</v>
      </c>
      <c r="C251" s="5"/>
      <c r="D251" s="33">
        <v>70000</v>
      </c>
      <c r="E251" s="5">
        <f t="shared" si="3"/>
        <v>2702818</v>
      </c>
      <c r="F251" s="32" t="s">
        <v>351</v>
      </c>
      <c r="G251" s="85"/>
      <c r="I251" s="85"/>
      <c r="K251" s="85"/>
      <c r="M251" s="85"/>
    </row>
    <row r="252" spans="1:13" ht="15.75" customHeight="1" x14ac:dyDescent="0.25">
      <c r="A252" s="11">
        <v>43400</v>
      </c>
      <c r="B252" s="87" t="s">
        <v>412</v>
      </c>
      <c r="C252" s="5"/>
      <c r="D252" s="33">
        <v>88040</v>
      </c>
      <c r="E252" s="5">
        <f t="shared" si="3"/>
        <v>2614778</v>
      </c>
      <c r="F252" s="32" t="s">
        <v>351</v>
      </c>
      <c r="G252" s="85"/>
      <c r="I252" s="85"/>
      <c r="K252" s="85"/>
      <c r="M252" s="85"/>
    </row>
    <row r="253" spans="1:13" ht="15.75" customHeight="1" x14ac:dyDescent="0.25">
      <c r="A253" s="11">
        <v>43400</v>
      </c>
      <c r="B253" s="87" t="s">
        <v>413</v>
      </c>
      <c r="C253" s="5"/>
      <c r="D253" s="33">
        <v>497000</v>
      </c>
      <c r="E253" s="5">
        <f t="shared" si="3"/>
        <v>2117778</v>
      </c>
      <c r="F253" s="32" t="s">
        <v>64</v>
      </c>
      <c r="G253" s="85"/>
      <c r="I253" s="85"/>
      <c r="K253" s="85"/>
      <c r="M253" s="85"/>
    </row>
    <row r="254" spans="1:13" ht="15.75" customHeight="1" x14ac:dyDescent="0.25">
      <c r="A254" s="11">
        <v>43400</v>
      </c>
      <c r="B254" s="87" t="s">
        <v>415</v>
      </c>
      <c r="C254" s="5"/>
      <c r="D254" s="33">
        <f>1562000+310000</f>
        <v>1872000</v>
      </c>
      <c r="E254" s="5">
        <f t="shared" si="3"/>
        <v>245778</v>
      </c>
      <c r="F254" s="32" t="s">
        <v>373</v>
      </c>
      <c r="G254" s="85"/>
      <c r="I254" s="85"/>
      <c r="K254" s="85"/>
      <c r="M254" s="85"/>
    </row>
    <row r="255" spans="1:13" ht="15.75" customHeight="1" x14ac:dyDescent="0.25">
      <c r="A255" s="11">
        <v>43400</v>
      </c>
      <c r="B255" s="87" t="s">
        <v>416</v>
      </c>
      <c r="C255" s="5"/>
      <c r="D255" s="33">
        <f>2000000-1872000</f>
        <v>128000</v>
      </c>
      <c r="E255" s="5">
        <f t="shared" si="3"/>
        <v>117778</v>
      </c>
      <c r="F255" s="32" t="s">
        <v>64</v>
      </c>
      <c r="G255" s="85"/>
      <c r="I255" s="85"/>
      <c r="K255" s="85"/>
      <c r="M255" s="85"/>
    </row>
    <row r="256" spans="1:13" ht="15.75" customHeight="1" x14ac:dyDescent="0.25">
      <c r="A256" s="11">
        <v>43400</v>
      </c>
      <c r="B256" s="87" t="s">
        <v>419</v>
      </c>
      <c r="C256" s="5"/>
      <c r="D256" s="33">
        <v>280000</v>
      </c>
      <c r="E256" s="5">
        <f t="shared" si="3"/>
        <v>-162222</v>
      </c>
      <c r="F256" s="32" t="s">
        <v>64</v>
      </c>
      <c r="G256" s="85"/>
      <c r="I256" s="85"/>
      <c r="K256" s="85"/>
      <c r="M256" s="85"/>
    </row>
    <row r="257" spans="1:13" ht="15.75" customHeight="1" x14ac:dyDescent="0.25">
      <c r="A257" s="11">
        <v>43400</v>
      </c>
      <c r="B257" s="87" t="s">
        <v>421</v>
      </c>
      <c r="C257" s="5"/>
      <c r="D257" s="33">
        <v>200000</v>
      </c>
      <c r="E257" s="5">
        <f t="shared" si="3"/>
        <v>-362222</v>
      </c>
      <c r="F257" s="32" t="s">
        <v>64</v>
      </c>
      <c r="G257" s="85"/>
      <c r="I257" s="85"/>
      <c r="K257" s="85"/>
      <c r="M257" s="85"/>
    </row>
    <row r="258" spans="1:13" ht="15.75" customHeight="1" x14ac:dyDescent="0.25">
      <c r="A258" s="11">
        <v>43400</v>
      </c>
      <c r="B258" s="87" t="s">
        <v>430</v>
      </c>
      <c r="C258" s="5"/>
      <c r="D258" s="33">
        <v>200000</v>
      </c>
      <c r="E258" s="5">
        <f t="shared" si="3"/>
        <v>-562222</v>
      </c>
      <c r="F258" s="32" t="s">
        <v>64</v>
      </c>
      <c r="G258" s="85"/>
      <c r="I258" s="85"/>
      <c r="K258" s="85"/>
      <c r="M258" s="85"/>
    </row>
    <row r="259" spans="1:13" ht="15.75" customHeight="1" x14ac:dyDescent="0.25">
      <c r="A259" s="11">
        <v>43400</v>
      </c>
      <c r="B259" s="87" t="s">
        <v>417</v>
      </c>
      <c r="C259" s="5"/>
      <c r="D259" s="33">
        <v>450000</v>
      </c>
      <c r="E259" s="5">
        <f t="shared" si="3"/>
        <v>-1012222</v>
      </c>
      <c r="F259" s="32" t="s">
        <v>373</v>
      </c>
      <c r="G259" s="85"/>
      <c r="I259" s="85"/>
      <c r="K259" s="85"/>
      <c r="M259" s="85"/>
    </row>
    <row r="260" spans="1:13" ht="15.75" customHeight="1" x14ac:dyDescent="0.25">
      <c r="A260" s="11">
        <v>43400</v>
      </c>
      <c r="B260" s="87" t="s">
        <v>418</v>
      </c>
      <c r="C260" s="5"/>
      <c r="D260" s="33">
        <v>100000</v>
      </c>
      <c r="E260" s="5">
        <f t="shared" si="3"/>
        <v>-1112222</v>
      </c>
      <c r="F260" s="32" t="s">
        <v>373</v>
      </c>
      <c r="G260" s="85"/>
      <c r="I260" s="85"/>
      <c r="K260" s="85"/>
      <c r="M260" s="85"/>
    </row>
    <row r="261" spans="1:13" ht="15.75" customHeight="1" x14ac:dyDescent="0.25">
      <c r="A261" s="11">
        <v>43400</v>
      </c>
      <c r="B261" s="87" t="s">
        <v>422</v>
      </c>
      <c r="C261" s="5"/>
      <c r="D261" s="33">
        <v>220000</v>
      </c>
      <c r="E261" s="5">
        <f t="shared" ref="E261:E325" si="4">+E260+C261-D261</f>
        <v>-1332222</v>
      </c>
      <c r="F261" s="32" t="s">
        <v>351</v>
      </c>
      <c r="G261" s="85"/>
      <c r="I261" s="85"/>
      <c r="K261" s="85"/>
      <c r="M261" s="85"/>
    </row>
    <row r="262" spans="1:13" ht="15.75" customHeight="1" x14ac:dyDescent="0.25">
      <c r="A262" s="11">
        <v>43403</v>
      </c>
      <c r="B262" s="41" t="s">
        <v>355</v>
      </c>
      <c r="C262" s="5">
        <v>1300000</v>
      </c>
      <c r="D262" s="33">
        <v>0</v>
      </c>
      <c r="E262" s="5">
        <f t="shared" si="4"/>
        <v>-32222</v>
      </c>
      <c r="F262" s="32" t="s">
        <v>294</v>
      </c>
      <c r="G262" s="85"/>
      <c r="I262" s="85"/>
      <c r="K262" s="85"/>
      <c r="M262" s="85"/>
    </row>
    <row r="263" spans="1:13" ht="15.75" customHeight="1" x14ac:dyDescent="0.25">
      <c r="A263" s="11">
        <v>43403</v>
      </c>
      <c r="B263" s="41" t="s">
        <v>432</v>
      </c>
      <c r="C263" s="5">
        <v>8000000</v>
      </c>
      <c r="D263" s="33">
        <v>0</v>
      </c>
      <c r="E263" s="5">
        <f t="shared" si="4"/>
        <v>7967778</v>
      </c>
      <c r="F263" s="32" t="s">
        <v>431</v>
      </c>
      <c r="G263" s="85"/>
      <c r="I263" s="85"/>
      <c r="K263" s="85"/>
      <c r="M263" s="85"/>
    </row>
    <row r="264" spans="1:13" x14ac:dyDescent="0.25">
      <c r="A264" s="11">
        <v>43420</v>
      </c>
      <c r="B264" s="87" t="s">
        <v>456</v>
      </c>
      <c r="C264" s="5">
        <v>0</v>
      </c>
      <c r="D264" s="33">
        <v>600000</v>
      </c>
      <c r="E264" s="5">
        <f t="shared" si="4"/>
        <v>7367778</v>
      </c>
      <c r="F264" t="s">
        <v>63</v>
      </c>
      <c r="G264" s="85"/>
      <c r="I264" s="85"/>
      <c r="K264" s="85"/>
      <c r="M264" s="85"/>
    </row>
    <row r="265" spans="1:13" ht="15.75" customHeight="1" x14ac:dyDescent="0.25">
      <c r="A265" s="11">
        <v>43420</v>
      </c>
      <c r="B265" s="87" t="s">
        <v>433</v>
      </c>
      <c r="C265" s="5">
        <v>0</v>
      </c>
      <c r="D265" s="33">
        <v>250000</v>
      </c>
      <c r="E265" s="5">
        <f t="shared" si="4"/>
        <v>7117778</v>
      </c>
      <c r="F265" s="32" t="s">
        <v>64</v>
      </c>
      <c r="G265" s="85"/>
      <c r="I265" s="85"/>
      <c r="K265" s="85"/>
      <c r="M265" s="85"/>
    </row>
    <row r="266" spans="1:13" ht="15.75" customHeight="1" x14ac:dyDescent="0.25">
      <c r="A266" s="11">
        <v>43420</v>
      </c>
      <c r="B266" s="87" t="s">
        <v>434</v>
      </c>
      <c r="C266" s="5">
        <v>0</v>
      </c>
      <c r="D266" s="33">
        <v>1000000</v>
      </c>
      <c r="E266" s="5">
        <f t="shared" si="4"/>
        <v>6117778</v>
      </c>
      <c r="F266" s="32" t="s">
        <v>64</v>
      </c>
      <c r="G266" s="85"/>
      <c r="I266" s="85"/>
      <c r="K266" s="85"/>
      <c r="M266" s="85"/>
    </row>
    <row r="267" spans="1:13" ht="15.75" customHeight="1" x14ac:dyDescent="0.25">
      <c r="A267" s="11">
        <v>43420</v>
      </c>
      <c r="B267" s="87" t="s">
        <v>435</v>
      </c>
      <c r="C267" s="5">
        <v>0</v>
      </c>
      <c r="D267" s="33">
        <v>20000</v>
      </c>
      <c r="E267" s="5">
        <f t="shared" si="4"/>
        <v>6097778</v>
      </c>
      <c r="F267" s="32" t="s">
        <v>62</v>
      </c>
      <c r="G267" s="85"/>
      <c r="I267" s="85"/>
      <c r="K267" s="85"/>
      <c r="M267" s="85"/>
    </row>
    <row r="268" spans="1:13" ht="15.75" customHeight="1" x14ac:dyDescent="0.25">
      <c r="A268" s="11">
        <v>43420</v>
      </c>
      <c r="B268" s="87" t="s">
        <v>436</v>
      </c>
      <c r="C268" s="5">
        <v>0</v>
      </c>
      <c r="D268" s="33">
        <v>12000</v>
      </c>
      <c r="E268" s="5">
        <f t="shared" si="4"/>
        <v>6085778</v>
      </c>
      <c r="F268" s="32" t="s">
        <v>62</v>
      </c>
      <c r="G268" s="85"/>
      <c r="I268" s="85"/>
      <c r="K268" s="85"/>
      <c r="M268" s="85"/>
    </row>
    <row r="269" spans="1:13" ht="15.75" customHeight="1" x14ac:dyDescent="0.25">
      <c r="A269" s="11">
        <v>43420</v>
      </c>
      <c r="B269" s="87" t="s">
        <v>450</v>
      </c>
      <c r="C269" s="5">
        <v>0</v>
      </c>
      <c r="D269" s="33">
        <v>1200000</v>
      </c>
      <c r="E269" s="5">
        <f t="shared" si="4"/>
        <v>4885778</v>
      </c>
      <c r="F269" s="32" t="s">
        <v>373</v>
      </c>
      <c r="G269" s="85"/>
      <c r="I269" s="85"/>
      <c r="K269" s="85"/>
      <c r="M269" s="85"/>
    </row>
    <row r="270" spans="1:13" x14ac:dyDescent="0.25">
      <c r="A270" s="11">
        <v>43420</v>
      </c>
      <c r="B270" s="87" t="s">
        <v>451</v>
      </c>
      <c r="C270" s="5">
        <v>0</v>
      </c>
      <c r="D270" s="33">
        <v>1500000</v>
      </c>
      <c r="E270" s="5">
        <f t="shared" si="4"/>
        <v>3385778</v>
      </c>
      <c r="F270" s="32" t="s">
        <v>64</v>
      </c>
      <c r="G270" s="85"/>
      <c r="I270" s="85"/>
      <c r="K270" s="85"/>
      <c r="M270" s="85"/>
    </row>
    <row r="271" spans="1:13" x14ac:dyDescent="0.25">
      <c r="A271" s="11">
        <v>43420</v>
      </c>
      <c r="B271" s="87" t="s">
        <v>458</v>
      </c>
      <c r="C271" s="5">
        <v>0</v>
      </c>
      <c r="D271" s="33">
        <v>10000000</v>
      </c>
      <c r="E271" s="5">
        <f t="shared" si="4"/>
        <v>-6614222</v>
      </c>
      <c r="F271" s="32" t="s">
        <v>64</v>
      </c>
      <c r="G271" s="85"/>
      <c r="I271" s="85"/>
      <c r="K271" s="85"/>
      <c r="M271" s="85"/>
    </row>
    <row r="272" spans="1:13" x14ac:dyDescent="0.25">
      <c r="A272" s="11">
        <v>43420</v>
      </c>
      <c r="B272" s="87" t="s">
        <v>452</v>
      </c>
      <c r="C272" s="5">
        <v>0</v>
      </c>
      <c r="D272" s="33">
        <v>452000</v>
      </c>
      <c r="E272" s="5">
        <f t="shared" si="4"/>
        <v>-7066222</v>
      </c>
      <c r="F272" s="32" t="s">
        <v>62</v>
      </c>
      <c r="G272" s="85"/>
      <c r="I272" s="85"/>
      <c r="K272" s="85"/>
      <c r="M272" s="85"/>
    </row>
    <row r="273" spans="1:13" x14ac:dyDescent="0.25">
      <c r="A273" s="11">
        <v>43420</v>
      </c>
      <c r="B273" s="87" t="s">
        <v>454</v>
      </c>
      <c r="C273" s="5">
        <v>0</v>
      </c>
      <c r="D273" s="33">
        <v>300000</v>
      </c>
      <c r="E273" s="5">
        <f t="shared" si="4"/>
        <v>-7366222</v>
      </c>
      <c r="F273" s="32" t="s">
        <v>62</v>
      </c>
      <c r="G273" s="85"/>
      <c r="I273" s="85"/>
      <c r="K273" s="85"/>
      <c r="M273" s="85"/>
    </row>
    <row r="274" spans="1:13" x14ac:dyDescent="0.25">
      <c r="A274" s="11">
        <v>43420</v>
      </c>
      <c r="B274" s="87" t="s">
        <v>455</v>
      </c>
      <c r="C274" s="5">
        <v>0</v>
      </c>
      <c r="D274" s="33">
        <v>20000</v>
      </c>
      <c r="E274" s="5">
        <f t="shared" si="4"/>
        <v>-7386222</v>
      </c>
      <c r="F274" s="32" t="s">
        <v>62</v>
      </c>
      <c r="G274" s="85"/>
      <c r="I274" s="85"/>
      <c r="K274" s="85"/>
      <c r="M274" s="85"/>
    </row>
    <row r="275" spans="1:13" x14ac:dyDescent="0.25">
      <c r="A275" s="11">
        <v>43420</v>
      </c>
      <c r="B275" s="87" t="s">
        <v>459</v>
      </c>
      <c r="C275" s="5">
        <v>0</v>
      </c>
      <c r="D275" s="33">
        <v>500000</v>
      </c>
      <c r="E275" s="5">
        <f t="shared" si="4"/>
        <v>-7886222</v>
      </c>
      <c r="F275" s="32" t="s">
        <v>351</v>
      </c>
      <c r="G275" s="85"/>
      <c r="I275" s="85"/>
      <c r="K275" s="85"/>
      <c r="M275" s="85"/>
    </row>
    <row r="276" spans="1:13" x14ac:dyDescent="0.25">
      <c r="A276" s="11">
        <v>43420</v>
      </c>
      <c r="B276" s="87" t="s">
        <v>456</v>
      </c>
      <c r="C276" s="5">
        <v>0</v>
      </c>
      <c r="D276" s="33">
        <v>400000</v>
      </c>
      <c r="E276" s="5">
        <f t="shared" si="4"/>
        <v>-8286222</v>
      </c>
      <c r="F276" t="s">
        <v>63</v>
      </c>
      <c r="G276" s="85"/>
      <c r="I276" s="85"/>
      <c r="K276" s="85"/>
      <c r="M276" s="85"/>
    </row>
    <row r="277" spans="1:13" ht="15.75" customHeight="1" x14ac:dyDescent="0.25">
      <c r="A277" s="11">
        <v>43420</v>
      </c>
      <c r="B277" s="41" t="s">
        <v>432</v>
      </c>
      <c r="C277" s="5">
        <v>40000000</v>
      </c>
      <c r="D277" s="33">
        <v>0</v>
      </c>
      <c r="E277" s="5">
        <f t="shared" si="4"/>
        <v>31713778</v>
      </c>
      <c r="F277" s="32" t="s">
        <v>431</v>
      </c>
      <c r="G277" s="85"/>
      <c r="I277" s="85"/>
      <c r="K277" s="85"/>
      <c r="M277" s="85"/>
    </row>
    <row r="278" spans="1:13" x14ac:dyDescent="0.25">
      <c r="A278" s="11">
        <v>43420</v>
      </c>
      <c r="B278" s="87" t="s">
        <v>462</v>
      </c>
      <c r="C278" s="5">
        <v>0</v>
      </c>
      <c r="D278" s="33">
        <v>904400</v>
      </c>
      <c r="E278" s="5">
        <f t="shared" si="4"/>
        <v>30809378</v>
      </c>
      <c r="F278" s="32" t="s">
        <v>351</v>
      </c>
      <c r="G278" s="85"/>
      <c r="I278" s="85"/>
      <c r="K278" s="85"/>
      <c r="M278" s="85"/>
    </row>
    <row r="279" spans="1:13" x14ac:dyDescent="0.25">
      <c r="A279" s="11">
        <v>43420</v>
      </c>
      <c r="B279" s="87" t="s">
        <v>464</v>
      </c>
      <c r="C279" s="5">
        <v>0</v>
      </c>
      <c r="D279" s="33">
        <v>295000</v>
      </c>
      <c r="E279" s="5">
        <f t="shared" si="4"/>
        <v>30514378</v>
      </c>
      <c r="F279" t="s">
        <v>63</v>
      </c>
      <c r="G279" s="85"/>
      <c r="I279" s="85"/>
      <c r="K279" s="85"/>
      <c r="M279" s="85"/>
    </row>
    <row r="280" spans="1:13" ht="15.75" customHeight="1" x14ac:dyDescent="0.25">
      <c r="A280" s="11">
        <v>43420</v>
      </c>
      <c r="B280" s="41" t="s">
        <v>355</v>
      </c>
      <c r="C280" s="5">
        <v>1300000</v>
      </c>
      <c r="D280" s="33">
        <v>0</v>
      </c>
      <c r="E280" s="5">
        <f t="shared" si="4"/>
        <v>31814378</v>
      </c>
      <c r="F280" s="32" t="s">
        <v>294</v>
      </c>
      <c r="G280" s="85"/>
      <c r="I280" s="85"/>
      <c r="K280" s="85"/>
      <c r="M280" s="85"/>
    </row>
    <row r="281" spans="1:13" ht="15.75" customHeight="1" x14ac:dyDescent="0.25">
      <c r="A281" s="11">
        <v>43420</v>
      </c>
      <c r="B281" s="41" t="s">
        <v>370</v>
      </c>
      <c r="C281" s="5">
        <v>400000</v>
      </c>
      <c r="D281" s="33">
        <v>0</v>
      </c>
      <c r="E281" s="5">
        <f t="shared" si="4"/>
        <v>32214378</v>
      </c>
      <c r="F281" s="32" t="s">
        <v>371</v>
      </c>
      <c r="G281" s="85"/>
      <c r="I281" s="85"/>
      <c r="K281" s="85"/>
      <c r="M281" s="85"/>
    </row>
    <row r="282" spans="1:13" ht="15.75" customHeight="1" x14ac:dyDescent="0.25">
      <c r="A282" s="11">
        <v>43420</v>
      </c>
      <c r="B282" s="41" t="s">
        <v>370</v>
      </c>
      <c r="C282" s="5">
        <v>400000</v>
      </c>
      <c r="D282" s="33">
        <v>0</v>
      </c>
      <c r="E282" s="5">
        <f t="shared" si="4"/>
        <v>32614378</v>
      </c>
      <c r="F282" s="32" t="s">
        <v>371</v>
      </c>
      <c r="G282" s="85"/>
      <c r="I282" s="85"/>
      <c r="K282" s="85"/>
      <c r="M282" s="85"/>
    </row>
    <row r="283" spans="1:13" x14ac:dyDescent="0.25">
      <c r="A283" s="11">
        <v>43423</v>
      </c>
      <c r="B283" s="87" t="s">
        <v>453</v>
      </c>
      <c r="C283" s="5">
        <v>0</v>
      </c>
      <c r="D283" s="33">
        <v>1006740</v>
      </c>
      <c r="E283" s="5">
        <f t="shared" si="4"/>
        <v>31607638</v>
      </c>
      <c r="F283" s="32" t="s">
        <v>351</v>
      </c>
      <c r="G283" s="85"/>
      <c r="I283" s="85"/>
      <c r="K283" s="85"/>
      <c r="M283" s="85"/>
    </row>
    <row r="284" spans="1:13" x14ac:dyDescent="0.25">
      <c r="A284" s="11">
        <v>43428</v>
      </c>
      <c r="B284" s="87" t="s">
        <v>467</v>
      </c>
      <c r="C284" s="5">
        <v>0</v>
      </c>
      <c r="D284" s="33">
        <v>423000</v>
      </c>
      <c r="E284" s="5">
        <f t="shared" si="4"/>
        <v>31184638</v>
      </c>
      <c r="F284" s="32" t="s">
        <v>351</v>
      </c>
      <c r="G284" s="85"/>
      <c r="I284" s="85"/>
      <c r="K284" s="85"/>
      <c r="M284" s="85"/>
    </row>
    <row r="285" spans="1:13" x14ac:dyDescent="0.25">
      <c r="A285" s="11">
        <v>43428</v>
      </c>
      <c r="B285" s="87" t="s">
        <v>460</v>
      </c>
      <c r="C285" s="5">
        <v>0</v>
      </c>
      <c r="D285" s="33">
        <v>85900</v>
      </c>
      <c r="E285" s="5">
        <f t="shared" si="4"/>
        <v>31098738</v>
      </c>
      <c r="F285" s="32" t="s">
        <v>351</v>
      </c>
      <c r="G285" s="85"/>
      <c r="I285" s="85"/>
      <c r="K285" s="85"/>
      <c r="M285" s="85"/>
    </row>
    <row r="286" spans="1:13" x14ac:dyDescent="0.25">
      <c r="A286" s="11">
        <v>43428</v>
      </c>
      <c r="B286" s="87" t="s">
        <v>460</v>
      </c>
      <c r="C286" s="5">
        <v>0</v>
      </c>
      <c r="D286" s="33">
        <v>283570</v>
      </c>
      <c r="E286" s="5">
        <f t="shared" si="4"/>
        <v>30815168</v>
      </c>
      <c r="F286" s="32" t="s">
        <v>351</v>
      </c>
      <c r="G286" s="85"/>
      <c r="I286" s="85"/>
      <c r="K286" s="85"/>
      <c r="M286" s="85"/>
    </row>
    <row r="287" spans="1:13" x14ac:dyDescent="0.25">
      <c r="A287" s="11">
        <v>43428</v>
      </c>
      <c r="B287" s="87" t="s">
        <v>461</v>
      </c>
      <c r="C287" s="5">
        <v>0</v>
      </c>
      <c r="D287" s="33">
        <v>1330000</v>
      </c>
      <c r="E287" s="5">
        <f t="shared" si="4"/>
        <v>29485168</v>
      </c>
      <c r="F287" s="32" t="s">
        <v>351</v>
      </c>
      <c r="G287" s="85"/>
      <c r="I287" s="85"/>
      <c r="K287" s="85"/>
      <c r="M287" s="85"/>
    </row>
    <row r="288" spans="1:13" x14ac:dyDescent="0.25">
      <c r="A288" s="11">
        <v>43428</v>
      </c>
      <c r="B288" s="87" t="s">
        <v>482</v>
      </c>
      <c r="C288" s="5">
        <v>0</v>
      </c>
      <c r="D288" s="33">
        <v>1000000</v>
      </c>
      <c r="E288" s="5">
        <f t="shared" si="4"/>
        <v>28485168</v>
      </c>
      <c r="F288" s="32" t="s">
        <v>64</v>
      </c>
      <c r="G288" s="85"/>
      <c r="I288" s="85"/>
      <c r="K288" s="85"/>
      <c r="M288" s="85"/>
    </row>
    <row r="289" spans="1:13" x14ac:dyDescent="0.25">
      <c r="A289" s="11">
        <v>43430</v>
      </c>
      <c r="B289" s="87" t="s">
        <v>453</v>
      </c>
      <c r="C289" s="5">
        <v>0</v>
      </c>
      <c r="D289" s="33">
        <v>1916806</v>
      </c>
      <c r="E289" s="5">
        <f t="shared" si="4"/>
        <v>26568362</v>
      </c>
      <c r="F289" s="32" t="s">
        <v>351</v>
      </c>
      <c r="G289" s="85"/>
      <c r="I289" s="85"/>
      <c r="K289" s="85"/>
      <c r="M289" s="85"/>
    </row>
    <row r="290" spans="1:13" x14ac:dyDescent="0.25">
      <c r="A290" s="11">
        <v>43430</v>
      </c>
      <c r="B290" s="87" t="s">
        <v>483</v>
      </c>
      <c r="C290" s="5">
        <v>0</v>
      </c>
      <c r="D290" s="33">
        <v>289000</v>
      </c>
      <c r="E290" s="5">
        <f t="shared" si="4"/>
        <v>26279362</v>
      </c>
      <c r="F290" t="s">
        <v>63</v>
      </c>
      <c r="G290" s="85"/>
      <c r="I290" s="85"/>
      <c r="K290" s="85"/>
      <c r="M290" s="85"/>
    </row>
    <row r="291" spans="1:13" x14ac:dyDescent="0.25">
      <c r="A291" s="11">
        <v>43430</v>
      </c>
      <c r="B291" s="87" t="s">
        <v>461</v>
      </c>
      <c r="C291" s="5">
        <v>0</v>
      </c>
      <c r="D291" s="33">
        <v>1327941</v>
      </c>
      <c r="E291" s="5">
        <f t="shared" si="4"/>
        <v>24951421</v>
      </c>
      <c r="F291" s="32" t="s">
        <v>351</v>
      </c>
      <c r="G291" s="85"/>
      <c r="I291" s="85"/>
      <c r="K291" s="85"/>
      <c r="M291" s="85"/>
    </row>
    <row r="292" spans="1:13" x14ac:dyDescent="0.25">
      <c r="A292" s="11">
        <v>43432</v>
      </c>
      <c r="B292" s="87" t="s">
        <v>453</v>
      </c>
      <c r="C292" s="5">
        <v>0</v>
      </c>
      <c r="D292" s="33">
        <v>48000</v>
      </c>
      <c r="E292" s="5">
        <f t="shared" si="4"/>
        <v>24903421</v>
      </c>
      <c r="F292" s="32" t="s">
        <v>351</v>
      </c>
      <c r="G292" s="85"/>
      <c r="I292" s="85"/>
      <c r="K292" s="85"/>
      <c r="M292" s="85"/>
    </row>
    <row r="293" spans="1:13" x14ac:dyDescent="0.25">
      <c r="A293" s="11">
        <v>43432</v>
      </c>
      <c r="B293" s="87" t="s">
        <v>463</v>
      </c>
      <c r="C293" s="5">
        <v>0</v>
      </c>
      <c r="D293" s="33">
        <v>880000</v>
      </c>
      <c r="E293" s="5">
        <f t="shared" si="4"/>
        <v>24023421</v>
      </c>
      <c r="F293" s="32" t="s">
        <v>351</v>
      </c>
      <c r="G293" s="85"/>
      <c r="I293" s="85"/>
      <c r="K293" s="85"/>
      <c r="M293" s="85"/>
    </row>
    <row r="294" spans="1:13" x14ac:dyDescent="0.25">
      <c r="A294" s="11">
        <v>43433</v>
      </c>
      <c r="B294" s="87" t="s">
        <v>484</v>
      </c>
      <c r="C294" s="5">
        <v>0</v>
      </c>
      <c r="D294" s="33">
        <v>350000</v>
      </c>
      <c r="E294" s="5">
        <f t="shared" si="4"/>
        <v>23673421</v>
      </c>
      <c r="F294" s="32" t="s">
        <v>64</v>
      </c>
      <c r="G294" s="85"/>
      <c r="I294" s="85"/>
      <c r="K294" s="85"/>
      <c r="M294" s="85"/>
    </row>
    <row r="295" spans="1:13" x14ac:dyDescent="0.25">
      <c r="A295" s="11">
        <v>43434</v>
      </c>
      <c r="B295" s="87" t="s">
        <v>465</v>
      </c>
      <c r="C295" s="5">
        <v>0</v>
      </c>
      <c r="D295" s="33">
        <v>500000</v>
      </c>
      <c r="E295" s="5">
        <f t="shared" si="4"/>
        <v>23173421</v>
      </c>
      <c r="F295" s="32" t="s">
        <v>63</v>
      </c>
      <c r="G295" s="85"/>
      <c r="I295" s="85"/>
      <c r="K295" s="85"/>
      <c r="M295" s="85"/>
    </row>
    <row r="296" spans="1:13" x14ac:dyDescent="0.25">
      <c r="A296" s="11">
        <v>43434</v>
      </c>
      <c r="B296" s="87" t="s">
        <v>460</v>
      </c>
      <c r="C296" s="5">
        <v>0</v>
      </c>
      <c r="D296" s="33">
        <v>516318</v>
      </c>
      <c r="E296" s="5">
        <f t="shared" si="4"/>
        <v>22657103</v>
      </c>
      <c r="F296" s="32" t="s">
        <v>351</v>
      </c>
      <c r="G296" s="85"/>
      <c r="I296" s="85"/>
      <c r="K296" s="85"/>
      <c r="M296" s="85"/>
    </row>
    <row r="297" spans="1:13" x14ac:dyDescent="0.25">
      <c r="A297" s="11">
        <v>43435</v>
      </c>
      <c r="B297" s="87" t="s">
        <v>479</v>
      </c>
      <c r="C297" s="5">
        <v>0</v>
      </c>
      <c r="D297" s="33">
        <v>300000</v>
      </c>
      <c r="E297" s="5">
        <f t="shared" si="4"/>
        <v>22357103</v>
      </c>
      <c r="F297" s="32" t="s">
        <v>64</v>
      </c>
      <c r="G297" s="85"/>
      <c r="I297" s="85"/>
      <c r="K297" s="85"/>
      <c r="M297" s="85"/>
    </row>
    <row r="298" spans="1:13" x14ac:dyDescent="0.25">
      <c r="A298" s="11">
        <v>43435</v>
      </c>
      <c r="B298" s="87" t="s">
        <v>481</v>
      </c>
      <c r="C298" s="5">
        <v>0</v>
      </c>
      <c r="D298" s="33">
        <v>300000</v>
      </c>
      <c r="E298" s="5">
        <f t="shared" si="4"/>
        <v>22057103</v>
      </c>
      <c r="F298" s="32" t="s">
        <v>373</v>
      </c>
      <c r="G298" s="85"/>
      <c r="I298" s="85"/>
      <c r="K298" s="85"/>
      <c r="M298" s="85"/>
    </row>
    <row r="299" spans="1:13" x14ac:dyDescent="0.25">
      <c r="A299" s="11">
        <v>43435</v>
      </c>
      <c r="B299" s="87" t="s">
        <v>480</v>
      </c>
      <c r="C299" s="5">
        <v>0</v>
      </c>
      <c r="D299" s="33">
        <v>1068000</v>
      </c>
      <c r="E299" s="5">
        <f t="shared" si="4"/>
        <v>20989103</v>
      </c>
      <c r="F299" s="32" t="s">
        <v>373</v>
      </c>
      <c r="G299" s="85"/>
      <c r="I299" s="85"/>
      <c r="K299" s="85"/>
      <c r="M299" s="85"/>
    </row>
    <row r="300" spans="1:13" x14ac:dyDescent="0.25">
      <c r="A300" s="11">
        <v>43436</v>
      </c>
      <c r="B300" s="87" t="s">
        <v>466</v>
      </c>
      <c r="C300" s="5">
        <v>0</v>
      </c>
      <c r="D300" s="33">
        <v>113840</v>
      </c>
      <c r="E300" s="5">
        <f t="shared" si="4"/>
        <v>20875263</v>
      </c>
      <c r="F300" s="32" t="s">
        <v>62</v>
      </c>
      <c r="G300" s="85"/>
      <c r="I300" s="85"/>
      <c r="K300" s="85"/>
      <c r="M300" s="85"/>
    </row>
    <row r="301" spans="1:13" x14ac:dyDescent="0.25">
      <c r="A301" s="11">
        <v>43437</v>
      </c>
      <c r="B301" s="97" t="s">
        <v>478</v>
      </c>
      <c r="C301" s="5">
        <v>0</v>
      </c>
      <c r="D301" s="33">
        <v>155600</v>
      </c>
      <c r="E301" s="5">
        <f t="shared" si="4"/>
        <v>20719663</v>
      </c>
      <c r="F301" s="32" t="s">
        <v>351</v>
      </c>
      <c r="G301" s="85"/>
      <c r="I301" s="85"/>
      <c r="K301" s="85"/>
      <c r="M301" s="85"/>
    </row>
    <row r="302" spans="1:13" x14ac:dyDescent="0.25">
      <c r="A302" s="11">
        <v>43437</v>
      </c>
      <c r="B302" s="97" t="s">
        <v>478</v>
      </c>
      <c r="C302" s="5">
        <v>0</v>
      </c>
      <c r="D302" s="33">
        <v>180000</v>
      </c>
      <c r="E302" s="5">
        <f t="shared" si="4"/>
        <v>20539663</v>
      </c>
      <c r="F302" s="32" t="s">
        <v>351</v>
      </c>
      <c r="G302" s="85"/>
      <c r="I302" s="85"/>
      <c r="K302" s="85"/>
      <c r="M302" s="85"/>
    </row>
    <row r="303" spans="1:13" x14ac:dyDescent="0.25">
      <c r="A303" s="11">
        <v>43438</v>
      </c>
      <c r="B303" s="101" t="s">
        <v>487</v>
      </c>
      <c r="C303" s="5">
        <v>0</v>
      </c>
      <c r="D303" s="33">
        <v>181780</v>
      </c>
      <c r="E303" s="5">
        <f t="shared" si="4"/>
        <v>20357883</v>
      </c>
      <c r="F303" s="32" t="s">
        <v>351</v>
      </c>
      <c r="G303" s="85"/>
      <c r="I303" s="85"/>
      <c r="K303" s="85"/>
      <c r="M303" s="85"/>
    </row>
    <row r="304" spans="1:13" x14ac:dyDescent="0.25">
      <c r="A304" s="11">
        <v>43438</v>
      </c>
      <c r="B304" s="97" t="s">
        <v>478</v>
      </c>
      <c r="C304" s="5">
        <v>0</v>
      </c>
      <c r="D304" s="33">
        <v>780300</v>
      </c>
      <c r="E304" s="5">
        <f t="shared" si="4"/>
        <v>19577583</v>
      </c>
      <c r="F304" s="32" t="s">
        <v>351</v>
      </c>
      <c r="G304" s="85"/>
      <c r="I304" s="85"/>
      <c r="K304" s="85"/>
      <c r="M304" s="85"/>
    </row>
    <row r="305" spans="1:13" x14ac:dyDescent="0.25">
      <c r="A305" s="11">
        <v>43438</v>
      </c>
      <c r="B305" s="101" t="s">
        <v>494</v>
      </c>
      <c r="C305" s="5">
        <v>0</v>
      </c>
      <c r="D305" s="33">
        <v>1800000</v>
      </c>
      <c r="E305" s="5">
        <f t="shared" si="4"/>
        <v>17777583</v>
      </c>
      <c r="F305" s="32" t="s">
        <v>351</v>
      </c>
      <c r="G305" s="85"/>
      <c r="I305" s="85"/>
      <c r="K305" s="85"/>
      <c r="M305" s="85"/>
    </row>
    <row r="306" spans="1:13" x14ac:dyDescent="0.25">
      <c r="A306" s="11">
        <v>43439</v>
      </c>
      <c r="B306" s="97" t="s">
        <v>478</v>
      </c>
      <c r="C306" s="5">
        <v>0</v>
      </c>
      <c r="D306" s="33">
        <v>909000</v>
      </c>
      <c r="E306" s="5">
        <f t="shared" si="4"/>
        <v>16868583</v>
      </c>
      <c r="F306" s="32" t="s">
        <v>351</v>
      </c>
      <c r="G306" s="85"/>
      <c r="I306" s="85"/>
      <c r="K306" s="85"/>
      <c r="M306" s="85"/>
    </row>
    <row r="307" spans="1:13" x14ac:dyDescent="0.25">
      <c r="A307" s="11">
        <v>43439</v>
      </c>
      <c r="B307" s="97" t="s">
        <v>478</v>
      </c>
      <c r="C307" s="5">
        <v>0</v>
      </c>
      <c r="D307" s="33">
        <v>62000</v>
      </c>
      <c r="E307" s="5">
        <f t="shared" si="4"/>
        <v>16806583</v>
      </c>
      <c r="F307" s="32" t="s">
        <v>351</v>
      </c>
      <c r="G307" s="85"/>
      <c r="I307" s="85"/>
      <c r="K307" s="85"/>
      <c r="M307" s="85"/>
    </row>
    <row r="308" spans="1:13" x14ac:dyDescent="0.25">
      <c r="A308" s="11">
        <v>43439</v>
      </c>
      <c r="B308" s="97" t="s">
        <v>478</v>
      </c>
      <c r="C308" s="5">
        <v>0</v>
      </c>
      <c r="D308" s="33">
        <v>58500</v>
      </c>
      <c r="E308" s="5">
        <f t="shared" si="4"/>
        <v>16748083</v>
      </c>
      <c r="F308" s="32" t="s">
        <v>351</v>
      </c>
      <c r="G308" s="85"/>
      <c r="I308" s="85"/>
      <c r="K308" s="85"/>
      <c r="M308" s="85"/>
    </row>
    <row r="309" spans="1:13" x14ac:dyDescent="0.25">
      <c r="A309" s="11">
        <v>43440</v>
      </c>
      <c r="B309" s="87" t="s">
        <v>485</v>
      </c>
      <c r="C309" s="5">
        <v>0</v>
      </c>
      <c r="D309" s="33">
        <v>248000</v>
      </c>
      <c r="E309" s="5">
        <f t="shared" si="4"/>
        <v>16500083</v>
      </c>
      <c r="F309" s="32" t="s">
        <v>64</v>
      </c>
      <c r="G309" s="85"/>
      <c r="I309" s="85"/>
      <c r="K309" s="85"/>
      <c r="M309" s="85"/>
    </row>
    <row r="310" spans="1:13" x14ac:dyDescent="0.25">
      <c r="A310" s="11">
        <v>43440</v>
      </c>
      <c r="B310" s="101" t="s">
        <v>493</v>
      </c>
      <c r="C310" s="5">
        <v>0</v>
      </c>
      <c r="D310" s="33">
        <v>1000000</v>
      </c>
      <c r="E310" s="5">
        <f t="shared" si="4"/>
        <v>15500083</v>
      </c>
      <c r="F310" s="32" t="s">
        <v>373</v>
      </c>
      <c r="G310" s="85"/>
      <c r="I310" s="85"/>
      <c r="K310" s="85"/>
      <c r="M310" s="85"/>
    </row>
    <row r="311" spans="1:13" x14ac:dyDescent="0.25">
      <c r="A311" s="11">
        <v>43440</v>
      </c>
      <c r="B311" s="101" t="s">
        <v>512</v>
      </c>
      <c r="C311" s="5">
        <v>0</v>
      </c>
      <c r="D311" s="33">
        <v>1197800</v>
      </c>
      <c r="E311" s="5">
        <f t="shared" si="4"/>
        <v>14302283</v>
      </c>
      <c r="F311" s="32" t="s">
        <v>351</v>
      </c>
      <c r="G311" s="85"/>
      <c r="I311" s="85"/>
      <c r="K311" s="85"/>
      <c r="M311" s="85"/>
    </row>
    <row r="312" spans="1:13" x14ac:dyDescent="0.25">
      <c r="A312" s="11">
        <v>43441</v>
      </c>
      <c r="B312" s="101" t="s">
        <v>477</v>
      </c>
      <c r="C312" s="5">
        <v>0</v>
      </c>
      <c r="D312" s="33">
        <v>400000</v>
      </c>
      <c r="E312" s="5">
        <f t="shared" si="4"/>
        <v>13902283</v>
      </c>
      <c r="F312" s="32" t="s">
        <v>64</v>
      </c>
      <c r="G312" s="85"/>
      <c r="I312" s="85"/>
      <c r="K312" s="85"/>
      <c r="M312" s="85"/>
    </row>
    <row r="313" spans="1:13" x14ac:dyDescent="0.25">
      <c r="A313" s="11">
        <v>43441</v>
      </c>
      <c r="B313" s="101" t="s">
        <v>496</v>
      </c>
      <c r="C313" s="5">
        <v>0</v>
      </c>
      <c r="D313" s="33">
        <v>184400</v>
      </c>
      <c r="E313" s="5">
        <f t="shared" si="4"/>
        <v>13717883</v>
      </c>
      <c r="F313" s="32" t="s">
        <v>351</v>
      </c>
      <c r="G313" s="85"/>
      <c r="I313" s="85"/>
      <c r="K313" s="85"/>
      <c r="M313" s="85"/>
    </row>
    <row r="314" spans="1:13" x14ac:dyDescent="0.25">
      <c r="A314" s="11">
        <v>43442</v>
      </c>
      <c r="B314" s="87" t="s">
        <v>475</v>
      </c>
      <c r="C314" s="5">
        <v>0</v>
      </c>
      <c r="D314" s="33">
        <v>1800000</v>
      </c>
      <c r="E314" s="5">
        <f t="shared" si="4"/>
        <v>11917883</v>
      </c>
      <c r="F314" s="32" t="s">
        <v>373</v>
      </c>
      <c r="G314" s="85"/>
      <c r="I314" s="85"/>
      <c r="K314" s="85"/>
      <c r="M314" s="85"/>
    </row>
    <row r="315" spans="1:13" x14ac:dyDescent="0.25">
      <c r="A315" s="11">
        <v>43442</v>
      </c>
      <c r="B315" s="87" t="s">
        <v>476</v>
      </c>
      <c r="C315" s="5">
        <v>0</v>
      </c>
      <c r="D315" s="33">
        <v>880000</v>
      </c>
      <c r="E315" s="5">
        <f t="shared" si="4"/>
        <v>11037883</v>
      </c>
      <c r="F315" s="32" t="s">
        <v>373</v>
      </c>
      <c r="G315" s="85"/>
      <c r="I315" s="85"/>
      <c r="K315" s="85"/>
      <c r="M315" s="85"/>
    </row>
    <row r="316" spans="1:13" x14ac:dyDescent="0.25">
      <c r="A316" s="11">
        <v>43442</v>
      </c>
      <c r="B316" s="87" t="s">
        <v>486</v>
      </c>
      <c r="C316" s="5">
        <v>0</v>
      </c>
      <c r="D316" s="33">
        <v>1200000</v>
      </c>
      <c r="E316" s="5">
        <f t="shared" si="4"/>
        <v>9837883</v>
      </c>
      <c r="F316" s="32" t="s">
        <v>373</v>
      </c>
      <c r="G316" s="85"/>
      <c r="I316" s="85"/>
      <c r="K316" s="85"/>
      <c r="M316" s="85"/>
    </row>
    <row r="317" spans="1:13" ht="15.75" customHeight="1" x14ac:dyDescent="0.25">
      <c r="A317" s="11">
        <v>43420</v>
      </c>
      <c r="B317" s="41" t="s">
        <v>432</v>
      </c>
      <c r="C317" s="5">
        <v>26000000</v>
      </c>
      <c r="D317" s="33">
        <v>0</v>
      </c>
      <c r="E317" s="5">
        <f t="shared" si="4"/>
        <v>35837883</v>
      </c>
      <c r="F317" s="32" t="s">
        <v>431</v>
      </c>
      <c r="G317" s="85"/>
      <c r="I317" s="85"/>
      <c r="K317" s="85"/>
      <c r="M317" s="85"/>
    </row>
    <row r="318" spans="1:13" x14ac:dyDescent="0.25">
      <c r="A318" s="11">
        <v>43445</v>
      </c>
      <c r="B318" s="101" t="s">
        <v>497</v>
      </c>
      <c r="C318" s="5">
        <v>0</v>
      </c>
      <c r="D318" s="33">
        <v>797500</v>
      </c>
      <c r="E318" s="5">
        <f t="shared" si="4"/>
        <v>35040383</v>
      </c>
      <c r="F318" s="32" t="s">
        <v>351</v>
      </c>
      <c r="G318" s="85"/>
      <c r="I318" s="85"/>
      <c r="K318" s="85"/>
      <c r="M318" s="85"/>
    </row>
    <row r="319" spans="1:13" x14ac:dyDescent="0.25">
      <c r="A319" s="11">
        <v>43445</v>
      </c>
      <c r="B319" s="101" t="s">
        <v>498</v>
      </c>
      <c r="C319" s="5">
        <v>0</v>
      </c>
      <c r="D319" s="33">
        <v>39000</v>
      </c>
      <c r="E319" s="5">
        <f t="shared" si="4"/>
        <v>35001383</v>
      </c>
      <c r="F319" s="32" t="s">
        <v>351</v>
      </c>
      <c r="G319" s="85"/>
      <c r="I319" s="85"/>
      <c r="K319" s="85"/>
      <c r="M319" s="85"/>
    </row>
    <row r="320" spans="1:13" x14ac:dyDescent="0.25">
      <c r="A320" s="11">
        <v>43445</v>
      </c>
      <c r="B320" s="101" t="s">
        <v>520</v>
      </c>
      <c r="C320" s="5">
        <v>0</v>
      </c>
      <c r="D320" s="33">
        <v>200000</v>
      </c>
      <c r="E320" s="5">
        <f t="shared" si="4"/>
        <v>34801383</v>
      </c>
      <c r="F320" s="32" t="s">
        <v>64</v>
      </c>
      <c r="G320" s="85"/>
      <c r="I320" s="85"/>
      <c r="K320" s="85"/>
      <c r="M320" s="85"/>
    </row>
    <row r="321" spans="1:13" x14ac:dyDescent="0.25">
      <c r="A321" s="11">
        <v>43445</v>
      </c>
      <c r="B321" s="101" t="s">
        <v>499</v>
      </c>
      <c r="C321" s="5">
        <v>0</v>
      </c>
      <c r="D321" s="33">
        <v>1000000</v>
      </c>
      <c r="E321" s="5">
        <f t="shared" si="4"/>
        <v>33801383</v>
      </c>
      <c r="F321" s="32" t="s">
        <v>351</v>
      </c>
      <c r="G321" s="85"/>
      <c r="I321" s="85"/>
      <c r="K321" s="85"/>
      <c r="M321" s="85"/>
    </row>
    <row r="322" spans="1:13" x14ac:dyDescent="0.25">
      <c r="A322" s="11">
        <v>43444</v>
      </c>
      <c r="B322" s="101" t="s">
        <v>501</v>
      </c>
      <c r="C322" s="5">
        <v>0</v>
      </c>
      <c r="D322" s="33">
        <v>1000000</v>
      </c>
      <c r="E322" s="5">
        <f t="shared" si="4"/>
        <v>32801383</v>
      </c>
      <c r="F322" s="32" t="s">
        <v>64</v>
      </c>
      <c r="G322" s="85"/>
      <c r="I322" s="85"/>
      <c r="K322" s="85"/>
      <c r="M322" s="85"/>
    </row>
    <row r="323" spans="1:13" x14ac:dyDescent="0.25">
      <c r="A323" s="11">
        <v>43449</v>
      </c>
      <c r="B323" s="101" t="s">
        <v>509</v>
      </c>
      <c r="C323" s="5">
        <v>0</v>
      </c>
      <c r="D323" s="33">
        <v>672800</v>
      </c>
      <c r="E323" s="5">
        <f t="shared" si="4"/>
        <v>32128583</v>
      </c>
      <c r="F323" s="32" t="s">
        <v>351</v>
      </c>
      <c r="G323" s="85"/>
      <c r="I323" s="85"/>
      <c r="K323" s="85"/>
      <c r="M323" s="85"/>
    </row>
    <row r="324" spans="1:13" x14ac:dyDescent="0.25">
      <c r="A324" s="11">
        <v>43449</v>
      </c>
      <c r="B324" s="87" t="s">
        <v>507</v>
      </c>
      <c r="C324" s="5">
        <v>0</v>
      </c>
      <c r="D324" s="33">
        <v>2000000</v>
      </c>
      <c r="E324" s="5">
        <f t="shared" si="4"/>
        <v>30128583</v>
      </c>
      <c r="F324" s="32" t="s">
        <v>373</v>
      </c>
      <c r="G324" s="85"/>
      <c r="I324" s="85"/>
      <c r="K324" s="85"/>
      <c r="M324" s="85"/>
    </row>
    <row r="325" spans="1:13" x14ac:dyDescent="0.25">
      <c r="A325" s="11">
        <v>43449</v>
      </c>
      <c r="B325" s="87" t="s">
        <v>508</v>
      </c>
      <c r="C325" s="5">
        <v>0</v>
      </c>
      <c r="D325" s="33">
        <v>1000000</v>
      </c>
      <c r="E325" s="5">
        <f t="shared" si="4"/>
        <v>29128583</v>
      </c>
      <c r="F325" s="32" t="s">
        <v>373</v>
      </c>
      <c r="G325" s="85"/>
      <c r="I325" s="85"/>
      <c r="K325" s="85"/>
      <c r="M325" s="85"/>
    </row>
    <row r="326" spans="1:13" x14ac:dyDescent="0.25">
      <c r="A326" s="11">
        <v>43449</v>
      </c>
      <c r="B326" s="87" t="s">
        <v>510</v>
      </c>
      <c r="C326" s="5">
        <v>0</v>
      </c>
      <c r="D326" s="106">
        <v>2022480</v>
      </c>
      <c r="E326" s="5">
        <f t="shared" ref="E326:E346" si="5">+E325+C326-D326</f>
        <v>27106103</v>
      </c>
      <c r="F326" s="32" t="s">
        <v>351</v>
      </c>
      <c r="G326" s="85"/>
      <c r="I326" s="85"/>
      <c r="K326" s="85"/>
      <c r="M326" s="85"/>
    </row>
    <row r="327" spans="1:13" x14ac:dyDescent="0.25">
      <c r="A327" s="11">
        <v>43449</v>
      </c>
      <c r="B327" s="87" t="s">
        <v>511</v>
      </c>
      <c r="C327" s="5">
        <v>0</v>
      </c>
      <c r="D327" s="33">
        <v>180000</v>
      </c>
      <c r="E327" s="5">
        <f t="shared" si="5"/>
        <v>26926103</v>
      </c>
      <c r="F327" s="32" t="s">
        <v>351</v>
      </c>
      <c r="G327" s="85"/>
      <c r="I327" s="85"/>
      <c r="K327" s="85"/>
      <c r="M327" s="85"/>
    </row>
    <row r="328" spans="1:13" x14ac:dyDescent="0.25">
      <c r="A328" s="11">
        <v>43449</v>
      </c>
      <c r="B328" s="87" t="s">
        <v>515</v>
      </c>
      <c r="C328" s="5">
        <v>0</v>
      </c>
      <c r="D328" s="33">
        <v>66000</v>
      </c>
      <c r="E328" s="5">
        <f t="shared" si="5"/>
        <v>26860103</v>
      </c>
      <c r="F328" s="32" t="s">
        <v>62</v>
      </c>
      <c r="G328" s="85"/>
      <c r="I328" s="85"/>
      <c r="K328" s="85"/>
      <c r="M328" s="85"/>
    </row>
    <row r="329" spans="1:13" x14ac:dyDescent="0.25">
      <c r="A329" s="11">
        <v>43450</v>
      </c>
      <c r="B329" s="101" t="s">
        <v>519</v>
      </c>
      <c r="C329" s="5">
        <v>0</v>
      </c>
      <c r="D329" s="33">
        <v>1400000</v>
      </c>
      <c r="E329" s="5">
        <f t="shared" si="5"/>
        <v>25460103</v>
      </c>
      <c r="F329" s="32" t="s">
        <v>64</v>
      </c>
      <c r="G329" s="85"/>
      <c r="I329" s="85"/>
      <c r="K329" s="85"/>
      <c r="M329" s="85"/>
    </row>
    <row r="330" spans="1:13" x14ac:dyDescent="0.25">
      <c r="A330" s="11">
        <v>43451</v>
      </c>
      <c r="B330" s="87" t="s">
        <v>517</v>
      </c>
      <c r="C330" s="5">
        <v>0</v>
      </c>
      <c r="D330" s="33">
        <v>24725</v>
      </c>
      <c r="E330" s="5">
        <f t="shared" si="5"/>
        <v>25435378</v>
      </c>
      <c r="F330" s="32" t="s">
        <v>64</v>
      </c>
      <c r="G330" s="85"/>
      <c r="I330" s="85"/>
      <c r="K330" s="85"/>
      <c r="M330" s="85"/>
    </row>
    <row r="331" spans="1:13" x14ac:dyDescent="0.25">
      <c r="A331" s="11">
        <v>43451</v>
      </c>
      <c r="B331" s="87" t="s">
        <v>517</v>
      </c>
      <c r="C331" s="5">
        <v>0</v>
      </c>
      <c r="D331" s="33">
        <v>50000</v>
      </c>
      <c r="E331" s="5">
        <f t="shared" si="5"/>
        <v>25385378</v>
      </c>
      <c r="F331" s="32" t="s">
        <v>64</v>
      </c>
      <c r="G331" s="85"/>
      <c r="I331" s="85"/>
      <c r="K331" s="85"/>
      <c r="M331" s="85"/>
    </row>
    <row r="332" spans="1:13" x14ac:dyDescent="0.25">
      <c r="A332" s="11">
        <v>43451</v>
      </c>
      <c r="B332" s="87" t="s">
        <v>516</v>
      </c>
      <c r="C332" s="5">
        <v>0</v>
      </c>
      <c r="D332" s="33">
        <v>400000</v>
      </c>
      <c r="E332" s="5">
        <f t="shared" si="5"/>
        <v>24985378</v>
      </c>
      <c r="F332" s="32" t="s">
        <v>351</v>
      </c>
      <c r="G332" s="85"/>
      <c r="I332" s="85"/>
      <c r="K332" s="85"/>
      <c r="M332" s="85"/>
    </row>
    <row r="333" spans="1:13" x14ac:dyDescent="0.25">
      <c r="A333" s="11">
        <v>43451</v>
      </c>
      <c r="B333" s="101" t="s">
        <v>521</v>
      </c>
      <c r="C333" s="5">
        <v>0</v>
      </c>
      <c r="D333" s="33">
        <v>600000</v>
      </c>
      <c r="E333" s="5">
        <f t="shared" si="5"/>
        <v>24385378</v>
      </c>
      <c r="F333" s="32" t="s">
        <v>64</v>
      </c>
      <c r="G333" s="85"/>
      <c r="I333" s="85"/>
      <c r="K333" s="85"/>
      <c r="M333" s="85"/>
    </row>
    <row r="334" spans="1:13" x14ac:dyDescent="0.25">
      <c r="A334" s="11">
        <v>43451</v>
      </c>
      <c r="B334" s="87" t="s">
        <v>94</v>
      </c>
      <c r="C334" s="5">
        <v>0</v>
      </c>
      <c r="D334" s="33">
        <v>333400</v>
      </c>
      <c r="E334" s="5">
        <f t="shared" si="5"/>
        <v>24051978</v>
      </c>
      <c r="F334" s="32" t="s">
        <v>351</v>
      </c>
      <c r="G334" s="85"/>
      <c r="I334" s="85"/>
      <c r="K334" s="85"/>
      <c r="M334" s="85"/>
    </row>
    <row r="335" spans="1:13" x14ac:dyDescent="0.25">
      <c r="A335" s="11">
        <v>43452</v>
      </c>
      <c r="B335" s="101" t="s">
        <v>522</v>
      </c>
      <c r="C335" s="5">
        <v>0</v>
      </c>
      <c r="D335" s="33">
        <v>550000</v>
      </c>
      <c r="E335" s="5">
        <f t="shared" si="5"/>
        <v>23501978</v>
      </c>
      <c r="F335" s="32" t="s">
        <v>64</v>
      </c>
      <c r="G335" s="85"/>
      <c r="I335" s="85"/>
      <c r="K335" s="85"/>
      <c r="M335" s="85"/>
    </row>
    <row r="336" spans="1:13" x14ac:dyDescent="0.25">
      <c r="A336" s="11">
        <v>43454</v>
      </c>
      <c r="B336" s="101" t="s">
        <v>523</v>
      </c>
      <c r="C336" s="5">
        <v>0</v>
      </c>
      <c r="D336" s="33">
        <v>100000</v>
      </c>
      <c r="E336" s="5">
        <f t="shared" si="5"/>
        <v>23401978</v>
      </c>
      <c r="F336" s="32" t="s">
        <v>64</v>
      </c>
      <c r="G336" s="85"/>
      <c r="I336" s="85"/>
      <c r="K336" s="85"/>
      <c r="M336" s="85"/>
    </row>
    <row r="337" spans="1:13" x14ac:dyDescent="0.25">
      <c r="A337" s="11">
        <v>43454</v>
      </c>
      <c r="B337" s="101" t="s">
        <v>524</v>
      </c>
      <c r="C337" s="5">
        <v>0</v>
      </c>
      <c r="D337" s="33">
        <v>500000</v>
      </c>
      <c r="E337" s="5">
        <f t="shared" si="5"/>
        <v>22901978</v>
      </c>
      <c r="F337" s="32" t="s">
        <v>64</v>
      </c>
      <c r="G337" s="85"/>
      <c r="I337" s="85"/>
      <c r="K337" s="85"/>
      <c r="M337" s="85"/>
    </row>
    <row r="338" spans="1:13" x14ac:dyDescent="0.25">
      <c r="A338" s="11">
        <v>43455</v>
      </c>
      <c r="B338" s="87" t="s">
        <v>94</v>
      </c>
      <c r="C338" s="5">
        <v>0</v>
      </c>
      <c r="D338" s="33">
        <v>73000</v>
      </c>
      <c r="E338" s="5">
        <f t="shared" si="5"/>
        <v>22828978</v>
      </c>
      <c r="F338" s="32" t="s">
        <v>351</v>
      </c>
      <c r="G338" s="85"/>
      <c r="I338" s="85"/>
      <c r="K338" s="85"/>
      <c r="M338" s="85"/>
    </row>
    <row r="339" spans="1:13" x14ac:dyDescent="0.25">
      <c r="A339" s="11">
        <v>43455</v>
      </c>
      <c r="B339" s="101" t="s">
        <v>527</v>
      </c>
      <c r="C339" s="5">
        <v>0</v>
      </c>
      <c r="D339" s="33">
        <v>200000</v>
      </c>
      <c r="E339" s="5">
        <f t="shared" si="5"/>
        <v>22628978</v>
      </c>
      <c r="F339" s="32" t="s">
        <v>64</v>
      </c>
      <c r="G339" s="85"/>
      <c r="I339" s="85"/>
      <c r="K339" s="85"/>
      <c r="M339" s="85"/>
    </row>
    <row r="340" spans="1:13" x14ac:dyDescent="0.25">
      <c r="A340" s="11">
        <v>43456</v>
      </c>
      <c r="B340" s="101" t="s">
        <v>526</v>
      </c>
      <c r="C340" s="5">
        <v>0</v>
      </c>
      <c r="D340" s="33">
        <v>1000000</v>
      </c>
      <c r="E340" s="5">
        <f t="shared" si="5"/>
        <v>21628978</v>
      </c>
      <c r="F340" s="32" t="s">
        <v>64</v>
      </c>
      <c r="G340" s="85"/>
      <c r="I340" s="85"/>
      <c r="K340" s="85"/>
      <c r="M340" s="85"/>
    </row>
    <row r="341" spans="1:13" x14ac:dyDescent="0.25">
      <c r="A341" s="11">
        <v>43456</v>
      </c>
      <c r="B341" s="101" t="s">
        <v>525</v>
      </c>
      <c r="C341" s="5">
        <v>0</v>
      </c>
      <c r="D341" s="33">
        <v>850000</v>
      </c>
      <c r="E341" s="5">
        <f t="shared" si="5"/>
        <v>20778978</v>
      </c>
      <c r="F341" s="32" t="s">
        <v>64</v>
      </c>
      <c r="G341" s="85"/>
      <c r="I341" s="85"/>
      <c r="K341" s="85"/>
      <c r="M341" s="85"/>
    </row>
    <row r="342" spans="1:13" x14ac:dyDescent="0.25">
      <c r="A342" s="11">
        <v>43456</v>
      </c>
      <c r="B342" s="87" t="s">
        <v>528</v>
      </c>
      <c r="C342" s="5">
        <v>0</v>
      </c>
      <c r="D342" s="33">
        <v>8800</v>
      </c>
      <c r="E342" s="5">
        <f t="shared" si="5"/>
        <v>20770178</v>
      </c>
      <c r="F342" s="32" t="s">
        <v>62</v>
      </c>
      <c r="G342" s="85"/>
      <c r="I342" s="85"/>
      <c r="K342" s="85"/>
      <c r="M342" s="85"/>
    </row>
    <row r="343" spans="1:13" x14ac:dyDescent="0.25">
      <c r="A343" s="11">
        <v>43456</v>
      </c>
      <c r="B343" s="87" t="s">
        <v>529</v>
      </c>
      <c r="C343" s="5">
        <v>0</v>
      </c>
      <c r="D343" s="33">
        <v>1500000</v>
      </c>
      <c r="E343" s="5">
        <f t="shared" si="5"/>
        <v>19270178</v>
      </c>
      <c r="F343" s="32" t="s">
        <v>182</v>
      </c>
      <c r="G343" s="85"/>
      <c r="I343" s="85"/>
      <c r="K343" s="85"/>
      <c r="M343" s="85"/>
    </row>
    <row r="344" spans="1:13" x14ac:dyDescent="0.25">
      <c r="A344" s="11">
        <v>43456</v>
      </c>
      <c r="B344" s="87" t="s">
        <v>531</v>
      </c>
      <c r="C344" s="5">
        <v>0</v>
      </c>
      <c r="D344" s="33">
        <v>55600</v>
      </c>
      <c r="E344" s="5">
        <f t="shared" si="5"/>
        <v>19214578</v>
      </c>
      <c r="F344" s="32" t="s">
        <v>182</v>
      </c>
      <c r="G344" s="85"/>
      <c r="I344" s="85"/>
      <c r="K344" s="85"/>
      <c r="M344" s="85"/>
    </row>
    <row r="345" spans="1:13" x14ac:dyDescent="0.25">
      <c r="A345" s="11">
        <v>43456</v>
      </c>
      <c r="B345" s="101" t="s">
        <v>530</v>
      </c>
      <c r="C345" s="5">
        <v>0</v>
      </c>
      <c r="D345" s="33">
        <v>1000000</v>
      </c>
      <c r="E345" s="5">
        <f t="shared" si="5"/>
        <v>18214578</v>
      </c>
      <c r="F345" s="32" t="s">
        <v>64</v>
      </c>
      <c r="G345" s="85"/>
      <c r="I345" s="85"/>
      <c r="K345" s="85"/>
      <c r="M345" s="85"/>
    </row>
    <row r="346" spans="1:13" x14ac:dyDescent="0.25">
      <c r="A346" s="11">
        <v>43455</v>
      </c>
      <c r="B346" s="87" t="s">
        <v>94</v>
      </c>
      <c r="C346" s="5">
        <v>0</v>
      </c>
      <c r="D346" s="33">
        <v>284200</v>
      </c>
      <c r="E346" s="5">
        <f t="shared" si="5"/>
        <v>17930378</v>
      </c>
      <c r="F346" s="32" t="s">
        <v>351</v>
      </c>
      <c r="G346" s="85"/>
      <c r="I346" s="85"/>
      <c r="K346" s="85"/>
      <c r="M346" s="85"/>
    </row>
    <row r="347" spans="1:13" s="42" customFormat="1" x14ac:dyDescent="0.25">
      <c r="B347" s="98"/>
      <c r="C347" s="99"/>
      <c r="D347" s="99"/>
      <c r="E347" s="99"/>
      <c r="G347" s="100"/>
      <c r="H347" s="100"/>
      <c r="I347" s="100"/>
      <c r="J347" s="100"/>
      <c r="K347" s="100"/>
      <c r="L347" s="100"/>
      <c r="M347" s="100"/>
    </row>
    <row r="348" spans="1:13" x14ac:dyDescent="0.25">
      <c r="B348" s="8"/>
      <c r="C348" s="5"/>
      <c r="D348" s="5"/>
      <c r="E348" s="5"/>
    </row>
    <row r="349" spans="1:13" x14ac:dyDescent="0.25">
      <c r="B349" s="9" t="s">
        <v>23</v>
      </c>
      <c r="C349" s="10"/>
      <c r="D349" s="10"/>
      <c r="E349" s="10">
        <f>SUM(E346:E348)</f>
        <v>17930378</v>
      </c>
    </row>
    <row r="353" spans="5:5" x14ac:dyDescent="0.25">
      <c r="E353" s="35"/>
    </row>
  </sheetData>
  <mergeCells count="1">
    <mergeCell ref="G11:K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4"/>
  <sheetViews>
    <sheetView workbookViewId="0">
      <selection activeCell="E12" sqref="E12"/>
    </sheetView>
  </sheetViews>
  <sheetFormatPr baseColWidth="10" defaultColWidth="9.140625" defaultRowHeight="15" x14ac:dyDescent="0.25"/>
  <cols>
    <col min="2" max="2" width="46.42578125" bestFit="1" customWidth="1"/>
    <col min="3" max="3" width="11.7109375" style="1" bestFit="1" customWidth="1"/>
  </cols>
  <sheetData>
    <row r="2" spans="2:11" x14ac:dyDescent="0.25">
      <c r="B2" s="2" t="s">
        <v>4</v>
      </c>
      <c r="C2" s="3" t="s">
        <v>6</v>
      </c>
    </row>
    <row r="3" spans="2:11" x14ac:dyDescent="0.25">
      <c r="B3" s="4" t="s">
        <v>5</v>
      </c>
      <c r="C3" s="5">
        <v>4000000</v>
      </c>
    </row>
    <row r="4" spans="2:11" x14ac:dyDescent="0.25">
      <c r="B4" s="4" t="s">
        <v>7</v>
      </c>
      <c r="C4" s="5">
        <v>2000000</v>
      </c>
    </row>
    <row r="5" spans="2:11" x14ac:dyDescent="0.25">
      <c r="B5" s="4" t="s">
        <v>8</v>
      </c>
      <c r="C5" s="5">
        <v>900000</v>
      </c>
      <c r="K5" t="s">
        <v>0</v>
      </c>
    </row>
    <row r="6" spans="2:11" x14ac:dyDescent="0.25">
      <c r="B6" s="4" t="s">
        <v>9</v>
      </c>
      <c r="C6" s="5">
        <v>2000000</v>
      </c>
      <c r="K6" t="s">
        <v>1</v>
      </c>
    </row>
    <row r="7" spans="2:11" x14ac:dyDescent="0.25">
      <c r="B7" s="4" t="s">
        <v>10</v>
      </c>
      <c r="C7" s="5">
        <v>210000</v>
      </c>
      <c r="K7" t="s">
        <v>2</v>
      </c>
    </row>
    <row r="8" spans="2:11" x14ac:dyDescent="0.25">
      <c r="B8" s="4" t="s">
        <v>11</v>
      </c>
      <c r="C8" s="5">
        <v>2526850</v>
      </c>
      <c r="K8" t="s">
        <v>3</v>
      </c>
    </row>
    <row r="9" spans="2:11" x14ac:dyDescent="0.25">
      <c r="B9" s="4" t="s">
        <v>12</v>
      </c>
      <c r="C9" s="5">
        <v>150000</v>
      </c>
    </row>
    <row r="10" spans="2:11" ht="45" x14ac:dyDescent="0.25">
      <c r="B10" s="6" t="s">
        <v>13</v>
      </c>
      <c r="C10" s="5">
        <v>325000</v>
      </c>
    </row>
    <row r="11" spans="2:11" x14ac:dyDescent="0.25">
      <c r="B11" s="4" t="s">
        <v>10</v>
      </c>
      <c r="C11" s="5">
        <v>180000</v>
      </c>
    </row>
    <row r="12" spans="2:11" x14ac:dyDescent="0.25">
      <c r="B12" s="4" t="s">
        <v>14</v>
      </c>
      <c r="C12" s="5">
        <v>170000</v>
      </c>
    </row>
    <row r="13" spans="2:11" x14ac:dyDescent="0.25">
      <c r="B13" s="4" t="s">
        <v>15</v>
      </c>
      <c r="C13" s="5">
        <v>60000</v>
      </c>
    </row>
    <row r="14" spans="2:11" x14ac:dyDescent="0.25">
      <c r="B14" s="4" t="s">
        <v>16</v>
      </c>
      <c r="C14" s="5">
        <v>1500000</v>
      </c>
    </row>
    <row r="15" spans="2:11" x14ac:dyDescent="0.25">
      <c r="B15" s="4" t="s">
        <v>17</v>
      </c>
      <c r="C15" s="5">
        <v>1000000</v>
      </c>
    </row>
    <row r="16" spans="2:11" x14ac:dyDescent="0.25">
      <c r="B16" s="4" t="s">
        <v>18</v>
      </c>
      <c r="C16" s="5">
        <v>2308000</v>
      </c>
    </row>
    <row r="17" spans="2:3" x14ac:dyDescent="0.25">
      <c r="B17" s="4" t="s">
        <v>19</v>
      </c>
      <c r="C17" s="5">
        <v>100000</v>
      </c>
    </row>
    <row r="18" spans="2:3" x14ac:dyDescent="0.25">
      <c r="B18" s="4" t="s">
        <v>10</v>
      </c>
      <c r="C18" s="5">
        <v>180000</v>
      </c>
    </row>
    <row r="19" spans="2:3" x14ac:dyDescent="0.25">
      <c r="B19" s="4" t="s">
        <v>10</v>
      </c>
      <c r="C19" s="5">
        <v>180000</v>
      </c>
    </row>
    <row r="20" spans="2:3" x14ac:dyDescent="0.25">
      <c r="B20" s="4" t="s">
        <v>20</v>
      </c>
      <c r="C20" s="5">
        <v>40000</v>
      </c>
    </row>
    <row r="21" spans="2:3" x14ac:dyDescent="0.25">
      <c r="B21" s="4" t="s">
        <v>21</v>
      </c>
      <c r="C21" s="5">
        <v>2000000</v>
      </c>
    </row>
    <row r="22" spans="2:3" x14ac:dyDescent="0.25">
      <c r="B22" s="7" t="s">
        <v>22</v>
      </c>
      <c r="C22" s="5">
        <v>1067000</v>
      </c>
    </row>
    <row r="23" spans="2:3" x14ac:dyDescent="0.25">
      <c r="B23" s="8"/>
      <c r="C23" s="5"/>
    </row>
    <row r="24" spans="2:3" x14ac:dyDescent="0.25">
      <c r="B24" s="9" t="s">
        <v>23</v>
      </c>
      <c r="C24" s="10">
        <f>SUM(C3:C22)</f>
        <v>20896850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4" workbookViewId="0">
      <selection activeCell="C24" sqref="C24"/>
    </sheetView>
  </sheetViews>
  <sheetFormatPr baseColWidth="10" defaultRowHeight="15" x14ac:dyDescent="0.25"/>
  <cols>
    <col min="2" max="2" width="11.42578125" style="39"/>
    <col min="3" max="3" width="12.7109375" style="39" bestFit="1" customWidth="1"/>
    <col min="4" max="4" width="11.42578125" style="39"/>
    <col min="5" max="5" width="35.5703125" bestFit="1" customWidth="1"/>
  </cols>
  <sheetData>
    <row r="1" spans="1:7" ht="18.75" x14ac:dyDescent="0.3">
      <c r="A1" s="82" t="s">
        <v>268</v>
      </c>
      <c r="B1" s="83"/>
      <c r="C1" s="83"/>
      <c r="D1" s="83" t="s">
        <v>301</v>
      </c>
    </row>
    <row r="2" spans="1:7" x14ac:dyDescent="0.25">
      <c r="A2" s="80" t="s">
        <v>269</v>
      </c>
      <c r="B2" s="81">
        <v>600000</v>
      </c>
      <c r="C2" s="81">
        <v>0</v>
      </c>
      <c r="D2" s="81">
        <v>200000</v>
      </c>
      <c r="E2" s="109" t="s">
        <v>300</v>
      </c>
    </row>
    <row r="3" spans="1:7" x14ac:dyDescent="0.25">
      <c r="A3" s="80" t="s">
        <v>270</v>
      </c>
      <c r="B3" s="81">
        <v>600000</v>
      </c>
      <c r="C3" s="81">
        <v>0</v>
      </c>
      <c r="D3" s="81">
        <v>200000</v>
      </c>
      <c r="E3" s="109"/>
    </row>
    <row r="4" spans="1:7" x14ac:dyDescent="0.25">
      <c r="A4" s="80" t="s">
        <v>299</v>
      </c>
      <c r="B4" s="81">
        <v>600000</v>
      </c>
      <c r="C4" s="81">
        <v>0</v>
      </c>
      <c r="D4" s="81">
        <v>200000</v>
      </c>
      <c r="E4" s="109"/>
    </row>
    <row r="5" spans="1:7" x14ac:dyDescent="0.25">
      <c r="A5" s="80" t="s">
        <v>270</v>
      </c>
      <c r="B5" s="81">
        <v>600000</v>
      </c>
      <c r="C5" s="81">
        <v>0</v>
      </c>
      <c r="D5" s="81">
        <v>200000</v>
      </c>
      <c r="E5" s="109"/>
    </row>
    <row r="6" spans="1:7" x14ac:dyDescent="0.25">
      <c r="A6" s="80" t="s">
        <v>271</v>
      </c>
      <c r="B6" s="81">
        <v>600000</v>
      </c>
      <c r="C6" s="81">
        <v>0</v>
      </c>
      <c r="D6" s="81">
        <v>200000</v>
      </c>
      <c r="E6" s="109"/>
    </row>
    <row r="7" spans="1:7" x14ac:dyDescent="0.25">
      <c r="A7" s="80" t="s">
        <v>272</v>
      </c>
      <c r="B7" s="81">
        <v>600000</v>
      </c>
      <c r="C7" s="81">
        <v>0</v>
      </c>
      <c r="D7" s="81">
        <v>200000</v>
      </c>
      <c r="E7" s="109"/>
    </row>
    <row r="8" spans="1:7" x14ac:dyDescent="0.25">
      <c r="A8" s="80" t="s">
        <v>273</v>
      </c>
      <c r="B8" s="81">
        <v>600000</v>
      </c>
      <c r="C8" s="81">
        <v>0</v>
      </c>
      <c r="D8" s="81">
        <v>200000</v>
      </c>
      <c r="E8" s="109"/>
    </row>
    <row r="9" spans="1:7" x14ac:dyDescent="0.25">
      <c r="A9" t="s">
        <v>274</v>
      </c>
      <c r="B9" s="39">
        <v>600000</v>
      </c>
      <c r="C9" s="39">
        <v>400000</v>
      </c>
      <c r="D9" s="81">
        <v>200000</v>
      </c>
    </row>
    <row r="10" spans="1:7" x14ac:dyDescent="0.25">
      <c r="A10" t="s">
        <v>275</v>
      </c>
      <c r="B10" s="39">
        <v>600000</v>
      </c>
      <c r="C10" s="39">
        <f>15000*4</f>
        <v>60000</v>
      </c>
      <c r="D10" s="81">
        <v>200000</v>
      </c>
    </row>
    <row r="11" spans="1:7" ht="18.75" x14ac:dyDescent="0.3">
      <c r="A11" t="s">
        <v>276</v>
      </c>
      <c r="B11" s="39">
        <v>600000</v>
      </c>
      <c r="C11" s="39">
        <f t="shared" ref="C11:C14" si="0">15000*4</f>
        <v>60000</v>
      </c>
      <c r="D11" s="81">
        <v>200000</v>
      </c>
      <c r="E11" s="40"/>
      <c r="F11" s="40"/>
      <c r="G11" s="40"/>
    </row>
    <row r="12" spans="1:7" x14ac:dyDescent="0.25">
      <c r="A12" t="s">
        <v>277</v>
      </c>
      <c r="B12" s="39">
        <v>600000</v>
      </c>
      <c r="C12" s="39">
        <f t="shared" si="0"/>
        <v>60000</v>
      </c>
      <c r="D12" s="81">
        <v>200000</v>
      </c>
    </row>
    <row r="13" spans="1:7" x14ac:dyDescent="0.25">
      <c r="A13" t="s">
        <v>278</v>
      </c>
      <c r="B13" s="39">
        <v>600000</v>
      </c>
      <c r="C13" s="39">
        <f t="shared" si="0"/>
        <v>60000</v>
      </c>
      <c r="D13" s="81">
        <v>200000</v>
      </c>
    </row>
    <row r="14" spans="1:7" x14ac:dyDescent="0.25">
      <c r="A14" t="s">
        <v>279</v>
      </c>
      <c r="B14" s="39">
        <v>600000</v>
      </c>
      <c r="C14" s="39">
        <f t="shared" si="0"/>
        <v>60000</v>
      </c>
      <c r="D14" s="81">
        <v>200000</v>
      </c>
    </row>
    <row r="15" spans="1:7" x14ac:dyDescent="0.25">
      <c r="A15" t="s">
        <v>280</v>
      </c>
      <c r="B15" s="39">
        <v>600000</v>
      </c>
      <c r="C15" s="39">
        <v>30000</v>
      </c>
      <c r="D15" s="81">
        <v>200000</v>
      </c>
      <c r="E15" t="s">
        <v>310</v>
      </c>
    </row>
    <row r="16" spans="1:7" x14ac:dyDescent="0.25">
      <c r="A16" t="s">
        <v>269</v>
      </c>
      <c r="B16" s="39">
        <v>600000</v>
      </c>
      <c r="C16" s="39">
        <v>30000</v>
      </c>
      <c r="D16" s="81">
        <v>200000</v>
      </c>
      <c r="E16" t="s">
        <v>403</v>
      </c>
    </row>
    <row r="17" spans="1:5" x14ac:dyDescent="0.25">
      <c r="A17" t="s">
        <v>270</v>
      </c>
      <c r="B17" s="39">
        <v>600000</v>
      </c>
      <c r="C17" s="39">
        <v>30000</v>
      </c>
      <c r="D17" s="81">
        <v>200000</v>
      </c>
      <c r="E17" t="s">
        <v>403</v>
      </c>
    </row>
    <row r="18" spans="1:5" x14ac:dyDescent="0.25">
      <c r="A18" t="s">
        <v>271</v>
      </c>
      <c r="B18" s="39">
        <v>600000</v>
      </c>
      <c r="C18" s="39">
        <f>15000*5</f>
        <v>75000</v>
      </c>
      <c r="D18" s="81">
        <v>200000</v>
      </c>
    </row>
    <row r="23" spans="1:5" x14ac:dyDescent="0.25">
      <c r="A23" s="108" t="s">
        <v>281</v>
      </c>
      <c r="B23" s="108"/>
      <c r="C23" s="39">
        <f>SUM(B2:C22)</f>
        <v>11065000</v>
      </c>
    </row>
    <row r="24" spans="1:5" x14ac:dyDescent="0.25">
      <c r="A24" s="110" t="s">
        <v>302</v>
      </c>
      <c r="B24" s="110"/>
      <c r="C24" s="50">
        <f>+C23-'Informe Totales Diamante '!L5</f>
        <v>5497000</v>
      </c>
    </row>
    <row r="25" spans="1:5" x14ac:dyDescent="0.25">
      <c r="A25" t="s">
        <v>303</v>
      </c>
      <c r="C25" s="39">
        <v>6000000</v>
      </c>
    </row>
    <row r="26" spans="1:5" x14ac:dyDescent="0.25">
      <c r="A26" t="s">
        <v>304</v>
      </c>
      <c r="C26" s="39">
        <v>0</v>
      </c>
    </row>
    <row r="27" spans="1:5" x14ac:dyDescent="0.25">
      <c r="A27" t="s">
        <v>305</v>
      </c>
      <c r="C27" s="39">
        <v>15000000</v>
      </c>
    </row>
    <row r="28" spans="1:5" x14ac:dyDescent="0.25">
      <c r="A28" t="s">
        <v>404</v>
      </c>
      <c r="C28" s="39">
        <v>-5000000</v>
      </c>
    </row>
    <row r="29" spans="1:5" x14ac:dyDescent="0.25">
      <c r="A29" t="s">
        <v>405</v>
      </c>
      <c r="C29" s="39">
        <v>-3000000</v>
      </c>
    </row>
    <row r="30" spans="1:5" x14ac:dyDescent="0.25">
      <c r="C30" s="39">
        <f>SUM(C24:C29)</f>
        <v>18497000</v>
      </c>
    </row>
  </sheetData>
  <mergeCells count="3">
    <mergeCell ref="A23:B23"/>
    <mergeCell ref="E2:E8"/>
    <mergeCell ref="A24:B2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71"/>
  <sheetViews>
    <sheetView topLeftCell="B34" zoomScaleNormal="100" workbookViewId="0">
      <selection activeCell="C50" sqref="C50"/>
    </sheetView>
  </sheetViews>
  <sheetFormatPr baseColWidth="10" defaultRowHeight="15" x14ac:dyDescent="0.25"/>
  <cols>
    <col min="2" max="2" width="63.140625" customWidth="1"/>
    <col min="3" max="3" width="17.140625" style="1" customWidth="1"/>
    <col min="4" max="4" width="11.7109375" style="1" bestFit="1" customWidth="1"/>
    <col min="6" max="6" width="11.7109375" style="1" bestFit="1" customWidth="1"/>
    <col min="7" max="7" width="28" bestFit="1" customWidth="1"/>
    <col min="8" max="8" width="2.42578125" customWidth="1"/>
    <col min="9" max="9" width="14.7109375" style="39" bestFit="1" customWidth="1"/>
  </cols>
  <sheetData>
    <row r="3" spans="2:10" x14ac:dyDescent="0.25">
      <c r="C3" s="1" t="s">
        <v>156</v>
      </c>
      <c r="D3" s="1" t="s">
        <v>157</v>
      </c>
    </row>
    <row r="4" spans="2:10" x14ac:dyDescent="0.25">
      <c r="B4" t="s">
        <v>131</v>
      </c>
      <c r="C4" s="1">
        <v>3000000</v>
      </c>
      <c r="G4" t="s">
        <v>132</v>
      </c>
      <c r="I4" s="39">
        <v>68000000</v>
      </c>
      <c r="J4" t="s">
        <v>313</v>
      </c>
    </row>
    <row r="5" spans="2:10" x14ac:dyDescent="0.25">
      <c r="B5" t="s">
        <v>160</v>
      </c>
      <c r="C5" s="1">
        <v>1000000</v>
      </c>
      <c r="D5" s="1">
        <v>0</v>
      </c>
      <c r="G5" s="42" t="s">
        <v>133</v>
      </c>
      <c r="H5" s="42"/>
      <c r="I5" s="50">
        <f ca="1">+C71</f>
        <v>4150000</v>
      </c>
    </row>
    <row r="6" spans="2:10" x14ac:dyDescent="0.25">
      <c r="B6" t="s">
        <v>161</v>
      </c>
      <c r="C6" s="1">
        <v>1800000</v>
      </c>
      <c r="D6" s="1">
        <v>1000000</v>
      </c>
      <c r="G6" t="s">
        <v>163</v>
      </c>
      <c r="I6" s="39">
        <f>+C19</f>
        <v>22245000</v>
      </c>
    </row>
    <row r="7" spans="2:10" x14ac:dyDescent="0.25">
      <c r="B7" s="42" t="s">
        <v>159</v>
      </c>
      <c r="C7" s="43">
        <v>2400000</v>
      </c>
      <c r="D7" s="43"/>
      <c r="G7" t="s">
        <v>164</v>
      </c>
      <c r="I7" s="39">
        <f>28709500*2</f>
        <v>57419000</v>
      </c>
    </row>
    <row r="8" spans="2:10" x14ac:dyDescent="0.25">
      <c r="B8" s="31" t="s">
        <v>155</v>
      </c>
      <c r="C8" s="66">
        <v>600000</v>
      </c>
    </row>
    <row r="9" spans="2:10" x14ac:dyDescent="0.25">
      <c r="B9" t="s">
        <v>125</v>
      </c>
      <c r="C9" s="1">
        <v>60000</v>
      </c>
      <c r="D9" s="1">
        <v>150000</v>
      </c>
      <c r="E9">
        <v>57</v>
      </c>
    </row>
    <row r="10" spans="2:10" x14ac:dyDescent="0.25">
      <c r="B10" t="s">
        <v>124</v>
      </c>
      <c r="C10" s="1">
        <v>1725000</v>
      </c>
      <c r="D10" s="1">
        <v>1630000</v>
      </c>
      <c r="E10">
        <v>6</v>
      </c>
      <c r="G10" s="42" t="s">
        <v>128</v>
      </c>
      <c r="H10" s="42"/>
      <c r="I10" s="50">
        <f ca="1">SUM(I4:I9)</f>
        <v>151814000</v>
      </c>
    </row>
    <row r="11" spans="2:10" x14ac:dyDescent="0.25">
      <c r="B11" t="s">
        <v>146</v>
      </c>
      <c r="C11" s="1">
        <v>1100000</v>
      </c>
      <c r="D11" s="1">
        <v>800000</v>
      </c>
      <c r="G11" t="s">
        <v>457</v>
      </c>
      <c r="I11" s="39">
        <f>+Diamante!K4</f>
        <v>75188198</v>
      </c>
      <c r="J11" t="s">
        <v>135</v>
      </c>
    </row>
    <row r="12" spans="2:10" x14ac:dyDescent="0.25">
      <c r="B12" s="42" t="s">
        <v>126</v>
      </c>
      <c r="C12" s="43">
        <v>500000</v>
      </c>
      <c r="D12" s="43">
        <v>1430000</v>
      </c>
      <c r="G12" t="s">
        <v>130</v>
      </c>
      <c r="I12" s="39">
        <f>+Diamante!I4</f>
        <v>58838400</v>
      </c>
      <c r="J12" t="s">
        <v>136</v>
      </c>
    </row>
    <row r="13" spans="2:10" x14ac:dyDescent="0.25">
      <c r="B13" t="s">
        <v>162</v>
      </c>
      <c r="C13" s="1">
        <v>1000000</v>
      </c>
      <c r="D13" s="1">
        <v>500000</v>
      </c>
      <c r="G13" t="s">
        <v>129</v>
      </c>
      <c r="I13" s="39">
        <f ca="1">+I10-I11-I12</f>
        <v>17787402</v>
      </c>
      <c r="J13" t="s">
        <v>137</v>
      </c>
    </row>
    <row r="14" spans="2:10" x14ac:dyDescent="0.25">
      <c r="B14" s="42" t="s">
        <v>158</v>
      </c>
      <c r="C14" s="43">
        <v>1000000</v>
      </c>
      <c r="D14" s="43">
        <v>200000</v>
      </c>
      <c r="F14" s="1" t="s">
        <v>145</v>
      </c>
    </row>
    <row r="15" spans="2:10" x14ac:dyDescent="0.25">
      <c r="B15" t="s">
        <v>168</v>
      </c>
      <c r="C15" s="67">
        <v>1000000</v>
      </c>
    </row>
    <row r="16" spans="2:10" x14ac:dyDescent="0.25">
      <c r="B16" t="s">
        <v>134</v>
      </c>
      <c r="C16" s="1">
        <v>950000</v>
      </c>
      <c r="D16" s="1">
        <v>400000</v>
      </c>
      <c r="G16" t="s">
        <v>296</v>
      </c>
      <c r="I16" s="39">
        <v>-6000000</v>
      </c>
    </row>
    <row r="17" spans="2:9" x14ac:dyDescent="0.25">
      <c r="G17" t="s">
        <v>297</v>
      </c>
      <c r="I17" s="39">
        <v>-5000000</v>
      </c>
    </row>
    <row r="18" spans="2:9" x14ac:dyDescent="0.25">
      <c r="G18" t="s">
        <v>298</v>
      </c>
      <c r="I18" s="39">
        <v>-12000000</v>
      </c>
    </row>
    <row r="19" spans="2:9" x14ac:dyDescent="0.25">
      <c r="B19" t="s">
        <v>127</v>
      </c>
      <c r="C19" s="1">
        <f>SUM(C3:D16)</f>
        <v>22245000</v>
      </c>
      <c r="G19" t="s">
        <v>64</v>
      </c>
      <c r="I19" s="39">
        <v>-20000000</v>
      </c>
    </row>
    <row r="20" spans="2:9" x14ac:dyDescent="0.25">
      <c r="G20" t="s">
        <v>306</v>
      </c>
      <c r="I20" s="39">
        <v>-5000000</v>
      </c>
    </row>
    <row r="22" spans="2:9" x14ac:dyDescent="0.25">
      <c r="B22" t="s">
        <v>147</v>
      </c>
      <c r="C22" s="1">
        <v>1000000</v>
      </c>
    </row>
    <row r="23" spans="2:9" x14ac:dyDescent="0.25">
      <c r="B23" t="s">
        <v>150</v>
      </c>
      <c r="C23" s="1">
        <f>1400000+1100000+400000</f>
        <v>2900000</v>
      </c>
    </row>
    <row r="24" spans="2:9" x14ac:dyDescent="0.25">
      <c r="B24" t="s">
        <v>148</v>
      </c>
      <c r="C24" s="1">
        <v>2365000</v>
      </c>
    </row>
    <row r="25" spans="2:9" x14ac:dyDescent="0.25">
      <c r="B25" t="s">
        <v>149</v>
      </c>
      <c r="C25" s="1">
        <v>400000</v>
      </c>
    </row>
    <row r="26" spans="2:9" x14ac:dyDescent="0.25">
      <c r="B26" t="s">
        <v>152</v>
      </c>
      <c r="C26" s="1">
        <v>300000</v>
      </c>
    </row>
    <row r="27" spans="2:9" x14ac:dyDescent="0.25">
      <c r="B27" t="s">
        <v>151</v>
      </c>
      <c r="C27" s="1">
        <f>SUM(C22:C26)</f>
        <v>6965000</v>
      </c>
    </row>
    <row r="28" spans="2:9" x14ac:dyDescent="0.25">
      <c r="B28" t="s">
        <v>153</v>
      </c>
      <c r="C28" s="1">
        <f>1500000+2800000</f>
        <v>4300000</v>
      </c>
    </row>
    <row r="29" spans="2:9" x14ac:dyDescent="0.25">
      <c r="B29" s="42" t="s">
        <v>154</v>
      </c>
      <c r="C29" s="43">
        <f>((C27-C28)*15%)+(C27-C28)</f>
        <v>3064750</v>
      </c>
    </row>
    <row r="35" spans="2:7" x14ac:dyDescent="0.25">
      <c r="B35" s="58" t="s">
        <v>183</v>
      </c>
      <c r="C35" s="56"/>
    </row>
    <row r="36" spans="2:7" x14ac:dyDescent="0.25">
      <c r="B36" t="s">
        <v>184</v>
      </c>
      <c r="C36" s="1">
        <f>300000*5*2</f>
        <v>3000000</v>
      </c>
      <c r="D36" s="1">
        <v>0</v>
      </c>
      <c r="E36" s="1"/>
    </row>
    <row r="37" spans="2:7" x14ac:dyDescent="0.25">
      <c r="B37" t="s">
        <v>185</v>
      </c>
      <c r="C37" s="1">
        <f>700000*4</f>
        <v>2800000</v>
      </c>
      <c r="D37" s="1">
        <v>200000</v>
      </c>
      <c r="E37" s="1"/>
      <c r="G37" t="s">
        <v>185</v>
      </c>
    </row>
    <row r="38" spans="2:7" x14ac:dyDescent="0.25">
      <c r="B38" t="s">
        <v>186</v>
      </c>
      <c r="C38" s="1">
        <v>1000000</v>
      </c>
      <c r="D38" s="1">
        <v>0</v>
      </c>
      <c r="E38" s="1"/>
      <c r="G38" t="s">
        <v>186</v>
      </c>
    </row>
    <row r="39" spans="2:7" x14ac:dyDescent="0.25">
      <c r="B39" t="s">
        <v>187</v>
      </c>
      <c r="C39" s="1">
        <v>15000000</v>
      </c>
      <c r="D39" s="1">
        <v>1000000</v>
      </c>
      <c r="E39" s="1"/>
      <c r="G39" t="s">
        <v>445</v>
      </c>
    </row>
    <row r="40" spans="2:7" x14ac:dyDescent="0.25">
      <c r="B40" t="s">
        <v>188</v>
      </c>
      <c r="C40" s="1">
        <f>500000*4</f>
        <v>2000000</v>
      </c>
      <c r="D40" s="1">
        <v>0</v>
      </c>
      <c r="E40" s="1"/>
      <c r="G40" t="s">
        <v>437</v>
      </c>
    </row>
    <row r="41" spans="2:7" x14ac:dyDescent="0.25">
      <c r="B41" t="s">
        <v>190</v>
      </c>
      <c r="C41" s="1">
        <v>2500000</v>
      </c>
      <c r="D41" s="1">
        <v>0</v>
      </c>
      <c r="E41" s="1"/>
      <c r="G41" t="s">
        <v>447</v>
      </c>
    </row>
    <row r="42" spans="2:7" x14ac:dyDescent="0.25">
      <c r="B42" t="s">
        <v>191</v>
      </c>
      <c r="C42" s="1">
        <v>1000000</v>
      </c>
      <c r="D42" s="1">
        <v>1000000</v>
      </c>
      <c r="E42" s="1"/>
      <c r="G42" t="s">
        <v>438</v>
      </c>
    </row>
    <row r="43" spans="2:7" x14ac:dyDescent="0.25">
      <c r="B43" t="s">
        <v>192</v>
      </c>
      <c r="C43" s="1">
        <f>500000*4</f>
        <v>2000000</v>
      </c>
      <c r="D43" s="1">
        <v>0</v>
      </c>
      <c r="E43" s="1"/>
      <c r="G43" t="s">
        <v>448</v>
      </c>
    </row>
    <row r="44" spans="2:7" x14ac:dyDescent="0.25">
      <c r="B44" t="s">
        <v>193</v>
      </c>
      <c r="C44" s="1">
        <f>400000*2*4</f>
        <v>3200000</v>
      </c>
      <c r="D44" s="1">
        <v>1000000</v>
      </c>
      <c r="E44" s="1"/>
      <c r="G44" t="s">
        <v>439</v>
      </c>
    </row>
    <row r="45" spans="2:7" x14ac:dyDescent="0.25">
      <c r="B45" t="s">
        <v>194</v>
      </c>
      <c r="C45" s="1">
        <f>400000*2*4</f>
        <v>3200000</v>
      </c>
      <c r="D45" s="1">
        <v>600000</v>
      </c>
      <c r="E45" s="1"/>
      <c r="G45" t="s">
        <v>440</v>
      </c>
    </row>
    <row r="46" spans="2:7" x14ac:dyDescent="0.25">
      <c r="B46" t="s">
        <v>195</v>
      </c>
      <c r="C46" s="1">
        <f>150000*2*4</f>
        <v>1200000</v>
      </c>
      <c r="D46" s="1">
        <v>1200000</v>
      </c>
      <c r="E46" s="1"/>
      <c r="G46" t="s">
        <v>441</v>
      </c>
    </row>
    <row r="47" spans="2:7" x14ac:dyDescent="0.25">
      <c r="B47" t="s">
        <v>200</v>
      </c>
      <c r="C47" s="1">
        <v>1000000</v>
      </c>
      <c r="D47" s="1">
        <v>1000000</v>
      </c>
      <c r="E47" s="1"/>
      <c r="G47" t="s">
        <v>442</v>
      </c>
    </row>
    <row r="48" spans="2:7" x14ac:dyDescent="0.25">
      <c r="B48" t="s">
        <v>201</v>
      </c>
      <c r="C48" s="1">
        <v>2000000</v>
      </c>
      <c r="D48" s="1">
        <v>0</v>
      </c>
      <c r="E48" s="1"/>
      <c r="G48" t="s">
        <v>449</v>
      </c>
    </row>
    <row r="49" spans="2:7" x14ac:dyDescent="0.25">
      <c r="B49" t="s">
        <v>204</v>
      </c>
      <c r="C49" s="1">
        <f>700000*3</f>
        <v>2100000</v>
      </c>
      <c r="D49" s="1">
        <v>0</v>
      </c>
      <c r="E49" s="1"/>
      <c r="G49" t="s">
        <v>443</v>
      </c>
    </row>
    <row r="50" spans="2:7" x14ac:dyDescent="0.25">
      <c r="B50" t="s">
        <v>203</v>
      </c>
      <c r="C50" s="1">
        <v>4000000</v>
      </c>
      <c r="D50" s="1">
        <v>0</v>
      </c>
      <c r="E50" s="1"/>
      <c r="G50" t="s">
        <v>444</v>
      </c>
    </row>
    <row r="51" spans="2:7" x14ac:dyDescent="0.25">
      <c r="B51" t="s">
        <v>208</v>
      </c>
      <c r="C51" s="1">
        <v>100000</v>
      </c>
      <c r="D51" s="1">
        <v>100000</v>
      </c>
      <c r="E51" s="1"/>
    </row>
    <row r="52" spans="2:7" x14ac:dyDescent="0.25">
      <c r="B52" t="s">
        <v>210</v>
      </c>
      <c r="C52" s="1">
        <v>1000000</v>
      </c>
      <c r="D52" s="1">
        <v>300000</v>
      </c>
      <c r="E52" s="1"/>
      <c r="G52" t="s">
        <v>446</v>
      </c>
    </row>
    <row r="53" spans="2:7" x14ac:dyDescent="0.25">
      <c r="B53" t="s">
        <v>211</v>
      </c>
      <c r="C53" s="1">
        <v>1000000</v>
      </c>
      <c r="D53" s="1">
        <v>0</v>
      </c>
      <c r="E53" s="1"/>
    </row>
    <row r="54" spans="2:7" x14ac:dyDescent="0.25">
      <c r="B54" t="s">
        <v>212</v>
      </c>
      <c r="C54" s="1">
        <v>1000000</v>
      </c>
      <c r="D54" s="1">
        <v>0</v>
      </c>
      <c r="E54" s="1"/>
    </row>
    <row r="55" spans="2:7" x14ac:dyDescent="0.25">
      <c r="B55" t="s">
        <v>209</v>
      </c>
      <c r="C55" s="1">
        <v>1000000</v>
      </c>
      <c r="D55" s="1">
        <v>0</v>
      </c>
      <c r="E55" s="1"/>
    </row>
    <row r="56" spans="2:7" ht="15.75" x14ac:dyDescent="0.25">
      <c r="B56" s="94" t="s">
        <v>361</v>
      </c>
      <c r="C56" s="93">
        <f>-(Diamante!U4)</f>
        <v>-54268161</v>
      </c>
    </row>
    <row r="57" spans="2:7" x14ac:dyDescent="0.25">
      <c r="B57" s="60" t="s">
        <v>202</v>
      </c>
      <c r="C57" s="61">
        <f>SUM(C36:C56)</f>
        <v>-4168161</v>
      </c>
    </row>
    <row r="61" spans="2:7" x14ac:dyDescent="0.25">
      <c r="C61" s="59">
        <v>43221</v>
      </c>
    </row>
    <row r="62" spans="2:7" ht="15.75" x14ac:dyDescent="0.25">
      <c r="B62" s="74" t="s">
        <v>288</v>
      </c>
      <c r="C62" s="79">
        <f ca="1">TODAY()</f>
        <v>43456</v>
      </c>
    </row>
    <row r="63" spans="2:7" x14ac:dyDescent="0.25">
      <c r="B63" t="s">
        <v>289</v>
      </c>
    </row>
    <row r="64" spans="2:7" x14ac:dyDescent="0.25">
      <c r="B64" t="s">
        <v>290</v>
      </c>
      <c r="C64" s="68">
        <v>1800000</v>
      </c>
    </row>
    <row r="65" spans="2:3" ht="15" customHeight="1" x14ac:dyDescent="0.25">
      <c r="B65" s="111" t="s">
        <v>291</v>
      </c>
    </row>
    <row r="66" spans="2:3" x14ac:dyDescent="0.25">
      <c r="B66" s="111"/>
    </row>
    <row r="67" spans="2:3" x14ac:dyDescent="0.25">
      <c r="B67" s="111"/>
    </row>
    <row r="68" spans="2:3" x14ac:dyDescent="0.25">
      <c r="B68" t="s">
        <v>292</v>
      </c>
      <c r="C68" s="1">
        <f ca="1">(300000/30)*(C62-C61)</f>
        <v>2350000</v>
      </c>
    </row>
    <row r="71" spans="2:3" x14ac:dyDescent="0.25">
      <c r="B71" s="73" t="s">
        <v>293</v>
      </c>
      <c r="C71" s="56">
        <f ca="1">SUM(C63:C68)</f>
        <v>4150000</v>
      </c>
    </row>
  </sheetData>
  <mergeCells count="1">
    <mergeCell ref="B65:B6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D25" sqref="D25"/>
    </sheetView>
  </sheetViews>
  <sheetFormatPr baseColWidth="10" defaultRowHeight="15" x14ac:dyDescent="0.25"/>
  <cols>
    <col min="1" max="1" width="32.140625" bestFit="1" customWidth="1"/>
    <col min="2" max="2" width="22.85546875" customWidth="1"/>
    <col min="3" max="3" width="19.42578125" style="1" bestFit="1" customWidth="1"/>
    <col min="4" max="4" width="15.7109375" style="1" bestFit="1" customWidth="1"/>
    <col min="5" max="5" width="19" bestFit="1" customWidth="1"/>
    <col min="6" max="6" width="18.42578125" style="1" bestFit="1" customWidth="1"/>
    <col min="7" max="7" width="6.140625" customWidth="1"/>
    <col min="8" max="8" width="18.85546875" bestFit="1" customWidth="1"/>
    <col min="9" max="9" width="15.28515625" style="1" bestFit="1" customWidth="1"/>
    <col min="10" max="10" width="4.28515625" customWidth="1"/>
    <col min="11" max="11" width="9.5703125" bestFit="1" customWidth="1"/>
  </cols>
  <sheetData>
    <row r="1" spans="1:12" x14ac:dyDescent="0.25">
      <c r="A1" s="62" t="s">
        <v>197</v>
      </c>
      <c r="B1" s="62"/>
      <c r="C1" s="63">
        <v>43438</v>
      </c>
    </row>
    <row r="3" spans="1:12" ht="15.75" x14ac:dyDescent="0.25">
      <c r="A3" s="112" t="s">
        <v>171</v>
      </c>
      <c r="B3" s="112"/>
      <c r="C3" s="112"/>
      <c r="E3" s="112" t="s">
        <v>175</v>
      </c>
      <c r="F3" s="112"/>
      <c r="H3" s="112" t="s">
        <v>178</v>
      </c>
      <c r="I3" s="112"/>
      <c r="K3" s="112" t="s">
        <v>205</v>
      </c>
      <c r="L3" s="112"/>
    </row>
    <row r="4" spans="1:12" x14ac:dyDescent="0.25">
      <c r="A4" t="s">
        <v>172</v>
      </c>
      <c r="C4" s="1">
        <f>+'[1]Gabriel informe'!$B$91+6000000</f>
        <v>21594402</v>
      </c>
      <c r="E4" s="75" t="s">
        <v>295</v>
      </c>
      <c r="F4" s="76">
        <f>78000000+2400000-Diamante!S4</f>
        <v>24400000</v>
      </c>
      <c r="H4" s="111" t="s">
        <v>179</v>
      </c>
      <c r="I4" s="113">
        <f>Diamante!$E$349</f>
        <v>17930378</v>
      </c>
      <c r="K4" s="64" t="s">
        <v>62</v>
      </c>
      <c r="L4" s="65">
        <f>+Diamante!G4</f>
        <v>5951263</v>
      </c>
    </row>
    <row r="5" spans="1:12" x14ac:dyDescent="0.25">
      <c r="A5" t="s">
        <v>173</v>
      </c>
      <c r="C5" s="1">
        <v>110000000</v>
      </c>
      <c r="D5" s="1" t="s">
        <v>207</v>
      </c>
      <c r="E5" t="s">
        <v>177</v>
      </c>
      <c r="F5" s="1">
        <v>110000000</v>
      </c>
      <c r="H5" s="111"/>
      <c r="I5" s="113"/>
      <c r="K5" s="64" t="s">
        <v>39</v>
      </c>
      <c r="L5" s="65">
        <f>+Diamante!M4</f>
        <v>5568000</v>
      </c>
    </row>
    <row r="6" spans="1:12" x14ac:dyDescent="0.25">
      <c r="A6" t="s">
        <v>196</v>
      </c>
      <c r="B6" s="59">
        <v>42811</v>
      </c>
      <c r="C6" s="53">
        <f>((20000000*2%)/30)*_xlfn.DAYS($C$1,B6)</f>
        <v>8360000</v>
      </c>
      <c r="D6" s="1">
        <f>((20000000*2%)/30)*30</f>
        <v>400000</v>
      </c>
      <c r="E6" s="75" t="s">
        <v>352</v>
      </c>
      <c r="F6" s="77">
        <f>84900000-(SUMIF(Diamante!F:F,"Leidy",Diamante!C:C))-2000000</f>
        <v>71600000</v>
      </c>
      <c r="I6" s="55"/>
      <c r="K6" t="s">
        <v>174</v>
      </c>
      <c r="L6" s="55">
        <v>3000000</v>
      </c>
    </row>
    <row r="7" spans="1:12" x14ac:dyDescent="0.25">
      <c r="A7" t="s">
        <v>198</v>
      </c>
      <c r="B7" s="59">
        <v>42885</v>
      </c>
      <c r="C7" s="53">
        <f>((10000000*2%)/30)*_xlfn.DAYS($C$1,B7)</f>
        <v>3686666.666666667</v>
      </c>
      <c r="D7" s="1">
        <f>((10000000*2%)/30)*30</f>
        <v>200000</v>
      </c>
      <c r="E7" s="75" t="s">
        <v>469</v>
      </c>
      <c r="F7" s="77">
        <f>74000000-(SUMIF(Diamante!F:F,"Ana",Diamante!C:C))</f>
        <v>0</v>
      </c>
      <c r="L7" s="1"/>
    </row>
    <row r="8" spans="1:12" x14ac:dyDescent="0.25">
      <c r="A8" s="75" t="s">
        <v>199</v>
      </c>
      <c r="B8" s="104">
        <v>43194</v>
      </c>
      <c r="C8" s="105">
        <f>((77000000*1.5%)/30)*_xlfn.DAYS($C$1,B8)</f>
        <v>9394000</v>
      </c>
      <c r="D8" s="1">
        <f>((77000000*1.5%)/30)*30</f>
        <v>1155000</v>
      </c>
      <c r="E8" t="s">
        <v>468</v>
      </c>
      <c r="F8" s="77">
        <f>84900000-(SUMIF(Diamante!F:F,"Karla",Diamante!C:C))-2000000</f>
        <v>77700000</v>
      </c>
    </row>
    <row r="9" spans="1:12" x14ac:dyDescent="0.25">
      <c r="A9" t="s">
        <v>174</v>
      </c>
      <c r="C9" s="1">
        <f>6000000-Diamante!Q4</f>
        <v>2800000</v>
      </c>
    </row>
    <row r="10" spans="1:12" x14ac:dyDescent="0.25">
      <c r="A10" t="s">
        <v>189</v>
      </c>
      <c r="C10" s="1">
        <v>0</v>
      </c>
      <c r="F10" s="68"/>
    </row>
    <row r="11" spans="1:12" x14ac:dyDescent="0.25">
      <c r="A11" t="s">
        <v>473</v>
      </c>
      <c r="C11" s="1">
        <f>+Jhon!C24</f>
        <v>5497000</v>
      </c>
    </row>
    <row r="14" spans="1:12" s="51" customFormat="1" ht="15.75" x14ac:dyDescent="0.25">
      <c r="A14" s="51" t="s">
        <v>474</v>
      </c>
      <c r="C14" s="54">
        <f>SUM(C4:C13)</f>
        <v>161332068.66666666</v>
      </c>
      <c r="D14" s="54"/>
      <c r="E14" s="51" t="s">
        <v>176</v>
      </c>
      <c r="F14" s="54">
        <f>SUM(F4:F13)</f>
        <v>283700000</v>
      </c>
      <c r="G14" s="52"/>
      <c r="H14" s="51" t="s">
        <v>176</v>
      </c>
      <c r="I14" s="54">
        <f t="shared" ref="I14" si="0">SUM(I4:I13)</f>
        <v>17930378</v>
      </c>
    </row>
    <row r="18" spans="1:4" x14ac:dyDescent="0.25">
      <c r="A18" t="s">
        <v>423</v>
      </c>
      <c r="C18" s="1" t="s">
        <v>180</v>
      </c>
      <c r="D18" s="1">
        <f>+F14+I14-C14</f>
        <v>140298309.33333334</v>
      </c>
    </row>
    <row r="19" spans="1:4" x14ac:dyDescent="0.25">
      <c r="A19" s="1">
        <f>+C8+C7+C6</f>
        <v>21440666.666666668</v>
      </c>
      <c r="B19" t="s">
        <v>424</v>
      </c>
      <c r="C19" s="1" t="s">
        <v>181</v>
      </c>
      <c r="D19" s="1">
        <v>90000000</v>
      </c>
    </row>
    <row r="20" spans="1:4" x14ac:dyDescent="0.25">
      <c r="A20" s="1">
        <f ca="1">+'Adicional 2 etapa'!C71+6000000</f>
        <v>10150000</v>
      </c>
      <c r="B20" t="s">
        <v>425</v>
      </c>
      <c r="C20" s="1" t="s">
        <v>206</v>
      </c>
    </row>
    <row r="21" spans="1:4" x14ac:dyDescent="0.25">
      <c r="A21" s="39">
        <f>+Diamante!G4</f>
        <v>5951263</v>
      </c>
      <c r="B21" t="s">
        <v>426</v>
      </c>
      <c r="C21" s="1" t="s">
        <v>145</v>
      </c>
    </row>
    <row r="22" spans="1:4" x14ac:dyDescent="0.25">
      <c r="A22" s="39">
        <f>+Jhon!C23</f>
        <v>11065000</v>
      </c>
      <c r="B22" t="s">
        <v>427</v>
      </c>
      <c r="C22" s="1" t="s">
        <v>145</v>
      </c>
    </row>
    <row r="23" spans="1:4" ht="15.75" x14ac:dyDescent="0.25">
      <c r="A23" s="39">
        <v>5000000</v>
      </c>
      <c r="B23" t="s">
        <v>428</v>
      </c>
      <c r="C23" s="57" t="s">
        <v>182</v>
      </c>
      <c r="D23" s="57">
        <f>+D18-D20-D19</f>
        <v>50298309.333333343</v>
      </c>
    </row>
    <row r="24" spans="1:4" x14ac:dyDescent="0.25">
      <c r="C24" s="1" t="s">
        <v>532</v>
      </c>
      <c r="D24" s="1">
        <f>+Diamante!Y4</f>
        <v>1555600</v>
      </c>
    </row>
    <row r="25" spans="1:4" x14ac:dyDescent="0.25">
      <c r="A25" s="1">
        <f ca="1">SUM(A19:A24)</f>
        <v>53606929.666666672</v>
      </c>
      <c r="B25" t="s">
        <v>429</v>
      </c>
      <c r="C25" s="1" t="s">
        <v>340</v>
      </c>
      <c r="D25" s="1">
        <f>+D23+D24</f>
        <v>51853909.333333343</v>
      </c>
    </row>
    <row r="27" spans="1:4" x14ac:dyDescent="0.25">
      <c r="D27" s="1" t="s">
        <v>145</v>
      </c>
    </row>
    <row r="28" spans="1:4" x14ac:dyDescent="0.25">
      <c r="A28" s="39">
        <v>4000000</v>
      </c>
      <c r="B28" t="s">
        <v>492</v>
      </c>
    </row>
    <row r="29" spans="1:4" x14ac:dyDescent="0.25">
      <c r="A29" s="39">
        <v>2000000</v>
      </c>
      <c r="B29" t="s">
        <v>489</v>
      </c>
    </row>
    <row r="30" spans="1:4" x14ac:dyDescent="0.25">
      <c r="A30" s="39">
        <f>84900000-74000000</f>
        <v>10900000</v>
      </c>
      <c r="B30" t="s">
        <v>488</v>
      </c>
    </row>
    <row r="31" spans="1:4" x14ac:dyDescent="0.25">
      <c r="A31" s="39">
        <v>2000000</v>
      </c>
      <c r="B31" t="s">
        <v>490</v>
      </c>
    </row>
    <row r="32" spans="1:4" x14ac:dyDescent="0.25">
      <c r="A32" s="39">
        <f>84900000-78000000</f>
        <v>6900000</v>
      </c>
      <c r="B32" t="s">
        <v>491</v>
      </c>
    </row>
    <row r="36" spans="1:1" x14ac:dyDescent="0.25">
      <c r="A36" s="39">
        <f ca="1">SUM(A25:A35)</f>
        <v>79406929.666666672</v>
      </c>
    </row>
  </sheetData>
  <mergeCells count="6">
    <mergeCell ref="K3:L3"/>
    <mergeCell ref="A3:C3"/>
    <mergeCell ref="E3:F3"/>
    <mergeCell ref="H3:I3"/>
    <mergeCell ref="H4:H5"/>
    <mergeCell ref="I4:I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C15" sqref="C15"/>
    </sheetView>
  </sheetViews>
  <sheetFormatPr baseColWidth="10" defaultRowHeight="15" x14ac:dyDescent="0.25"/>
  <cols>
    <col min="1" max="2" width="17.7109375" bestFit="1" customWidth="1"/>
    <col min="3" max="3" width="64.42578125" bestFit="1" customWidth="1"/>
    <col min="4" max="4" width="11.42578125" style="1"/>
  </cols>
  <sheetData>
    <row r="1" spans="1:4" ht="15.75" thickBot="1" x14ac:dyDescent="0.3">
      <c r="A1" s="70" t="s">
        <v>233</v>
      </c>
      <c r="B1" s="71" t="s">
        <v>234</v>
      </c>
      <c r="C1" s="72" t="s">
        <v>247</v>
      </c>
    </row>
    <row r="2" spans="1:4" x14ac:dyDescent="0.25">
      <c r="A2" t="s">
        <v>235</v>
      </c>
      <c r="B2">
        <v>3217689469</v>
      </c>
      <c r="C2" t="s">
        <v>242</v>
      </c>
      <c r="D2" s="1" t="s">
        <v>262</v>
      </c>
    </row>
    <row r="3" spans="1:4" x14ac:dyDescent="0.25">
      <c r="A3" t="s">
        <v>236</v>
      </c>
      <c r="B3">
        <v>3226128819</v>
      </c>
      <c r="C3" t="s">
        <v>249</v>
      </c>
    </row>
    <row r="4" spans="1:4" x14ac:dyDescent="0.25">
      <c r="A4" t="s">
        <v>174</v>
      </c>
      <c r="B4">
        <v>3127935199</v>
      </c>
      <c r="C4" t="s">
        <v>250</v>
      </c>
    </row>
    <row r="5" spans="1:4" x14ac:dyDescent="0.25">
      <c r="A5" t="s">
        <v>237</v>
      </c>
      <c r="B5">
        <v>3127589003</v>
      </c>
      <c r="C5" t="s">
        <v>363</v>
      </c>
      <c r="D5" s="1" t="s">
        <v>263</v>
      </c>
    </row>
    <row r="6" spans="1:4" x14ac:dyDescent="0.25">
      <c r="A6" t="s">
        <v>238</v>
      </c>
      <c r="C6" t="s">
        <v>251</v>
      </c>
      <c r="D6" s="1" t="s">
        <v>263</v>
      </c>
    </row>
    <row r="7" spans="1:4" x14ac:dyDescent="0.25">
      <c r="A7" t="s">
        <v>239</v>
      </c>
      <c r="B7">
        <v>3182147031</v>
      </c>
      <c r="C7" t="s">
        <v>252</v>
      </c>
      <c r="D7" s="1" t="s">
        <v>264</v>
      </c>
    </row>
    <row r="8" spans="1:4" x14ac:dyDescent="0.25">
      <c r="A8" t="s">
        <v>240</v>
      </c>
      <c r="C8" t="s">
        <v>258</v>
      </c>
      <c r="D8" s="1" t="s">
        <v>264</v>
      </c>
    </row>
    <row r="9" spans="1:4" x14ac:dyDescent="0.25">
      <c r="A9" t="s">
        <v>241</v>
      </c>
      <c r="B9">
        <v>3117629003</v>
      </c>
      <c r="C9" t="s">
        <v>257</v>
      </c>
      <c r="D9" s="1" t="s">
        <v>265</v>
      </c>
    </row>
    <row r="10" spans="1:4" x14ac:dyDescent="0.25">
      <c r="A10" t="s">
        <v>243</v>
      </c>
      <c r="C10" t="s">
        <v>253</v>
      </c>
      <c r="D10" s="1" t="s">
        <v>266</v>
      </c>
    </row>
    <row r="11" spans="1:4" x14ac:dyDescent="0.25">
      <c r="A11" t="s">
        <v>244</v>
      </c>
      <c r="B11">
        <v>3107757393</v>
      </c>
      <c r="C11" t="s">
        <v>259</v>
      </c>
      <c r="D11" s="68"/>
    </row>
    <row r="12" spans="1:4" x14ac:dyDescent="0.25">
      <c r="A12" t="s">
        <v>245</v>
      </c>
      <c r="B12">
        <v>3148432158</v>
      </c>
      <c r="C12" t="s">
        <v>260</v>
      </c>
      <c r="D12" s="1" t="s">
        <v>246</v>
      </c>
    </row>
    <row r="13" spans="1:4" x14ac:dyDescent="0.25">
      <c r="B13">
        <v>3225327603</v>
      </c>
      <c r="C13" t="s">
        <v>261</v>
      </c>
    </row>
    <row r="14" spans="1:4" x14ac:dyDescent="0.25">
      <c r="A14" t="s">
        <v>248</v>
      </c>
      <c r="B14">
        <v>3015172939</v>
      </c>
      <c r="C14" t="s">
        <v>254</v>
      </c>
    </row>
    <row r="15" spans="1:4" x14ac:dyDescent="0.25">
      <c r="A15" t="s">
        <v>255</v>
      </c>
      <c r="C15" t="s">
        <v>256</v>
      </c>
    </row>
    <row r="18" spans="2:5" ht="15.75" x14ac:dyDescent="0.25">
      <c r="B18" s="86" t="s">
        <v>318</v>
      </c>
      <c r="C18" s="86" t="s">
        <v>315</v>
      </c>
      <c r="D18" s="88"/>
    </row>
    <row r="19" spans="2:5" x14ac:dyDescent="0.25">
      <c r="B19" t="s">
        <v>320</v>
      </c>
      <c r="C19" t="s">
        <v>317</v>
      </c>
      <c r="D19" s="1">
        <v>700000</v>
      </c>
    </row>
    <row r="20" spans="2:5" x14ac:dyDescent="0.25">
      <c r="B20" t="s">
        <v>320</v>
      </c>
      <c r="C20" t="s">
        <v>316</v>
      </c>
      <c r="D20" s="1">
        <v>2000000</v>
      </c>
    </row>
    <row r="21" spans="2:5" x14ac:dyDescent="0.25">
      <c r="B21" t="s">
        <v>320</v>
      </c>
      <c r="C21" t="s">
        <v>327</v>
      </c>
      <c r="D21" s="1">
        <v>2600000</v>
      </c>
    </row>
    <row r="22" spans="2:5" x14ac:dyDescent="0.25">
      <c r="B22" t="s">
        <v>320</v>
      </c>
      <c r="C22" t="s">
        <v>326</v>
      </c>
      <c r="D22" s="1">
        <v>250000</v>
      </c>
    </row>
    <row r="23" spans="2:5" x14ac:dyDescent="0.25">
      <c r="B23" t="s">
        <v>320</v>
      </c>
      <c r="C23" t="s">
        <v>321</v>
      </c>
      <c r="D23" s="1">
        <v>400000</v>
      </c>
      <c r="E23" t="s">
        <v>322</v>
      </c>
    </row>
    <row r="24" spans="2:5" x14ac:dyDescent="0.25">
      <c r="B24" t="s">
        <v>320</v>
      </c>
      <c r="C24" t="s">
        <v>328</v>
      </c>
      <c r="D24" s="1">
        <v>700000</v>
      </c>
      <c r="E24" t="s">
        <v>353</v>
      </c>
    </row>
    <row r="25" spans="2:5" x14ac:dyDescent="0.25">
      <c r="C25" s="89" t="s">
        <v>333</v>
      </c>
      <c r="D25" s="90">
        <f>SUM(D19:D24)</f>
        <v>6650000</v>
      </c>
    </row>
    <row r="27" spans="2:5" x14ac:dyDescent="0.25">
      <c r="B27" t="s">
        <v>319</v>
      </c>
      <c r="C27" t="s">
        <v>325</v>
      </c>
      <c r="D27" s="1">
        <v>500000</v>
      </c>
    </row>
    <row r="28" spans="2:5" x14ac:dyDescent="0.25">
      <c r="B28" t="s">
        <v>319</v>
      </c>
      <c r="C28" t="s">
        <v>324</v>
      </c>
      <c r="D28" s="1">
        <v>2900000</v>
      </c>
    </row>
    <row r="29" spans="2:5" x14ac:dyDescent="0.25">
      <c r="B29" t="s">
        <v>319</v>
      </c>
      <c r="C29" t="s">
        <v>323</v>
      </c>
      <c r="D29" s="1">
        <v>1000000</v>
      </c>
    </row>
    <row r="30" spans="2:5" x14ac:dyDescent="0.25">
      <c r="B30" t="s">
        <v>319</v>
      </c>
      <c r="C30" t="s">
        <v>330</v>
      </c>
      <c r="D30" s="1">
        <v>800000</v>
      </c>
    </row>
    <row r="31" spans="2:5" x14ac:dyDescent="0.25">
      <c r="B31" t="s">
        <v>319</v>
      </c>
      <c r="C31" t="s">
        <v>329</v>
      </c>
      <c r="D31" s="1">
        <v>600000</v>
      </c>
    </row>
    <row r="32" spans="2:5" x14ac:dyDescent="0.25">
      <c r="B32" t="s">
        <v>319</v>
      </c>
      <c r="C32" t="s">
        <v>331</v>
      </c>
      <c r="D32" s="1">
        <v>1100000</v>
      </c>
    </row>
    <row r="33" spans="2:4" x14ac:dyDescent="0.25">
      <c r="B33" t="s">
        <v>319</v>
      </c>
      <c r="C33" t="s">
        <v>332</v>
      </c>
      <c r="D33" s="1">
        <v>600000</v>
      </c>
    </row>
    <row r="35" spans="2:4" x14ac:dyDescent="0.25">
      <c r="C35" s="89" t="s">
        <v>333</v>
      </c>
      <c r="D35" s="90">
        <f>SUM(D27:D34)</f>
        <v>7500000</v>
      </c>
    </row>
    <row r="37" spans="2:4" x14ac:dyDescent="0.25">
      <c r="B37" t="s">
        <v>334</v>
      </c>
      <c r="C37" t="s">
        <v>335</v>
      </c>
      <c r="D37" s="1">
        <v>500000</v>
      </c>
    </row>
    <row r="38" spans="2:4" x14ac:dyDescent="0.25">
      <c r="B38" t="s">
        <v>334</v>
      </c>
      <c r="C38" t="s">
        <v>337</v>
      </c>
      <c r="D38" s="1">
        <v>1000000</v>
      </c>
    </row>
    <row r="39" spans="2:4" x14ac:dyDescent="0.25">
      <c r="B39" t="s">
        <v>334</v>
      </c>
      <c r="C39" t="s">
        <v>336</v>
      </c>
      <c r="D39" s="1">
        <v>1000000</v>
      </c>
    </row>
    <row r="40" spans="2:4" x14ac:dyDescent="0.25">
      <c r="B40" t="s">
        <v>334</v>
      </c>
      <c r="C40" t="s">
        <v>338</v>
      </c>
      <c r="D40" s="1">
        <v>600000</v>
      </c>
    </row>
    <row r="41" spans="2:4" x14ac:dyDescent="0.25">
      <c r="B41" t="s">
        <v>334</v>
      </c>
      <c r="C41" t="s">
        <v>331</v>
      </c>
      <c r="D41" s="1">
        <v>1100000</v>
      </c>
    </row>
    <row r="42" spans="2:4" x14ac:dyDescent="0.25">
      <c r="B42" t="s">
        <v>334</v>
      </c>
      <c r="C42" t="s">
        <v>332</v>
      </c>
      <c r="D42" s="1">
        <v>600000</v>
      </c>
    </row>
    <row r="43" spans="2:4" x14ac:dyDescent="0.25">
      <c r="B43" t="s">
        <v>334</v>
      </c>
      <c r="C43" t="s">
        <v>339</v>
      </c>
      <c r="D43" s="1">
        <v>1200000</v>
      </c>
    </row>
    <row r="45" spans="2:4" x14ac:dyDescent="0.25">
      <c r="C45" s="89" t="s">
        <v>333</v>
      </c>
      <c r="D45" s="90">
        <f>SUM(D37:D44)</f>
        <v>6000000</v>
      </c>
    </row>
    <row r="48" spans="2:4" x14ac:dyDescent="0.25">
      <c r="C48" s="89" t="s">
        <v>340</v>
      </c>
      <c r="D48" s="90">
        <f>+D45+D35+D25</f>
        <v>20150000</v>
      </c>
    </row>
    <row r="51" spans="3:3" x14ac:dyDescent="0.25">
      <c r="C51" t="s">
        <v>341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Diamante</vt:lpstr>
      <vt:lpstr>Papa</vt:lpstr>
      <vt:lpstr>Jhon</vt:lpstr>
      <vt:lpstr>Adicional 2 etapa</vt:lpstr>
      <vt:lpstr>Informe Totales Diamante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2018-12-23T01:15:03Z</dcterms:modified>
</cp:coreProperties>
</file>